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3"/>
    <sheet state="visible" name="no exif" sheetId="2" r:id="rId4"/>
    <sheet state="visible" name="MF" sheetId="3" r:id="rId5"/>
    <sheet state="visible" name="AF" sheetId="4" r:id="rId6"/>
    <sheet state="visible" name="Macro" sheetId="5" r:id="rId7"/>
    <sheet state="visible" name="fast" sheetId="6" r:id="rId8"/>
    <sheet state="visible" name="affordable" sheetId="7" r:id="rId9"/>
    <sheet state="visible" name="Sony" sheetId="8" r:id="rId10"/>
    <sheet state="hidden" name="Sheet13" sheetId="9" r:id="rId11"/>
    <sheet state="visible" name="Voigtlander" sheetId="10" r:id="rId12"/>
    <sheet state="visible" name="Zeiss" sheetId="11" r:id="rId13"/>
    <sheet state="visible" name="Sigma" sheetId="12" r:id="rId14"/>
    <sheet state="hidden" name="Beta" sheetId="13" r:id="rId15"/>
    <sheet state="visible" name="Comparometer" sheetId="14" r:id="rId16"/>
    <sheet state="hidden" name="Kitbuilder" sheetId="15" r:id="rId17"/>
    <sheet state="hidden" name="APS-C" sheetId="16" r:id="rId18"/>
    <sheet state="hidden" name="Olympus OM" sheetId="17" r:id="rId19"/>
  </sheets>
  <definedNames>
    <definedName hidden="1" localSheetId="0" name="_xlnm._FilterDatabase">All!$O$1:$O$1087</definedName>
    <definedName hidden="1" localSheetId="2" name="_xlnm._FilterDatabase">MF!$G$1:$G$1132</definedName>
    <definedName hidden="1" localSheetId="3" name="_xlnm._FilterDatabase">AF!$G$1:$G$1063</definedName>
    <definedName hidden="1" localSheetId="4" name="_xlnm._FilterDatabase">Macro!$A$1:$U$153</definedName>
    <definedName hidden="1" localSheetId="5" name="_xlnm._FilterDatabase">fast!$A$1:$U$81</definedName>
    <definedName hidden="1" localSheetId="6" name="_xlnm._FilterDatabase">affordable!$J$1:$J$1063</definedName>
    <definedName hidden="1" localSheetId="7" name="_xlnm._FilterDatabase">Sony!$A$1:$U$130</definedName>
    <definedName hidden="1" localSheetId="9" name="_xlnm._FilterDatabase">Voigtlander!$A$1:$U$151</definedName>
    <definedName hidden="1" localSheetId="10" name="_xlnm._FilterDatabase">Zeiss!$A$1:$U$151</definedName>
    <definedName hidden="1" localSheetId="11" name="_xlnm._FilterDatabase">Sigma!$A$1:$U$298</definedName>
    <definedName hidden="1" localSheetId="12" name="_xlnm._FilterDatabase">Beta!$X$3:$X$1076</definedName>
    <definedName hidden="1" localSheetId="13" name="_xlnm._FilterDatabase">Comparometer!$X$3:$X$1076</definedName>
    <definedName hidden="1" localSheetId="14" name="_xlnm._FilterDatabase">Kitbuilder!$W$1:$W$1066</definedName>
    <definedName hidden="1" localSheetId="15" name="_xlnm._FilterDatabase">'APS-C'!$O$1:$O$1064</definedName>
    <definedName hidden="1" localSheetId="16" name="_xlnm._FilterDatabase">'Olympus OM'!$L$1:$L$970</definedName>
    <definedName hidden="1" localSheetId="0" name="Z_1E3877F7_CBA4_4580_BB70_F92ECCD4DE9E_.wvu.FilterData">All!$A$1:$V$103</definedName>
    <definedName hidden="1" localSheetId="16" name="Z_1E3877F7_CBA4_4580_BB70_F92ECCD4DE9E_.wvu.FilterData">'Olympus OM'!$A$1:$O$2</definedName>
    <definedName hidden="1" localSheetId="3" name="Z_021F08B4_1353_4B07_A45E_58B7A281E4E9_.wvu.FilterData">AF!$G$1:$G$1063</definedName>
  </definedNames>
  <calcPr/>
  <customWorkbookViews>
    <customWorkbookView activeSheetId="0" maximized="1" tabRatio="600" windowHeight="0" windowWidth="0" guid="{021F08B4-1353-4B07-A45E-58B7A281E4E9}" name="Filter 1"/>
    <customWorkbookView activeSheetId="0" maximized="1" tabRatio="600" windowHeight="0" windowWidth="0" guid="{1E3877F7-CBA4-4580-BB70-F92ECCD4DE9E}" name="order by date"/>
  </customWorkbookViews>
</workbook>
</file>

<file path=xl/sharedStrings.xml><?xml version="1.0" encoding="utf-8"?>
<sst xmlns="http://schemas.openxmlformats.org/spreadsheetml/2006/main" count="8044" uniqueCount="336">
  <si>
    <t>Lens</t>
  </si>
  <si>
    <t>Weight</t>
  </si>
  <si>
    <t>Focal
Length
(wide)</t>
  </si>
  <si>
    <t>Speed</t>
  </si>
  <si>
    <t>Diameter</t>
  </si>
  <si>
    <t>Length</t>
  </si>
  <si>
    <t>Focus</t>
  </si>
  <si>
    <t>Front Filter 
Diameter</t>
  </si>
  <si>
    <t>Magnification</t>
  </si>
  <si>
    <t xml:space="preserve">Close
Focusing
Distance </t>
  </si>
  <si>
    <t>optical 
stabilizer</t>
  </si>
  <si>
    <t>Aperture
Blades</t>
  </si>
  <si>
    <t>Elements/
Groups</t>
  </si>
  <si>
    <t>Manufacturer</t>
  </si>
  <si>
    <t>Release Date</t>
  </si>
  <si>
    <t>List Price 
(please check 
for actual)</t>
  </si>
  <si>
    <t>Used price
 (average 
auction 7/20)</t>
  </si>
  <si>
    <t>Amazon.com</t>
  </si>
  <si>
    <t>B&amp;H Photo</t>
  </si>
  <si>
    <t>Amazon.de</t>
  </si>
  <si>
    <t>Ebay.com</t>
  </si>
  <si>
    <t>Comment, 
Resources</t>
  </si>
  <si>
    <t xml:space="preserve">Links marked with * are affiliate links. If you use them we earn a small commission on your purchase. </t>
  </si>
  <si>
    <t>69mm</t>
  </si>
  <si>
    <t>MF</t>
  </si>
  <si>
    <t>na</t>
  </si>
  <si>
    <t>no</t>
  </si>
  <si>
    <t>13/10</t>
  </si>
  <si>
    <t>Voigtlander</t>
  </si>
  <si>
    <t>Sony G 4/12-24</t>
  </si>
  <si>
    <t>AF</t>
  </si>
  <si>
    <t>17/13</t>
  </si>
  <si>
    <t>Sony</t>
  </si>
  <si>
    <t>link*</t>
  </si>
  <si>
    <t>Sony FE 12-24mm F2.8 GM</t>
  </si>
  <si>
    <t>17/14</t>
  </si>
  <si>
    <t>/</t>
  </si>
  <si>
    <t>rear filter</t>
  </si>
  <si>
    <t>12/10</t>
  </si>
  <si>
    <t>discontinued</t>
  </si>
  <si>
    <t>Sigma Art 1.8/14</t>
  </si>
  <si>
    <t>Sigma</t>
  </si>
  <si>
    <t>DSLR design</t>
  </si>
  <si>
    <t>Sigma Art 2.8/14-24</t>
  </si>
  <si>
    <t>18/13</t>
  </si>
  <si>
    <t>Samyang 2.8/14 AF</t>
  </si>
  <si>
    <t>Samyang</t>
  </si>
  <si>
    <t>58mm</t>
  </si>
  <si>
    <t>72mm</t>
  </si>
  <si>
    <t>yes</t>
  </si>
  <si>
    <t>Sony GM 2.8/16-35</t>
  </si>
  <si>
    <t>82mm</t>
  </si>
  <si>
    <t>16/13</t>
  </si>
  <si>
    <t>67mm</t>
  </si>
  <si>
    <t>13/11</t>
  </si>
  <si>
    <t>Tamron</t>
  </si>
  <si>
    <t>77mm</t>
  </si>
  <si>
    <t>11/10</t>
  </si>
  <si>
    <t>Zeiss</t>
  </si>
  <si>
    <t>Samyang AF 2.8/18</t>
  </si>
  <si>
    <t>9/8</t>
  </si>
  <si>
    <t>Sigma Art 1.4/20</t>
  </si>
  <si>
    <t>Viltrox RBMH 20mm F1.8 ASPH</t>
  </si>
  <si>
    <t>Viltrox</t>
  </si>
  <si>
    <t>Sony FE 20mm F1.8 G</t>
  </si>
  <si>
    <t>14/12</t>
  </si>
  <si>
    <t>62mm</t>
  </si>
  <si>
    <t>Tokina</t>
  </si>
  <si>
    <t>Tokina Firin 2/20 AF</t>
  </si>
  <si>
    <t>Tamron 20mm f/2.8 Di III OSD M1:2</t>
  </si>
  <si>
    <t>10/9</t>
  </si>
  <si>
    <t>52mm</t>
  </si>
  <si>
    <t>11/9</t>
  </si>
  <si>
    <t>Sigma Art 1.4/24</t>
  </si>
  <si>
    <t>49mm</t>
  </si>
  <si>
    <t>7/7</t>
  </si>
  <si>
    <t>Sigma 2.8/24-70</t>
  </si>
  <si>
    <t>19/15</t>
  </si>
  <si>
    <t>$1099</t>
  </si>
  <si>
    <t>Sony 3.5-6.3/24-240 OSS</t>
  </si>
  <si>
    <t>f/3.5-6.3</t>
  </si>
  <si>
    <t>17/12</t>
  </si>
  <si>
    <t>Sony 4/24-105 G OSS</t>
  </si>
  <si>
    <t>10/8</t>
  </si>
  <si>
    <t>Sigma ART 1.4/28</t>
  </si>
  <si>
    <t>15/12</t>
  </si>
  <si>
    <t>Tamron 28-200 mm 2.8-5.6 Di III RXD</t>
  </si>
  <si>
    <t>18/14</t>
  </si>
  <si>
    <t>Sony 3.5-5.6/28-70 OSS</t>
  </si>
  <si>
    <t>f/3.5-5.6</t>
  </si>
  <si>
    <t>55mm</t>
  </si>
  <si>
    <t>Sony PZ 28-135mm f/4 G OSS</t>
  </si>
  <si>
    <t>95mm</t>
  </si>
  <si>
    <t>18/12</t>
  </si>
  <si>
    <t>Video lens not well suited for photography</t>
  </si>
  <si>
    <t>Sony Fe 4-5.6/28-60</t>
  </si>
  <si>
    <t>f/4-0-5.6</t>
  </si>
  <si>
    <t>40.5mm</t>
  </si>
  <si>
    <t>Voigtländer Nokton 35mm F1.2 Aspherical SE</t>
  </si>
  <si>
    <t>Many reports about defective lenses, check Amazon reviews.</t>
  </si>
  <si>
    <t>Samyang 35mm f/1.8 AF</t>
  </si>
  <si>
    <t>older rangefinder design optimized for E-mount</t>
  </si>
  <si>
    <t>Samyang 2.8/35</t>
  </si>
  <si>
    <t>Voigtlander 40mm F1.2 SE Nokton Aspherical</t>
  </si>
  <si>
    <t>lighter, more compact version without de-click feature but same optics</t>
  </si>
  <si>
    <t>Automatically stops down to f/2.8 at minimum focus distance and has some AF-issues in AF-C for tighter portraits. See review.</t>
  </si>
  <si>
    <t>Samyang 45mm F1.8</t>
  </si>
  <si>
    <t>Sigma Contemporary 2.8/45</t>
  </si>
  <si>
    <t>Many reports on AF issues at medium distances.</t>
  </si>
  <si>
    <t>Sony ZA 50mm F1.4</t>
  </si>
  <si>
    <t>Sigma Art 1.4/50</t>
  </si>
  <si>
    <t>Samyang 50mm F1.4</t>
  </si>
  <si>
    <t>Sigma Art 2.8/70 Macro</t>
  </si>
  <si>
    <t>Sony GM 2.8/70-200 G OSS</t>
  </si>
  <si>
    <t>23/18</t>
  </si>
  <si>
    <t>Tamron 2.8/70-180</t>
  </si>
  <si>
    <t>19/14</t>
  </si>
  <si>
    <t>Sony 4.5-5.6/70-300 G OSS</t>
  </si>
  <si>
    <t>f/4.5-5.6</t>
  </si>
  <si>
    <t>Tamron 70-300mm F/4.5-6.3 Di III RXD</t>
  </si>
  <si>
    <t>not confirmed officcially yet</t>
  </si>
  <si>
    <t>21/15</t>
  </si>
  <si>
    <t>Samyang AF 75mm F1.8 FE</t>
  </si>
  <si>
    <t xml:space="preserve">Sigma 85m f/1.4 DG HSM Art </t>
  </si>
  <si>
    <t>86mm</t>
  </si>
  <si>
    <t>Samyang 85mm f/1.4 AF</t>
  </si>
  <si>
    <t>Sigma 85mm F1.4 DG DN | Art</t>
  </si>
  <si>
    <t>Tokina 85mm F1.8 FE ATX-M</t>
  </si>
  <si>
    <t>same design as Viltrox 1.8/85</t>
  </si>
  <si>
    <t>Viltrox PFU RBMH 85mm f/1.8</t>
  </si>
  <si>
    <t>Meike MK-85mm F/1.8</t>
  </si>
  <si>
    <t>Meike</t>
  </si>
  <si>
    <t>STF Element for smooth bokeh. Transmission at f/2.8 is that of an f/5.6 lens.</t>
  </si>
  <si>
    <t>Sigma 100-400mm F5-6.3 DG DN Contemporary</t>
  </si>
  <si>
    <t>22/16</t>
  </si>
  <si>
    <t>Sony GM 4.5-5.6/100-400 OSS</t>
  </si>
  <si>
    <t>Sigma Art 1.4/105</t>
  </si>
  <si>
    <t>105mm</t>
  </si>
  <si>
    <t xml:space="preserve">Sigma	</t>
  </si>
  <si>
    <t>Sigma Art 105mm 1:2.8 DG DN Macro</t>
  </si>
  <si>
    <t>1:1</t>
  </si>
  <si>
    <t>29,5</t>
  </si>
  <si>
    <t>Sigma Art 1.8/135</t>
  </si>
  <si>
    <t>Zeiss Batis 2.8/135 APO</t>
  </si>
  <si>
    <t>Sony 200-600mm f/5.6-6.3 G OSS</t>
  </si>
  <si>
    <t>f/5.6-6.5</t>
  </si>
  <si>
    <t>24/17</t>
  </si>
  <si>
    <t>Sony 2.8/400 GM OSS</t>
  </si>
  <si>
    <t xml:space="preserve"> na</t>
  </si>
  <si>
    <t>23/17</t>
  </si>
  <si>
    <t>Sony 4/600 GM OSS</t>
  </si>
  <si>
    <t>24/18</t>
  </si>
  <si>
    <t>Listed are all fullframe E-mount lenses with electronic contacts for communication with the camera. You find lenses which do not provide exif like the Laowa 2/15 in the "no exif" sheet.</t>
  </si>
  <si>
    <t>Total number of lenses:</t>
  </si>
  <si>
    <t>Last update: 26/09/20</t>
  </si>
  <si>
    <t>Resources</t>
  </si>
  <si>
    <t>Our Guide to the best 35mm lenses</t>
  </si>
  <si>
    <t>Our Guide to the best 50mm lenses</t>
  </si>
  <si>
    <t>Legend</t>
  </si>
  <si>
    <t>G: Sony‘s premium line. None really knows what G stands for though there are some claims that it stands for "Gold".</t>
  </si>
  <si>
    <t>GM: G Master lenses are Sony‘s top of the line lenses which are built to high standards and use the most advanced technologies.</t>
  </si>
  <si>
    <t>ZA: Lenses built by Sony but labeled Zeiss. The extend of the cooperation between Zeiss and Sony isn‘t really transparent but these earlier lenses generally have higher copy to copy variation than GM or Bbatis lenses and some weaknesses like onion rings or easy to scratch hulls.</t>
  </si>
  <si>
    <t>OSS: Optical steady shot - These lenses are optically stabilized and the stabilizer can work together with the bodie‘s stabilizer for more effective stabilization.</t>
  </si>
  <si>
    <t>Tips on using the list</t>
  </si>
  <si>
    <t>Lenses we have reviewed are linked to the review, just click on the lens name.</t>
  </si>
  <si>
    <t>Price 
(please check 
for current)</t>
  </si>
  <si>
    <t>Links marked with * are affiliate links. If you use them we earn a small commission on your purchase. Thanks for the support :)</t>
  </si>
  <si>
    <t>14/10</t>
  </si>
  <si>
    <t>Laowa</t>
  </si>
  <si>
    <t>no exif</t>
  </si>
  <si>
    <t>Samyang 12mm f/2.8 ED AS NCS Fisheye</t>
  </si>
  <si>
    <t>12/8</t>
  </si>
  <si>
    <t>Fisheye</t>
  </si>
  <si>
    <t>16/10</t>
  </si>
  <si>
    <t>12/9</t>
  </si>
  <si>
    <t>Crazy WA Macro that also shifts</t>
  </si>
  <si>
    <t>Mitakon Zhongyi 20mm f/2.4 4.5x Super Macro</t>
  </si>
  <si>
    <t>Mitakon</t>
  </si>
  <si>
    <t>Super Macro with fixed focus distance</t>
  </si>
  <si>
    <t>Venus Optics Laowa 24mm f/14</t>
  </si>
  <si>
    <t>27/19</t>
  </si>
  <si>
    <t>Samyang 24mm f/1.4 ED AS IF UMC</t>
  </si>
  <si>
    <t>Kipon Iberit 24mm f/2.4</t>
  </si>
  <si>
    <t>Kipon</t>
  </si>
  <si>
    <t>Samyang 24mm f/3.5 T/S</t>
  </si>
  <si>
    <t>Tilit/Shift Lens</t>
  </si>
  <si>
    <t>Venus Optics Laowa 25mm f/2.8 2.5-5x</t>
  </si>
  <si>
    <t>dedicated Macro which does not focus to infinity</t>
  </si>
  <si>
    <t>Meyer-Optik Gorlitz Lydith 30mm f/3.5</t>
  </si>
  <si>
    <t>Meyer-Optik</t>
  </si>
  <si>
    <t>SLR Magic</t>
  </si>
  <si>
    <t>7artisans</t>
  </si>
  <si>
    <t>?/2019</t>
  </si>
  <si>
    <t>only teaser images shown so far</t>
  </si>
  <si>
    <t>Samyang 35mm f/1.4</t>
  </si>
  <si>
    <t>7artisans 35mm f2</t>
  </si>
  <si>
    <t>Kipon Iberit 35mm f/2.4</t>
  </si>
  <si>
    <t>Lensbaby Burnside 35mm f/2.8</t>
  </si>
  <si>
    <t>Lensbaby</t>
  </si>
  <si>
    <t>Two separate apertures for bokeh effects.</t>
  </si>
  <si>
    <t>Zenit</t>
  </si>
  <si>
    <t>Samyang 50mm f/1.4 IF UMC</t>
  </si>
  <si>
    <t>Meike 50mm f/1.7</t>
  </si>
  <si>
    <t>Kipon Iberit 50mm f/2.4</t>
  </si>
  <si>
    <t>Meyer-Optik Gorlitz Trioplan 50mm f/2.9</t>
  </si>
  <si>
    <t>Brightin Star 55 mm F1.8</t>
  </si>
  <si>
    <t>Brightin Star</t>
  </si>
  <si>
    <t>Lensbaby Velvet 56mm f/1.6</t>
  </si>
  <si>
    <t>Meyer-Optik Gorlitz Primoplan 58mm f/1.9 II</t>
  </si>
  <si>
    <t>nop</t>
  </si>
  <si>
    <t>1/20</t>
  </si>
  <si>
    <t>Kipon Iberit 75mm f/2.4</t>
  </si>
  <si>
    <t>Mitakon Zhongyi 85mm f/1.2 Speedmaster</t>
  </si>
  <si>
    <t>Samyang 85mm f/1.4 Asperical IF</t>
  </si>
  <si>
    <t>Lensbaby Velvet 85mm f/1.8</t>
  </si>
  <si>
    <t>Meike 85mm f/2.8 Macro</t>
  </si>
  <si>
    <t>Kipon Iberit 90mm f/2.4</t>
  </si>
  <si>
    <t>Meyer-Optik Gorlitz Trioplan 100mm f/2.8</t>
  </si>
  <si>
    <t>Samyang 100mm f/2.8 UMC Macro</t>
  </si>
  <si>
    <t>11/8</t>
  </si>
  <si>
    <t>STF-Element for special bokeh reduces transmission to t/3.2</t>
  </si>
  <si>
    <t>11/7</t>
  </si>
  <si>
    <t>Listed are all fullframe E-mount lenses without CPU and electronic contacts. You won't get exif information with these.</t>
  </si>
  <si>
    <t>Last update: 6/9/19</t>
  </si>
  <si>
    <t xml:space="preserve">To sort the list by speed for example just click on the letter D and select from A-&gt;Z to order the lenses by their speed. </t>
  </si>
  <si>
    <t>The widest non-fisheye available.</t>
  </si>
  <si>
    <t>Samyang 1.4/35</t>
  </si>
  <si>
    <t>Sony FE 1.8/35</t>
  </si>
  <si>
    <t>Automatically stops down to f/2.8 at minimum focus distance and seems to have some AF issues at potrait distance.</t>
  </si>
  <si>
    <t>Viltrox PFU RBMH 85mm f/1.8 STM</t>
  </si>
  <si>
    <t>$12999</t>
  </si>
  <si>
    <t>Listed are all fullframe E-mount lenses with electronic contacts for communication with the camera. You find lenses which do not provide exif in their own sheet.</t>
  </si>
  <si>
    <t>Last update: 8/19</t>
  </si>
  <si>
    <t xml:space="preserve">To sort the list by for example lens speed for example just click on the letter D and select from A-&gt;Z to order the lenses by their speed. </t>
  </si>
  <si>
    <t>Tamron 35mm f/2.8 Di III OSD M1:2</t>
  </si>
  <si>
    <t>A rebranded Viltrox? Lens diagrams are identical and specs very close.</t>
  </si>
  <si>
    <t>Super heavy for a 1.8/85</t>
  </si>
  <si>
    <t>7/16</t>
  </si>
  <si>
    <t>5/17</t>
  </si>
  <si>
    <t>8/16</t>
  </si>
  <si>
    <t>8/19</t>
  </si>
  <si>
    <t>2/16</t>
  </si>
  <si>
    <t>5/14</t>
  </si>
  <si>
    <t>7/19</t>
  </si>
  <si>
    <t>6/19</t>
  </si>
  <si>
    <t>10/18</t>
  </si>
  <si>
    <t>3/15</t>
  </si>
  <si>
    <t>10/17</t>
  </si>
  <si>
    <t>1/14</t>
  </si>
  <si>
    <t>10/13</t>
  </si>
  <si>
    <t>9/14</t>
  </si>
  <si>
    <t>2/18</t>
  </si>
  <si>
    <t>8/13</t>
  </si>
  <si>
    <t>?/16</t>
  </si>
  <si>
    <t>11/17</t>
  </si>
  <si>
    <t>4/19</t>
  </si>
  <si>
    <t>3/16</t>
  </si>
  <si>
    <t>?/14</t>
  </si>
  <si>
    <t>2/17</t>
  </si>
  <si>
    <t>4/17</t>
  </si>
  <si>
    <t>?/19</t>
  </si>
  <si>
    <t>Focal
Length</t>
  </si>
  <si>
    <t>Comment</t>
  </si>
  <si>
    <t>Voigtlander 12mm F5.6 Ultra Wide-Heliar Aspherical</t>
  </si>
  <si>
    <t>Voigtlander 15mm F4.5 Super Wide Heliar</t>
  </si>
  <si>
    <t xml:space="preserve">Sony ZA 4/16-35 OSS </t>
  </si>
  <si>
    <t>Tamron 17-28mm f/2.8 Di III RXD</t>
  </si>
  <si>
    <t>Zeiss Batis 2.8/18</t>
  </si>
  <si>
    <t>Tokina Firin 2/20</t>
  </si>
  <si>
    <t>Voigtlander 21mm F1.4 Nokton</t>
  </si>
  <si>
    <t>Zeiss Loxia 2.8/21 Distagon T*</t>
  </si>
  <si>
    <t>Voigtlander 21mm F3.5 Color-Skopar</t>
  </si>
  <si>
    <t>Sony GM 1.4/24</t>
  </si>
  <si>
    <t>Samyang AF 24mm F/2.8</t>
  </si>
  <si>
    <t>Tamron 24mm f/2.8 Di III OSD M1:2</t>
  </si>
  <si>
    <t>Sony GM 2.8/24-70</t>
  </si>
  <si>
    <t>Sony ZA 4/24-70 OSS</t>
  </si>
  <si>
    <t>Zeiss Batis 2/25</t>
  </si>
  <si>
    <t>Zeiss Loxia 2.4/25</t>
  </si>
  <si>
    <t>Sony FE 2/28</t>
  </si>
  <si>
    <t>Tamron 2.8/28-75</t>
  </si>
  <si>
    <t>Sigma Art 1.2/35</t>
  </si>
  <si>
    <t>Sony ZA 1.4/35</t>
  </si>
  <si>
    <t>Voigtlander 35mm F1.4 Nokton Classic</t>
  </si>
  <si>
    <t>Sigma Art 1.4/35</t>
  </si>
  <si>
    <t>Zeiss Loxia 2/35 Biogon T*</t>
  </si>
  <si>
    <t>Sony ZA 2.8/35</t>
  </si>
  <si>
    <t>Voigtlander 40mm F1.2 Nokton Aspherical</t>
  </si>
  <si>
    <t>Sigma Art 1.4/40</t>
  </si>
  <si>
    <t>Zeiss Batis 2/40 CF T*</t>
  </si>
  <si>
    <t>Voigtlander 50mm F1.2 Nokton</t>
  </si>
  <si>
    <t>Sony 50mm F1.8</t>
  </si>
  <si>
    <t>Voigtlander 50mm F2 APO-Lanthar</t>
  </si>
  <si>
    <t>Zeiss Loxia 50mm F2</t>
  </si>
  <si>
    <t>Sony 50mm F/2.8 Macro</t>
  </si>
  <si>
    <t>Sony ZA 55mm F1.8 Sonnar</t>
  </si>
  <si>
    <t>Voigtlander Macro 65mm F2 Apo Lanthar</t>
  </si>
  <si>
    <t>Sony G 4/70-200 OSS</t>
  </si>
  <si>
    <t>Sony GM 1.4/85</t>
  </si>
  <si>
    <t>Sony FE 85mm f/1.8</t>
  </si>
  <si>
    <t>Zeiss Batis 1.8/85</t>
  </si>
  <si>
    <t>Viltrox 85mm f/1.8 STM II</t>
  </si>
  <si>
    <t>Zeiss Loxia 2.4/85</t>
  </si>
  <si>
    <t>Sony 2.8/90 G OSS</t>
  </si>
  <si>
    <t>Sony GM 2.8/100 STF OSS</t>
  </si>
  <si>
    <t>Tokina Firin 2.8/100 Macro</t>
  </si>
  <si>
    <t>Voigtlander 110mm F2.5 APO Macro</t>
  </si>
  <si>
    <t>Sony 1.8/135 GM</t>
  </si>
  <si>
    <t>Used price
 (average 
auction 9/19)</t>
  </si>
  <si>
    <t>Samyang
45mm F1.8</t>
  </si>
  <si>
    <t>Sigma Contemporary 
2.8/45</t>
  </si>
  <si>
    <t>Sony ZA 
50mm F1.4</t>
  </si>
  <si>
    <t>Sigma Art
 1.4/50</t>
  </si>
  <si>
    <t>Samyang 
50mm F1.4</t>
  </si>
  <si>
    <t>9/16</t>
  </si>
  <si>
    <t>7/17</t>
  </si>
  <si>
    <t>11/18</t>
  </si>
  <si>
    <t>Last update: 4/10/19</t>
  </si>
  <si>
    <t>Kit 1</t>
  </si>
  <si>
    <t>Kit 2</t>
  </si>
  <si>
    <t>Difference</t>
  </si>
  <si>
    <t>Total Weight</t>
  </si>
  <si>
    <t>Total Price (new)</t>
  </si>
  <si>
    <t>Kit-Builder</t>
  </si>
  <si>
    <t>Last update: 1/9/19</t>
  </si>
  <si>
    <t>Sony 16-55mm F1.8 G</t>
  </si>
  <si>
    <t>Sony E 70-350mm F4.5-6.3 G OSS</t>
  </si>
  <si>
    <t>This List is far from complete</t>
  </si>
  <si>
    <t>Last update: 19/9/19</t>
  </si>
  <si>
    <t>Release Year</t>
  </si>
  <si>
    <t>1:8</t>
  </si>
  <si>
    <t>30cm</t>
  </si>
  <si>
    <t>1:6.6</t>
  </si>
  <si>
    <t>6/5</t>
  </si>
  <si>
    <t>1:7.3</t>
  </si>
  <si>
    <t>Last update: 03/02/20</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</si>
</sst>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quot;g&quot;"/>
    <numFmt numFmtId="165" formatCode="#&quot;mm&quot;"/>
    <numFmt numFmtId="166" formatCode="&quot;f/&quot;0.0"/>
    <numFmt numFmtId="167" formatCode="#&quot;cm&quot;"/>
    <numFmt numFmtId="168" formatCode="mm&quot;/&quot;yy"/>
    <numFmt numFmtId="169" formatCode="[$$]#,##"/>
    <numFmt numFmtId="170" formatCode="###&quot;mm&quot;"/>
    <numFmt numFmtId="171" formatCode="d/m"/>
    <numFmt numFmtId="172" formatCode="d/m/yy"/>
    <numFmt numFmtId="173" formatCode="dd/MM/yyyy"/>
    <numFmt numFmtId="174" formatCode="dd/mm/yyyy"/>
    <numFmt numFmtId="175" formatCode="&quot;f/&quot;#.#"/>
    <numFmt numFmtId="176" formatCode="-#&quot;mm&quot;"/>
    <numFmt numFmtId="177" formatCode="mm/yyyy"/>
    <numFmt numFmtId="178" formatCode="#g"/>
    <numFmt numFmtId="179" formatCode="[$$]#,##0"/>
    <numFmt numFmtId="180" formatCode="[$$]#,##0.00"/>
  </numFmts>
  <fonts count="75">
    <font>
      <sz val="10.0"/>
      <color rgb="FF000000"/>
      <name val="Arial"/>
    </font>
    <font>
      <b/>
    </font>
    <font>
      <sz val="11.0"/>
      <color rgb="FF000000"/>
      <name val="Inconsolata"/>
    </font>
    <font/>
    <font>
      <b/>
      <u/>
      <color rgb="FF0000FF"/>
    </font>
    <font>
      <u/>
      <sz val="8.0"/>
      <color rgb="FF0000FF"/>
    </font>
    <font>
      <u/>
      <sz val="8.0"/>
      <color rgb="FF0000FF"/>
    </font>
    <font>
      <u/>
      <sz val="8.0"/>
      <color rgb="FF1155CC"/>
    </font>
    <font>
      <sz val="8.0"/>
    </font>
    <font>
      <u/>
      <sz val="8.0"/>
      <color rgb="FF1155CC"/>
    </font>
    <font>
      <u/>
      <sz val="8.0"/>
      <color rgb="FF0000FF"/>
    </font>
    <font>
      <b/>
      <u/>
      <color rgb="FF0000FF"/>
    </font>
    <font>
      <u/>
      <sz val="8.0"/>
      <color rgb="FF0000FF"/>
    </font>
    <font>
      <b/>
      <u/>
      <color rgb="FF0000FF"/>
    </font>
    <font>
      <u/>
      <sz val="8.0"/>
      <color rgb="FF1155CC"/>
    </font>
    <font>
      <name val="Arial"/>
    </font>
    <font>
      <b/>
      <u/>
      <color rgb="FF0000FF"/>
    </font>
    <font>
      <u/>
      <sz val="8.0"/>
      <color rgb="FF1155CC"/>
    </font>
    <font>
      <b/>
      <u/>
      <color rgb="FF0000FF"/>
    </font>
    <font>
      <b/>
      <color rgb="FF1155CC"/>
      <name val="Arial"/>
    </font>
    <font>
      <u/>
      <sz val="8.0"/>
      <color rgb="FF1155CC"/>
      <name val="Arial"/>
    </font>
    <font>
      <b/>
      <u/>
      <color rgb="FF0000FF"/>
      <name val="Arial"/>
    </font>
    <font>
      <u/>
      <sz val="8.0"/>
      <color rgb="FF1155CC"/>
    </font>
    <font>
      <b/>
      <u/>
      <color rgb="FF1155CC"/>
      <name val="Arial"/>
    </font>
    <font>
      <color rgb="FFCCCCCC"/>
      <name val="Arial"/>
    </font>
    <font>
      <sz val="8.0"/>
      <name val="Arial"/>
    </font>
    <font>
      <u/>
      <color rgb="FF1155CC"/>
    </font>
    <font>
      <b/>
      <u/>
      <color rgb="FF1155CC"/>
    </font>
    <font>
      <u/>
      <sz val="8.0"/>
      <color rgb="FF1155CC"/>
    </font>
    <font>
      <b/>
      <color rgb="FFFF0000"/>
    </font>
    <font>
      <b/>
      <sz val="11.0"/>
      <color rgb="FFFF0000"/>
      <name val="Inconsolata"/>
    </font>
    <font>
      <b/>
      <color rgb="FFFF0000"/>
      <name val="Arial"/>
    </font>
    <font>
      <b/>
      <sz val="8.0"/>
      <color rgb="FFFF0000"/>
    </font>
    <font>
      <b/>
      <u/>
      <color rgb="FFCFE2F3"/>
    </font>
    <font>
      <u/>
      <color rgb="FF0000FF"/>
    </font>
    <font>
      <b/>
      <u/>
      <color rgb="FF0000FF"/>
    </font>
    <font>
      <u/>
      <sz val="8.0"/>
      <color rgb="FF0000FF"/>
    </font>
    <font>
      <b/>
      <u/>
      <color rgb="FF0000FF"/>
    </font>
    <font>
      <u/>
      <sz val="8.0"/>
      <color rgb="FF0000FF"/>
    </font>
    <font>
      <b/>
      <u/>
      <color rgb="FF0000FF"/>
    </font>
    <font>
      <b/>
      <u/>
      <color rgb="FF0000FF"/>
    </font>
    <font>
      <b/>
      <u/>
      <color rgb="FF111111"/>
      <name val="Arial"/>
    </font>
    <font>
      <b/>
      <color rgb="FF111111"/>
      <name val="Arial"/>
    </font>
    <font>
      <b/>
      <u/>
      <color rgb="FF0000FF"/>
    </font>
    <font>
      <b/>
      <name val="Arial"/>
    </font>
    <font>
      <b/>
      <u/>
      <color rgb="FF0000FF"/>
    </font>
    <font>
      <u/>
      <sz val="8.0"/>
      <color rgb="FF1155CC"/>
      <name val="Arial"/>
    </font>
    <font>
      <b/>
      <u/>
      <color rgb="FF1155CC"/>
      <name val="Arial"/>
    </font>
    <font>
      <u/>
      <sz val="8.0"/>
      <color rgb="FF1155CC"/>
      <name val="Arial"/>
    </font>
    <font>
      <b/>
      <u/>
      <color rgb="FF1155CC"/>
      <name val="Arial"/>
    </font>
    <font>
      <color rgb="FFEFEFEF"/>
      <name val="Arial"/>
    </font>
    <font>
      <b/>
      <u/>
      <color rgb="FF1155CC"/>
      <name val="Arial"/>
    </font>
    <font>
      <b/>
      <color rgb="FFFFFFFF"/>
      <name val="Arial"/>
    </font>
    <font>
      <b/>
      <u/>
      <color rgb="FF1155CC"/>
      <name val="Arial"/>
    </font>
    <font>
      <b/>
      <u/>
      <color rgb="FF1155CC"/>
      <name val="Arial"/>
    </font>
    <font>
      <u/>
      <color rgb="FF0000FF"/>
    </font>
    <font>
      <u/>
      <color rgb="FF0000FF"/>
    </font>
    <font>
      <u/>
      <color rgb="FF0000FF"/>
    </font>
    <font>
      <b/>
      <sz val="11.0"/>
      <color rgb="FF000000"/>
      <name val="Inconsolata"/>
    </font>
    <font>
      <b/>
      <u/>
      <color rgb="FF0000FF"/>
    </font>
    <font>
      <u/>
      <color rgb="FF0000FF"/>
    </font>
    <font>
      <u/>
      <color rgb="FF0000FF"/>
    </font>
    <font>
      <u/>
      <color rgb="FF0000FF"/>
    </font>
    <font>
      <u/>
      <color rgb="FF0000FF"/>
    </font>
    <font>
      <b/>
      <u/>
      <color rgb="FF0000FF"/>
    </font>
    <font>
      <b/>
      <u/>
      <color rgb="FF0000FF"/>
    </font>
    <font>
      <u/>
      <color rgb="FF0000FF"/>
    </font>
    <font>
      <b/>
      <u/>
      <color rgb="FF0000FF"/>
    </font>
    <font>
      <u/>
      <color rgb="FF0000FF"/>
    </font>
    <font>
      <b/>
      <u/>
      <color rgb="FF1155CC"/>
      <name val="Arial"/>
    </font>
    <font>
      <b/>
      <u/>
      <color rgb="FF1155CC"/>
      <name val="Arial"/>
    </font>
    <font>
      <b/>
      <color rgb="FFCFE2F3"/>
    </font>
    <font>
      <b/>
      <u/>
      <color rgb="FF0000FF"/>
      <name val="Arial"/>
    </font>
    <font>
      <b/>
      <u/>
      <color rgb="FF0000FF"/>
      <name val="Arial"/>
    </font>
    <font>
      <u/>
      <color rgb="FF000000"/>
      <name val="Roboto"/>
    </font>
  </fonts>
  <fills count="151">
    <fill>
      <patternFill patternType="none"/>
    </fill>
    <fill>
      <patternFill patternType="lightGray"/>
    </fill>
    <fill>
      <patternFill patternType="solid">
        <fgColor rgb="FF3C78D8"/>
        <bgColor rgb="FF3C78D8"/>
      </patternFill>
    </fill>
    <fill>
      <patternFill patternType="solid">
        <fgColor rgb="FFE69138"/>
        <bgColor rgb="FFE69138"/>
      </patternFill>
    </fill>
    <fill>
      <patternFill patternType="solid">
        <fgColor rgb="FF6FA8DC"/>
        <bgColor rgb="FF6FA8DC"/>
      </patternFill>
    </fill>
    <fill>
      <patternFill patternType="solid">
        <fgColor rgb="FF8E7CC3"/>
        <bgColor rgb="FF8E7CC3"/>
      </patternFill>
    </fill>
    <fill>
      <patternFill patternType="solid">
        <fgColor rgb="FFC27BA0"/>
        <bgColor rgb="FFC27BA0"/>
      </patternFill>
    </fill>
    <fill>
      <patternFill patternType="solid">
        <fgColor rgb="FFFFD966"/>
        <bgColor rgb="FFFFD966"/>
      </patternFill>
    </fill>
    <fill>
      <patternFill patternType="solid">
        <fgColor rgb="FFDD7E6B"/>
        <bgColor rgb="FFDD7E6B"/>
      </patternFill>
    </fill>
    <fill>
      <patternFill patternType="solid">
        <fgColor rgb="FFB6D7A8"/>
        <bgColor rgb="FFB6D7A8"/>
      </patternFill>
    </fill>
    <fill>
      <patternFill patternType="solid">
        <fgColor rgb="FFF6B26B"/>
        <bgColor rgb="FFF6B26B"/>
      </patternFill>
    </fill>
    <fill>
      <patternFill patternType="solid">
        <fgColor rgb="FF93C47D"/>
        <bgColor rgb="FF93C47D"/>
      </patternFill>
    </fill>
    <fill>
      <patternFill patternType="solid">
        <fgColor rgb="FFE06666"/>
        <bgColor rgb="FFE06666"/>
      </patternFill>
    </fill>
    <fill>
      <patternFill patternType="solid">
        <fgColor rgb="FF6AA84F"/>
        <bgColor rgb="FF6AA84F"/>
      </patternFill>
    </fill>
    <fill>
      <patternFill patternType="solid">
        <fgColor rgb="FFFFF2CC"/>
        <bgColor rgb="FFFFF2CC"/>
      </patternFill>
    </fill>
    <fill>
      <patternFill patternType="solid">
        <fgColor rgb="FFFFFFFF"/>
        <bgColor rgb="FFFFFFFF"/>
      </patternFill>
    </fill>
    <fill>
      <patternFill patternType="solid">
        <fgColor rgb="FFD9D2E9"/>
        <bgColor rgb="FFD9D2E9"/>
      </patternFill>
    </fill>
    <fill>
      <patternFill patternType="solid">
        <fgColor rgb="FFD5A6BD"/>
        <bgColor rgb="FFD5A6BD"/>
      </patternFill>
    </fill>
    <fill>
      <patternFill patternType="solid">
        <fgColor rgb="FF6D9EEB"/>
        <bgColor rgb="FF6D9EEB"/>
      </patternFill>
    </fill>
    <fill>
      <patternFill patternType="solid">
        <fgColor rgb="FF674EA7"/>
        <bgColor rgb="FF674EA7"/>
      </patternFill>
    </fill>
    <fill>
      <patternFill patternType="solid">
        <fgColor rgb="FF741B47"/>
        <bgColor rgb="FF741B47"/>
      </patternFill>
    </fill>
    <fill>
      <patternFill patternType="solid">
        <fgColor rgb="FFB4A7D6"/>
        <bgColor rgb="FFB4A7D6"/>
      </patternFill>
    </fill>
    <fill>
      <patternFill patternType="solid">
        <fgColor rgb="FF00FF00"/>
        <bgColor rgb="FF00FF00"/>
      </patternFill>
    </fill>
    <fill>
      <patternFill patternType="solid">
        <fgColor rgb="FF9FC5E8"/>
        <bgColor rgb="FF9FC5E8"/>
      </patternFill>
    </fill>
    <fill>
      <patternFill patternType="solid">
        <fgColor rgb="FF3D85C6"/>
        <bgColor rgb="FF3D85C6"/>
      </patternFill>
    </fill>
    <fill>
      <patternFill patternType="solid">
        <fgColor rgb="FFB7E1CD"/>
        <bgColor rgb="FFB7E1CD"/>
      </patternFill>
    </fill>
    <fill>
      <patternFill patternType="solid">
        <fgColor rgb="FFD9EAD3"/>
        <bgColor rgb="FFD9EAD3"/>
      </patternFill>
    </fill>
    <fill>
      <patternFill patternType="solid">
        <fgColor rgb="FFCFE2F3"/>
        <bgColor rgb="FFCFE2F3"/>
      </patternFill>
    </fill>
    <fill>
      <patternFill patternType="solid">
        <fgColor rgb="FFA4C2F4"/>
        <bgColor rgb="FFA4C2F4"/>
      </patternFill>
    </fill>
    <fill>
      <patternFill patternType="solid">
        <fgColor rgb="FF96B5D1"/>
        <bgColor rgb="FF96B5D1"/>
      </patternFill>
    </fill>
    <fill>
      <patternFill patternType="solid">
        <fgColor rgb="FFBFB4DA"/>
        <bgColor rgb="FFBFB4DA"/>
      </patternFill>
    </fill>
    <fill>
      <patternFill patternType="solid">
        <fgColor rgb="FFB97295"/>
        <bgColor rgb="FFB97295"/>
      </patternFill>
    </fill>
    <fill>
      <patternFill patternType="solid">
        <fgColor rgb="FFC9DAF8"/>
        <bgColor rgb="FFC9DAF8"/>
      </patternFill>
    </fill>
    <fill>
      <patternFill patternType="solid">
        <fgColor rgb="FFF4CCCC"/>
        <bgColor rgb="FFF4CCCC"/>
      </patternFill>
    </fill>
    <fill>
      <patternFill patternType="solid">
        <fgColor rgb="FFA697CC"/>
        <bgColor rgb="FFA697CC"/>
      </patternFill>
    </fill>
    <fill>
      <patternFill patternType="solid">
        <fgColor rgb="FFD8AFC2"/>
        <bgColor rgb="FFD8AFC2"/>
      </patternFill>
    </fill>
    <fill>
      <patternFill patternType="solid">
        <fgColor rgb="FFEA9999"/>
        <bgColor rgb="FFEA9999"/>
      </patternFill>
    </fill>
    <fill>
      <patternFill patternType="solid">
        <fgColor rgb="FF3F77AA"/>
        <bgColor rgb="FF3F77AA"/>
      </patternFill>
    </fill>
    <fill>
      <patternFill patternType="solid">
        <fgColor rgb="FFAC9ECF"/>
        <bgColor rgb="FFAC9ECF"/>
      </patternFill>
    </fill>
    <fill>
      <patternFill patternType="solid">
        <fgColor rgb="FFC88FAB"/>
        <bgColor rgb="FFC88FAB"/>
      </patternFill>
    </fill>
    <fill>
      <patternFill patternType="solid">
        <fgColor rgb="FFFF0000"/>
        <bgColor rgb="FFFF0000"/>
      </patternFill>
    </fill>
    <fill>
      <patternFill patternType="solid">
        <fgColor rgb="FFFFE599"/>
        <bgColor rgb="FFFFE599"/>
      </patternFill>
    </fill>
    <fill>
      <patternFill patternType="solid">
        <fgColor rgb="FFFCE8B2"/>
        <bgColor rgb="FFFCE8B2"/>
      </patternFill>
    </fill>
    <fill>
      <patternFill patternType="solid">
        <fgColor rgb="FFD3CBE6"/>
        <bgColor rgb="FFD3CBE6"/>
      </patternFill>
    </fill>
    <fill>
      <patternFill patternType="solid">
        <fgColor rgb="FFCBDFF3"/>
        <bgColor rgb="FFCBDFF3"/>
      </patternFill>
    </fill>
    <fill>
      <patternFill patternType="solid">
        <fgColor rgb="FF9280C0"/>
        <bgColor rgb="FF9280C0"/>
      </patternFill>
    </fill>
    <fill>
      <patternFill patternType="solid">
        <fgColor rgb="FFBA7395"/>
        <bgColor rgb="FFBA7395"/>
      </patternFill>
    </fill>
    <fill>
      <patternFill patternType="solid">
        <fgColor rgb="FFD6AABF"/>
        <bgColor rgb="FFD6AABF"/>
      </patternFill>
    </fill>
    <fill>
      <patternFill patternType="solid">
        <fgColor rgb="FFC6DBF2"/>
        <bgColor rgb="FFC6DBF2"/>
      </patternFill>
    </fill>
    <fill>
      <patternFill patternType="solid">
        <fgColor rgb="FF7861B1"/>
        <bgColor rgb="FF7861B1"/>
      </patternFill>
    </fill>
    <fill>
      <patternFill patternType="solid">
        <fgColor rgb="FFB4698E"/>
        <bgColor rgb="FFB4698E"/>
      </patternFill>
    </fill>
    <fill>
      <patternFill patternType="solid">
        <fgColor rgb="FF9887C4"/>
        <bgColor rgb="FF9887C4"/>
      </patternFill>
    </fill>
    <fill>
      <patternFill patternType="solid">
        <fgColor rgb="FFB2638A"/>
        <bgColor rgb="FFB2638A"/>
      </patternFill>
    </fill>
    <fill>
      <patternFill patternType="solid">
        <fgColor rgb="FF9583C2"/>
        <bgColor rgb="FF9583C2"/>
      </patternFill>
    </fill>
    <fill>
      <patternFill patternType="solid">
        <fgColor rgb="FFC588A5"/>
        <bgColor rgb="FFC588A5"/>
      </patternFill>
    </fill>
    <fill>
      <patternFill patternType="solid">
        <fgColor rgb="FFC4DAF1"/>
        <bgColor rgb="FFC4DAF1"/>
      </patternFill>
    </fill>
    <fill>
      <patternFill patternType="solid">
        <fgColor rgb="FFDAB1C4"/>
        <bgColor rgb="FFDAB1C4"/>
      </patternFill>
    </fill>
    <fill>
      <patternFill patternType="solid">
        <fgColor rgb="FFC1D8F1"/>
        <bgColor rgb="FFC1D8F1"/>
      </patternFill>
    </fill>
    <fill>
      <patternFill patternType="solid">
        <fgColor rgb="FFAFA1D1"/>
        <bgColor rgb="FFAFA1D1"/>
      </patternFill>
    </fill>
    <fill>
      <patternFill patternType="solid">
        <fgColor rgb="FF8B78BC"/>
        <bgColor rgb="FF8B78BC"/>
      </patternFill>
    </fill>
    <fill>
      <patternFill patternType="solid">
        <fgColor rgb="FFB76D91"/>
        <bgColor rgb="FFB76D91"/>
      </patternFill>
    </fill>
    <fill>
      <patternFill patternType="solid">
        <fgColor rgb="FFBFD6F0"/>
        <bgColor rgb="FFBFD6F0"/>
      </patternFill>
    </fill>
    <fill>
      <patternFill patternType="solid">
        <fgColor rgb="FFC487A5"/>
        <bgColor rgb="FFC487A5"/>
      </patternFill>
    </fill>
    <fill>
      <patternFill patternType="solid">
        <fgColor rgb="FFBCD4F0"/>
        <bgColor rgb="FFBCD4F0"/>
      </patternFill>
    </fill>
    <fill>
      <patternFill patternType="solid">
        <fgColor rgb="FFCF9CB5"/>
        <bgColor rgb="FFCF9CB5"/>
      </patternFill>
    </fill>
    <fill>
      <patternFill patternType="solid">
        <fgColor rgb="FFDBB2C5"/>
        <bgColor rgb="FFDBB2C5"/>
      </patternFill>
    </fill>
    <fill>
      <patternFill patternType="solid">
        <fgColor rgb="FFB8D1EF"/>
        <bgColor rgb="FFB8D1EF"/>
      </patternFill>
    </fill>
    <fill>
      <patternFill patternType="solid">
        <fgColor rgb="FF1C5F9B"/>
        <bgColor rgb="FF1C5F9B"/>
      </patternFill>
    </fill>
    <fill>
      <patternFill patternType="solid">
        <fgColor rgb="FF8570B8"/>
        <bgColor rgb="FF8570B8"/>
      </patternFill>
    </fill>
    <fill>
      <patternFill patternType="solid">
        <fgColor rgb="FFB2648A"/>
        <bgColor rgb="FFB2648A"/>
      </patternFill>
    </fill>
    <fill>
      <patternFill patternType="solid">
        <fgColor rgb="FFB2A5D3"/>
        <bgColor rgb="FFB2A5D3"/>
      </patternFill>
    </fill>
    <fill>
      <patternFill patternType="solid">
        <fgColor rgb="FFC284A2"/>
        <bgColor rgb="FFC284A2"/>
      </patternFill>
    </fill>
    <fill>
      <patternFill patternType="solid">
        <fgColor rgb="FF5084B2"/>
        <bgColor rgb="FF5084B2"/>
      </patternFill>
    </fill>
    <fill>
      <patternFill patternType="solid">
        <fgColor rgb="FFCCC3E2"/>
        <bgColor rgb="FFCCC3E2"/>
      </patternFill>
    </fill>
    <fill>
      <patternFill patternType="solid">
        <fgColor rgb="FFCE9AB3"/>
        <bgColor rgb="FFCE9AB3"/>
      </patternFill>
    </fill>
    <fill>
      <patternFill patternType="solid">
        <fgColor rgb="FFB5CFEE"/>
        <bgColor rgb="FFB5CFEE"/>
      </patternFill>
    </fill>
    <fill>
      <patternFill patternType="solid">
        <fgColor rgb="FFC9C0E0"/>
        <bgColor rgb="FFC9C0E0"/>
      </patternFill>
    </fill>
    <fill>
      <patternFill patternType="solid">
        <fgColor rgb="FFD4A5BB"/>
        <bgColor rgb="FFD4A5BB"/>
      </patternFill>
    </fill>
    <fill>
      <patternFill patternType="solid">
        <fgColor rgb="FFD3E0EB"/>
        <bgColor rgb="FFD3E0EB"/>
      </patternFill>
    </fill>
    <fill>
      <patternFill patternType="solid">
        <fgColor rgb="FFE6CAD7"/>
        <bgColor rgb="FFE6CAD7"/>
      </patternFill>
    </fill>
    <fill>
      <patternFill patternType="solid">
        <fgColor rgb="FFAECAED"/>
        <bgColor rgb="FFAECAED"/>
      </patternFill>
    </fill>
    <fill>
      <patternFill patternType="solid">
        <fgColor rgb="FFB9ADD7"/>
        <bgColor rgb="FFB9ADD7"/>
      </patternFill>
    </fill>
    <fill>
      <patternFill patternType="solid">
        <fgColor rgb="FFC991AC"/>
        <bgColor rgb="FFC991AC"/>
      </patternFill>
    </fill>
    <fill>
      <patternFill patternType="solid">
        <fgColor rgb="FFE8CDD9"/>
        <bgColor rgb="FFE8CDD9"/>
      </patternFill>
    </fill>
    <fill>
      <patternFill patternType="solid">
        <fgColor rgb="FF8F7CBE"/>
        <bgColor rgb="FF8F7CBE"/>
      </patternFill>
    </fill>
    <fill>
      <patternFill patternType="solid">
        <fgColor rgb="FFAF5D85"/>
        <bgColor rgb="FFAF5D85"/>
      </patternFill>
    </fill>
    <fill>
      <patternFill patternType="solid">
        <fgColor rgb="FFA99ACD"/>
        <bgColor rgb="FFA99ACD"/>
      </patternFill>
    </fill>
    <fill>
      <patternFill patternType="solid">
        <fgColor rgb="FFB97094"/>
        <bgColor rgb="FFB97094"/>
      </patternFill>
    </fill>
    <fill>
      <patternFill patternType="solid">
        <fgColor rgb="FF9F8FC8"/>
        <bgColor rgb="FF9F8FC8"/>
      </patternFill>
    </fill>
    <fill>
      <patternFill patternType="solid">
        <fgColor rgb="FFBC7799"/>
        <bgColor rgb="FFBC7799"/>
      </patternFill>
    </fill>
    <fill>
      <patternFill patternType="solid">
        <fgColor rgb="FFC68CA8"/>
        <bgColor rgb="FFC68CA8"/>
      </patternFill>
    </fill>
    <fill>
      <patternFill patternType="solid">
        <fgColor rgb="FFACC8EC"/>
        <bgColor rgb="FFACC8EC"/>
      </patternFill>
    </fill>
    <fill>
      <patternFill patternType="solid">
        <fgColor rgb="FF826DB7"/>
        <bgColor rgb="FF826DB7"/>
      </patternFill>
    </fill>
    <fill>
      <patternFill patternType="solid">
        <fgColor rgb="FFD09FB6"/>
        <bgColor rgb="FFD09FB6"/>
      </patternFill>
    </fill>
    <fill>
      <patternFill patternType="solid">
        <fgColor rgb="FF739CC1"/>
        <bgColor rgb="FF739CC1"/>
      </patternFill>
    </fill>
    <fill>
      <patternFill patternType="solid">
        <fgColor rgb="FFD2A2B9"/>
        <bgColor rgb="FFD2A2B9"/>
      </patternFill>
    </fill>
    <fill>
      <patternFill patternType="solid">
        <fgColor rgb="FFA5C3EB"/>
        <bgColor rgb="FFA5C3EB"/>
      </patternFill>
    </fill>
    <fill>
      <patternFill patternType="solid">
        <fgColor rgb="FFB06087"/>
        <bgColor rgb="FFB06087"/>
      </patternFill>
    </fill>
    <fill>
      <patternFill patternType="solid">
        <fgColor rgb="FFDBB3C6"/>
        <bgColor rgb="FFDBB3C6"/>
      </patternFill>
    </fill>
    <fill>
      <patternFill patternType="solid">
        <fgColor rgb="FFCD99B2"/>
        <bgColor rgb="FFCD99B2"/>
      </patternFill>
    </fill>
    <fill>
      <patternFill patternType="solid">
        <fgColor rgb="FFA64D79"/>
        <bgColor rgb="FFA64D79"/>
      </patternFill>
    </fill>
    <fill>
      <patternFill patternType="solid">
        <fgColor rgb="FF94B7E8"/>
        <bgColor rgb="FF94B7E8"/>
      </patternFill>
    </fill>
    <fill>
      <patternFill patternType="solid">
        <fgColor rgb="FF0B5394"/>
        <bgColor rgb="FF0B5394"/>
      </patternFill>
    </fill>
    <fill>
      <patternFill patternType="solid">
        <fgColor rgb="FFBD789A"/>
        <bgColor rgb="FFBD789A"/>
      </patternFill>
    </fill>
    <fill>
      <patternFill patternType="solid">
        <fgColor rgb="FFB6A9D5"/>
        <bgColor rgb="FFB6A9D5"/>
      </patternFill>
    </fill>
    <fill>
      <patternFill patternType="solid">
        <fgColor rgb="FFBB7597"/>
        <bgColor rgb="FFBB7597"/>
      </patternFill>
    </fill>
    <fill>
      <patternFill patternType="solid">
        <fgColor rgb="FFC78DA9"/>
        <bgColor rgb="FFC78DA9"/>
      </patternFill>
    </fill>
    <fill>
      <patternFill patternType="solid">
        <fgColor rgb="FFD6CFE8"/>
        <bgColor rgb="FFD6CFE8"/>
      </patternFill>
    </fill>
    <fill>
      <patternFill patternType="solid">
        <fgColor rgb="FFD3A4BB"/>
        <bgColor rgb="FFD3A4BB"/>
      </patternFill>
    </fill>
    <fill>
      <patternFill patternType="solid">
        <fgColor rgb="FFD7ACC1"/>
        <bgColor rgb="FFD7ACC1"/>
      </patternFill>
    </fill>
    <fill>
      <patternFill patternType="solid">
        <fgColor rgb="FFEAD1DC"/>
        <bgColor rgb="FFEAD1DC"/>
      </patternFill>
    </fill>
    <fill>
      <patternFill patternType="solid">
        <fgColor rgb="FF88AEE5"/>
        <bgColor rgb="FF88AEE5"/>
      </patternFill>
    </fill>
    <fill>
      <patternFill patternType="solid">
        <fgColor rgb="FFDBB4C6"/>
        <bgColor rgb="FFDBB4C6"/>
      </patternFill>
    </fill>
    <fill>
      <patternFill patternType="solid">
        <fgColor rgb="FFC88EAA"/>
        <bgColor rgb="FFC88EAA"/>
      </patternFill>
    </fill>
    <fill>
      <patternFill patternType="solid">
        <fgColor rgb="FF7CA5E3"/>
        <bgColor rgb="FF7CA5E3"/>
      </patternFill>
    </fill>
    <fill>
      <patternFill patternType="solid">
        <fgColor rgb="FFDDB8C9"/>
        <bgColor rgb="FFDDB8C9"/>
      </patternFill>
    </fill>
    <fill>
      <patternFill patternType="solid">
        <fgColor rgb="FFE3C3D1"/>
        <bgColor rgb="FFE3C3D1"/>
      </patternFill>
    </fill>
    <fill>
      <patternFill patternType="solid">
        <fgColor rgb="FF709CE0"/>
        <bgColor rgb="FF709CE0"/>
      </patternFill>
    </fill>
    <fill>
      <patternFill patternType="solid">
        <fgColor rgb="FFDCB5C7"/>
        <bgColor rgb="FFDCB5C7"/>
      </patternFill>
    </fill>
    <fill>
      <patternFill patternType="solid">
        <fgColor rgb="FF9C8BC6"/>
        <bgColor rgb="FF9C8BC6"/>
      </patternFill>
    </fill>
    <fill>
      <patternFill patternType="solid">
        <fgColor rgb="FFBF7D9D"/>
        <bgColor rgb="FFBF7D9D"/>
      </patternFill>
    </fill>
    <fill>
      <patternFill patternType="solid">
        <fgColor rgb="FFC486A4"/>
        <bgColor rgb="FFC486A4"/>
      </patternFill>
    </fill>
    <fill>
      <patternFill patternType="solid">
        <fgColor rgb="FFBCB1D9"/>
        <bgColor rgb="FFBCB1D9"/>
      </patternFill>
    </fill>
    <fill>
      <patternFill patternType="solid">
        <fgColor rgb="FFC3B8DC"/>
        <bgColor rgb="FFC3B8DC"/>
      </patternFill>
    </fill>
    <fill>
      <patternFill patternType="solid">
        <fgColor rgb="FFD4A7BC"/>
        <bgColor rgb="FFD4A7BC"/>
      </patternFill>
    </fill>
    <fill>
      <patternFill patternType="solid">
        <fgColor rgb="FF6F9BE0"/>
        <bgColor rgb="FF6F9BE0"/>
      </patternFill>
    </fill>
    <fill>
      <patternFill patternType="solid">
        <fgColor rgb="FF6C99E0"/>
        <bgColor rgb="FF6C99E0"/>
      </patternFill>
    </fill>
    <fill>
      <patternFill patternType="solid">
        <fgColor rgb="FFC990AB"/>
        <bgColor rgb="FFC990AB"/>
      </patternFill>
    </fill>
    <fill>
      <patternFill patternType="solid">
        <fgColor rgb="FF6B98DF"/>
        <bgColor rgb="FF6B98DF"/>
      </patternFill>
    </fill>
    <fill>
      <patternFill patternType="solid">
        <fgColor rgb="FFC6BCDE"/>
        <bgColor rgb="FFC6BCDE"/>
      </patternFill>
    </fill>
    <fill>
      <patternFill patternType="solid">
        <fgColor rgb="FFC07F9F"/>
        <bgColor rgb="FFC07F9F"/>
      </patternFill>
    </fill>
    <fill>
      <patternFill patternType="solid">
        <fgColor rgb="FFAA547F"/>
        <bgColor rgb="FFAA547F"/>
      </patternFill>
    </fill>
    <fill>
      <patternFill patternType="solid">
        <fgColor rgb="FF6795DE"/>
        <bgColor rgb="FF6795DE"/>
      </patternFill>
    </fill>
    <fill>
      <patternFill patternType="solid">
        <fgColor rgb="FFCF9BB4"/>
        <bgColor rgb="FFCF9BB4"/>
      </patternFill>
    </fill>
    <fill>
      <patternFill patternType="solid">
        <fgColor rgb="FF6694DE"/>
        <bgColor rgb="FF6694DE"/>
      </patternFill>
    </fill>
    <fill>
      <patternFill patternType="solid">
        <fgColor rgb="FF6392DE"/>
        <bgColor rgb="FF6392DE"/>
      </patternFill>
    </fill>
    <fill>
      <patternFill patternType="solid">
        <fgColor rgb="FFB66C90"/>
        <bgColor rgb="FFB66C90"/>
      </patternFill>
    </fill>
    <fill>
      <patternFill patternType="solid">
        <fgColor rgb="FF7B65B3"/>
        <bgColor rgb="FF7B65B3"/>
      </patternFill>
    </fill>
    <fill>
      <patternFill patternType="solid">
        <fgColor rgb="FF6291DD"/>
        <bgColor rgb="FF6291DD"/>
      </patternFill>
    </fill>
    <fill>
      <patternFill patternType="solid">
        <fgColor rgb="FFB16289"/>
        <bgColor rgb="FFB16289"/>
      </patternFill>
    </fill>
    <fill>
      <patternFill patternType="solid">
        <fgColor rgb="FF6090DD"/>
        <bgColor rgb="FF6090DD"/>
      </patternFill>
    </fill>
    <fill>
      <patternFill patternType="solid">
        <fgColor rgb="FF7CA2C5"/>
        <bgColor rgb="FF7CA2C5"/>
      </patternFill>
    </fill>
    <fill>
      <patternFill patternType="solid">
        <fgColor rgb="FF598BDC"/>
        <bgColor rgb="FF598BDC"/>
      </patternFill>
    </fill>
    <fill>
      <patternFill patternType="solid">
        <fgColor rgb="FF8874BA"/>
        <bgColor rgb="FF8874BA"/>
      </patternFill>
    </fill>
    <fill>
      <patternFill patternType="solid">
        <fgColor rgb="FFB4678D"/>
        <bgColor rgb="FFB4678D"/>
      </patternFill>
    </fill>
    <fill>
      <patternFill patternType="solid">
        <fgColor rgb="FF6B52A9"/>
        <bgColor rgb="FF6B52A9"/>
      </patternFill>
    </fill>
    <fill>
      <patternFill patternType="solid">
        <fgColor rgb="FFB86F93"/>
        <bgColor rgb="FFB86F93"/>
      </patternFill>
    </fill>
    <fill>
      <patternFill patternType="solid">
        <fgColor rgb="FF487ED8"/>
        <bgColor rgb="FF487ED8"/>
      </patternFill>
    </fill>
    <fill>
      <patternFill patternType="solid">
        <fgColor rgb="FF1155CC"/>
        <bgColor rgb="FF1155CC"/>
      </patternFill>
    </fill>
    <fill>
      <patternFill patternType="solid">
        <fgColor rgb="FFB5698E"/>
        <bgColor rgb="FFB5698E"/>
      </patternFill>
    </fill>
    <fill>
      <patternFill patternType="solid">
        <fgColor rgb="FFDAB2C5"/>
        <bgColor rgb="FFDAB2C5"/>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bottom style="medium">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medium">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top style="medium">
        <color rgb="FF000000"/>
      </top>
    </border>
    <border>
      <right style="thin">
        <color rgb="FF000000"/>
      </right>
      <top style="medium">
        <color rgb="FF000000"/>
      </top>
    </border>
    <border>
      <right style="thin">
        <color rgb="FF000000"/>
      </right>
      <top style="thin">
        <color rgb="FF000000"/>
      </top>
    </border>
    <border>
      <left style="thin">
        <color rgb="FF000000"/>
      </left>
      <right style="thin">
        <color rgb="FF000000"/>
      </right>
      <top style="thin">
        <color rgb="FF000000"/>
      </top>
      <bottom style="thick">
        <color rgb="FF000000"/>
      </bottom>
    </border>
    <border>
      <bottom style="thick">
        <color rgb="FF000000"/>
      </bottom>
    </border>
    <border>
      <left style="thin">
        <color rgb="FF000000"/>
      </left>
      <right style="thin">
        <color rgb="FF000000"/>
      </right>
      <bottom style="thick">
        <color rgb="FF000000"/>
      </bottom>
    </border>
    <border>
      <right/>
    </border>
    <border>
      <bottom style="thin">
        <color rgb="FF000000"/>
      </bottom>
    </border>
    <border>
      <right/>
      <top style="thin">
        <color rgb="FF000000"/>
      </top>
      <bottom style="thin">
        <color rgb="FF000000"/>
      </bottom>
    </border>
    <border>
      <left style="thin">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left style="thin">
        <color rgb="FF000000"/>
      </left>
    </border>
    <border>
      <left style="thick">
        <color rgb="FF000000"/>
      </left>
      <right style="thin">
        <color rgb="FF000000"/>
      </right>
      <top style="thick">
        <color rgb="FF000000"/>
      </top>
    </border>
    <border>
      <left style="thin">
        <color rgb="FF000000"/>
      </left>
      <right style="thin">
        <color rgb="FF000000"/>
      </right>
      <top style="thick">
        <color rgb="FF000000"/>
      </top>
    </border>
    <border>
      <right style="thin">
        <color rgb="FF000000"/>
      </right>
      <top style="thick">
        <color rgb="FF000000"/>
      </top>
    </border>
    <border>
      <left style="thin">
        <color rgb="FF000000"/>
      </left>
      <right style="thick">
        <color rgb="FF000000"/>
      </right>
      <top style="thick">
        <color rgb="FF000000"/>
      </top>
    </border>
  </borders>
  <cellStyleXfs count="1">
    <xf borderId="0" fillId="0" fontId="0" numFmtId="0" applyAlignment="1" applyFont="1"/>
  </cellStyleXfs>
  <cellXfs count="801">
    <xf borderId="0" fillId="0" fontId="0" numFmtId="0" xfId="0" applyAlignment="1" applyFont="1">
      <alignment readingOrder="0" shrinkToFit="0" vertical="bottom" wrapText="0"/>
    </xf>
    <xf borderId="1" fillId="2" fontId="1" numFmtId="0" xfId="0" applyAlignment="1" applyBorder="1" applyFill="1" applyFont="1">
      <alignment readingOrder="0" textRotation="0" vertical="bottom"/>
    </xf>
    <xf borderId="1" fillId="3" fontId="1" numFmtId="0" xfId="0" applyAlignment="1" applyBorder="1" applyFill="1" applyFont="1">
      <alignment readingOrder="0" textRotation="90" vertical="center"/>
    </xf>
    <xf borderId="1" fillId="4" fontId="1" numFmtId="0" xfId="0" applyAlignment="1" applyBorder="1" applyFill="1" applyFont="1">
      <alignment readingOrder="0" textRotation="90" vertical="center"/>
    </xf>
    <xf borderId="1" fillId="2" fontId="1" numFmtId="0" xfId="0" applyAlignment="1" applyBorder="1" applyFont="1">
      <alignment readingOrder="0" textRotation="90" vertical="center"/>
    </xf>
    <xf borderId="1" fillId="5" fontId="1" numFmtId="0" xfId="0" applyAlignment="1" applyBorder="1" applyFill="1" applyFont="1">
      <alignment readingOrder="0" textRotation="90" vertical="center"/>
    </xf>
    <xf borderId="1" fillId="6" fontId="1" numFmtId="0" xfId="0" applyAlignment="1" applyBorder="1" applyFill="1" applyFont="1">
      <alignment readingOrder="0" textRotation="90" vertical="center"/>
    </xf>
    <xf borderId="1" fillId="7" fontId="1" numFmtId="0" xfId="0" applyAlignment="1" applyBorder="1" applyFill="1" applyFont="1">
      <alignment readingOrder="0" textRotation="90" vertical="center"/>
    </xf>
    <xf borderId="1" fillId="8" fontId="1" numFmtId="0" xfId="0" applyAlignment="1" applyBorder="1" applyFill="1" applyFont="1">
      <alignment horizontal="center" readingOrder="0" textRotation="90" vertical="center"/>
    </xf>
    <xf borderId="1" fillId="9" fontId="1" numFmtId="0" xfId="0" applyAlignment="1" applyBorder="1" applyFill="1" applyFont="1">
      <alignment readingOrder="0" textRotation="90" vertical="center"/>
    </xf>
    <xf borderId="1" fillId="10" fontId="1" numFmtId="0" xfId="0" applyAlignment="1" applyBorder="1" applyFill="1" applyFont="1">
      <alignment readingOrder="0" textRotation="90" vertical="center"/>
    </xf>
    <xf borderId="1" fillId="11" fontId="1" numFmtId="0" xfId="0" applyAlignment="1" applyBorder="1" applyFill="1" applyFont="1">
      <alignment horizontal="center" readingOrder="0" textRotation="90" vertical="center"/>
    </xf>
    <xf borderId="1" fillId="9" fontId="1" numFmtId="0" xfId="0" applyAlignment="1" applyBorder="1" applyFont="1">
      <alignment horizontal="center" readingOrder="0" textRotation="90" vertical="center"/>
    </xf>
    <xf borderId="1" fillId="10" fontId="1" numFmtId="0" xfId="0" applyAlignment="1" applyBorder="1" applyFont="1">
      <alignment readingOrder="0" textRotation="90" vertical="center"/>
    </xf>
    <xf borderId="1" fillId="12" fontId="1" numFmtId="0" xfId="0" applyAlignment="1" applyBorder="1" applyFill="1" applyFont="1">
      <alignment readingOrder="0" textRotation="90" vertical="center"/>
    </xf>
    <xf borderId="1" fillId="13" fontId="1" numFmtId="0" xfId="0" applyAlignment="1" applyBorder="1" applyFill="1" applyFont="1">
      <alignment readingOrder="0" textRotation="90" vertical="center"/>
    </xf>
    <xf borderId="0" fillId="10" fontId="1" numFmtId="0" xfId="0" applyAlignment="1" applyFont="1">
      <alignment readingOrder="0" textRotation="90" vertical="center"/>
    </xf>
    <xf borderId="0" fillId="14" fontId="2" numFmtId="0" xfId="0" applyAlignment="1" applyFill="1" applyFont="1">
      <alignment readingOrder="0"/>
    </xf>
    <xf borderId="0" fillId="14" fontId="3" numFmtId="0" xfId="0" applyAlignment="1" applyFont="1">
      <alignment readingOrder="0"/>
    </xf>
    <xf borderId="0" fillId="14" fontId="3" numFmtId="0" xfId="0" applyAlignment="1" applyFont="1">
      <alignment readingOrder="0"/>
    </xf>
    <xf borderId="0" fillId="14" fontId="3" numFmtId="0" xfId="0" applyAlignment="1" applyFont="1">
      <alignment horizontal="right" readingOrder="0"/>
    </xf>
    <xf borderId="0" fillId="14" fontId="1" numFmtId="0" xfId="0" applyAlignment="1" applyFont="1">
      <alignment readingOrder="0"/>
    </xf>
    <xf borderId="2" fillId="15" fontId="4" numFmtId="0" xfId="0" applyAlignment="1" applyBorder="1" applyFill="1" applyFont="1">
      <alignment readingOrder="0"/>
    </xf>
    <xf borderId="2" fillId="0" fontId="3" numFmtId="164" xfId="0" applyAlignment="1" applyBorder="1" applyFont="1" applyNumberFormat="1">
      <alignment readingOrder="0"/>
    </xf>
    <xf borderId="2" fillId="15" fontId="3" numFmtId="165" xfId="0" applyAlignment="1" applyBorder="1" applyFont="1" applyNumberFormat="1">
      <alignment readingOrder="0"/>
    </xf>
    <xf borderId="2" fillId="0" fontId="3" numFmtId="166" xfId="0" applyAlignment="1" applyBorder="1" applyFont="1" applyNumberFormat="1">
      <alignment horizontal="center" readingOrder="0"/>
    </xf>
    <xf borderId="2" fillId="16" fontId="3" numFmtId="165" xfId="0" applyAlignment="1" applyBorder="1" applyFill="1" applyFont="1" applyNumberFormat="1">
      <alignment readingOrder="0"/>
    </xf>
    <xf borderId="2" fillId="17" fontId="3" numFmtId="165" xfId="0" applyAlignment="1" applyBorder="1" applyFill="1" applyFont="1" applyNumberFormat="1">
      <alignment readingOrder="0"/>
    </xf>
    <xf borderId="2" fillId="0" fontId="3" numFmtId="49" xfId="0" applyAlignment="1" applyBorder="1" applyFont="1" applyNumberFormat="1">
      <alignment readingOrder="0" shrinkToFit="0" wrapText="0"/>
    </xf>
    <xf borderId="2" fillId="0" fontId="3" numFmtId="0" xfId="0" applyAlignment="1" applyBorder="1" applyFont="1">
      <alignment horizontal="right" readingOrder="0"/>
    </xf>
    <xf borderId="2" fillId="0" fontId="3" numFmtId="0" xfId="0" applyAlignment="1" applyBorder="1" applyFont="1">
      <alignment readingOrder="0"/>
    </xf>
    <xf borderId="2" fillId="0" fontId="3" numFmtId="167" xfId="0" applyAlignment="1" applyBorder="1" applyFont="1" applyNumberFormat="1">
      <alignment readingOrder="0"/>
    </xf>
    <xf borderId="2" fillId="0" fontId="3" numFmtId="49" xfId="0" applyAlignment="1" applyBorder="1" applyFont="1" applyNumberFormat="1">
      <alignment readingOrder="0"/>
    </xf>
    <xf borderId="2" fillId="0" fontId="3" numFmtId="49" xfId="0" applyAlignment="1" applyBorder="1" applyFont="1" applyNumberFormat="1">
      <alignment horizontal="center"/>
    </xf>
    <xf borderId="2" fillId="0" fontId="3" numFmtId="168" xfId="0" applyAlignment="1" applyBorder="1" applyFont="1" applyNumberFormat="1">
      <alignment readingOrder="0"/>
    </xf>
    <xf borderId="2" fillId="0" fontId="3" numFmtId="169" xfId="0" applyAlignment="1" applyBorder="1" applyFont="1" applyNumberFormat="1">
      <alignment readingOrder="0"/>
    </xf>
    <xf borderId="2" fillId="0" fontId="5" numFmtId="0" xfId="0" applyAlignment="1" applyBorder="1" applyFont="1">
      <alignment readingOrder="0"/>
    </xf>
    <xf borderId="3" fillId="0" fontId="3" numFmtId="0" xfId="0" applyAlignment="1" applyBorder="1" applyFont="1">
      <alignment readingOrder="0"/>
    </xf>
    <xf borderId="4" fillId="15" fontId="1" numFmtId="0" xfId="0" applyAlignment="1" applyBorder="1" applyFont="1">
      <alignment readingOrder="0"/>
    </xf>
    <xf borderId="4" fillId="0" fontId="3" numFmtId="164" xfId="0" applyAlignment="1" applyBorder="1" applyFont="1" applyNumberFormat="1">
      <alignment readingOrder="0"/>
    </xf>
    <xf borderId="4" fillId="15" fontId="3" numFmtId="165" xfId="0" applyAlignment="1" applyBorder="1" applyFont="1" applyNumberFormat="1">
      <alignment readingOrder="0"/>
    </xf>
    <xf borderId="4" fillId="0" fontId="3" numFmtId="166" xfId="0" applyAlignment="1" applyBorder="1" applyFont="1" applyNumberFormat="1">
      <alignment horizontal="center" readingOrder="0"/>
    </xf>
    <xf borderId="4" fillId="0" fontId="3" numFmtId="170" xfId="0" applyAlignment="1" applyBorder="1" applyFont="1" applyNumberFormat="1">
      <alignment readingOrder="0"/>
    </xf>
    <xf borderId="4" fillId="0" fontId="3" numFmtId="165" xfId="0" applyAlignment="1" applyBorder="1" applyFont="1" applyNumberFormat="1">
      <alignment readingOrder="0"/>
    </xf>
    <xf borderId="4" fillId="0" fontId="3" numFmtId="49" xfId="0" applyAlignment="1" applyBorder="1" applyFont="1" applyNumberFormat="1">
      <alignment readingOrder="0"/>
    </xf>
    <xf borderId="4" fillId="0" fontId="3" numFmtId="0" xfId="0" applyAlignment="1" applyBorder="1" applyFont="1">
      <alignment horizontal="right" readingOrder="0"/>
    </xf>
    <xf borderId="4" fillId="0" fontId="3" numFmtId="0" xfId="0" applyAlignment="1" applyBorder="1" applyFont="1">
      <alignment readingOrder="0"/>
    </xf>
    <xf borderId="4" fillId="0" fontId="3" numFmtId="167" xfId="0" applyAlignment="1" applyBorder="1" applyFont="1" applyNumberFormat="1">
      <alignment readingOrder="0"/>
    </xf>
    <xf borderId="4" fillId="0" fontId="3" numFmtId="49" xfId="0" applyAlignment="1" applyBorder="1" applyFont="1" applyNumberFormat="1">
      <alignment horizontal="center"/>
    </xf>
    <xf borderId="4" fillId="0" fontId="3" numFmtId="168" xfId="0" applyAlignment="1" applyBorder="1" applyFont="1" applyNumberFormat="1">
      <alignment readingOrder="0"/>
    </xf>
    <xf borderId="4" fillId="0" fontId="3" numFmtId="169" xfId="0" applyAlignment="1" applyBorder="1" applyFont="1" applyNumberFormat="1">
      <alignment readingOrder="0"/>
    </xf>
    <xf borderId="4" fillId="0" fontId="6" numFmtId="0" xfId="0" applyAlignment="1" applyBorder="1" applyFont="1">
      <alignment readingOrder="0"/>
    </xf>
    <xf borderId="4" fillId="0" fontId="7" numFmtId="0" xfId="0" applyAlignment="1" applyBorder="1" applyFont="1">
      <alignment readingOrder="0"/>
    </xf>
    <xf borderId="5" fillId="15" fontId="1" numFmtId="0" xfId="0" applyAlignment="1" applyBorder="1" applyFont="1">
      <alignment readingOrder="0"/>
    </xf>
    <xf borderId="5" fillId="0" fontId="3" numFmtId="164" xfId="0" applyAlignment="1" applyBorder="1" applyFont="1" applyNumberFormat="1">
      <alignment readingOrder="0"/>
    </xf>
    <xf borderId="5" fillId="15" fontId="3" numFmtId="165" xfId="0" applyAlignment="1" applyBorder="1" applyFont="1" applyNumberFormat="1">
      <alignment readingOrder="0"/>
    </xf>
    <xf borderId="5" fillId="0" fontId="3" numFmtId="166" xfId="0" applyAlignment="1" applyBorder="1" applyFont="1" applyNumberFormat="1">
      <alignment horizontal="center" readingOrder="0"/>
    </xf>
    <xf borderId="5" fillId="0" fontId="3" numFmtId="170" xfId="0" applyAlignment="1" applyBorder="1" applyFont="1" applyNumberFormat="1">
      <alignment readingOrder="0"/>
    </xf>
    <xf borderId="5" fillId="0" fontId="3" numFmtId="165" xfId="0" applyAlignment="1" applyBorder="1" applyFont="1" applyNumberFormat="1">
      <alignment readingOrder="0"/>
    </xf>
    <xf borderId="5" fillId="0" fontId="3" numFmtId="49" xfId="0" applyAlignment="1" applyBorder="1" applyFont="1" applyNumberFormat="1">
      <alignment readingOrder="0"/>
    </xf>
    <xf borderId="5" fillId="0" fontId="3" numFmtId="0" xfId="0" applyAlignment="1" applyBorder="1" applyFont="1">
      <alignment horizontal="right" readingOrder="0"/>
    </xf>
    <xf borderId="5" fillId="0" fontId="3" numFmtId="0" xfId="0" applyAlignment="1" applyBorder="1" applyFont="1">
      <alignment readingOrder="0"/>
    </xf>
    <xf borderId="5" fillId="0" fontId="3" numFmtId="167" xfId="0" applyAlignment="1" applyBorder="1" applyFont="1" applyNumberFormat="1">
      <alignment readingOrder="0"/>
    </xf>
    <xf borderId="5" fillId="0" fontId="3" numFmtId="49" xfId="0" applyAlignment="1" applyBorder="1" applyFont="1" applyNumberFormat="1">
      <alignment horizontal="center" readingOrder="0"/>
    </xf>
    <xf borderId="5" fillId="0" fontId="3" numFmtId="168" xfId="0" applyAlignment="1" applyBorder="1" applyFont="1" applyNumberFormat="1">
      <alignment readingOrder="0"/>
    </xf>
    <xf borderId="5" fillId="0" fontId="3" numFmtId="169" xfId="0" applyAlignment="1" applyBorder="1" applyFont="1" applyNumberFormat="1">
      <alignment readingOrder="0"/>
    </xf>
    <xf borderId="5" fillId="0" fontId="8" numFmtId="0" xfId="0" applyAlignment="1" applyBorder="1" applyFont="1">
      <alignment readingOrder="0"/>
    </xf>
    <xf borderId="5" fillId="0" fontId="9" numFmtId="0" xfId="0" applyAlignment="1" applyBorder="1" applyFont="1">
      <alignment readingOrder="0"/>
    </xf>
    <xf borderId="0" fillId="0" fontId="3" numFmtId="0" xfId="0" applyAlignment="1" applyFont="1">
      <alignment readingOrder="0"/>
    </xf>
    <xf borderId="2" fillId="16" fontId="3" numFmtId="170" xfId="0" applyAlignment="1" applyBorder="1" applyFont="1" applyNumberFormat="1">
      <alignment readingOrder="0"/>
    </xf>
    <xf borderId="2" fillId="0" fontId="8" numFmtId="0" xfId="0" applyAlignment="1" applyBorder="1" applyFont="1">
      <alignment readingOrder="0"/>
    </xf>
    <xf borderId="4" fillId="18" fontId="3" numFmtId="166" xfId="0" applyAlignment="1" applyBorder="1" applyFill="1" applyFont="1" applyNumberFormat="1">
      <alignment horizontal="center" readingOrder="0"/>
    </xf>
    <xf borderId="4" fillId="19" fontId="3" numFmtId="170" xfId="0" applyAlignment="1" applyBorder="1" applyFill="1" applyFont="1" applyNumberFormat="1">
      <alignment readingOrder="0"/>
    </xf>
    <xf borderId="4" fillId="20" fontId="3" numFmtId="165" xfId="0" applyAlignment="1" applyBorder="1" applyFill="1" applyFont="1" applyNumberFormat="1">
      <alignment readingOrder="0"/>
    </xf>
    <xf borderId="4" fillId="0" fontId="3" numFmtId="171" xfId="0" applyAlignment="1" applyBorder="1" applyFont="1" applyNumberFormat="1">
      <alignment horizontal="center" readingOrder="0"/>
    </xf>
    <xf borderId="1" fillId="15" fontId="1" numFmtId="0" xfId="0" applyAlignment="1" applyBorder="1" applyFont="1">
      <alignment readingOrder="0"/>
    </xf>
    <xf borderId="1" fillId="0" fontId="3" numFmtId="164" xfId="0" applyAlignment="1" applyBorder="1" applyFont="1" applyNumberFormat="1">
      <alignment readingOrder="0"/>
    </xf>
    <xf borderId="1" fillId="15" fontId="3" numFmtId="165" xfId="0" applyAlignment="1" applyBorder="1" applyFont="1" applyNumberFormat="1">
      <alignment readingOrder="0"/>
    </xf>
    <xf borderId="1" fillId="0" fontId="3" numFmtId="166" xfId="0" applyAlignment="1" applyBorder="1" applyFont="1" applyNumberFormat="1">
      <alignment horizontal="center" readingOrder="0"/>
    </xf>
    <xf borderId="1" fillId="0" fontId="3" numFmtId="170" xfId="0" applyAlignment="1" applyBorder="1" applyFont="1" applyNumberFormat="1">
      <alignment readingOrder="0"/>
    </xf>
    <xf borderId="1" fillId="20" fontId="3" numFmtId="165" xfId="0" applyAlignment="1" applyBorder="1" applyFont="1" applyNumberFormat="1">
      <alignment readingOrder="0"/>
    </xf>
    <xf borderId="1" fillId="0" fontId="3" numFmtId="0" xfId="0" applyAlignment="1" applyBorder="1" applyFont="1">
      <alignment readingOrder="0"/>
    </xf>
    <xf borderId="1" fillId="0" fontId="3" numFmtId="0" xfId="0" applyAlignment="1" applyBorder="1" applyFont="1">
      <alignment horizontal="right" readingOrder="0"/>
    </xf>
    <xf borderId="1" fillId="0" fontId="3" numFmtId="167" xfId="0" applyAlignment="1" applyBorder="1" applyFont="1" applyNumberFormat="1">
      <alignment readingOrder="0"/>
    </xf>
    <xf borderId="1" fillId="0" fontId="3" numFmtId="49" xfId="0" applyAlignment="1" applyBorder="1" applyFont="1" applyNumberFormat="1">
      <alignment readingOrder="0"/>
    </xf>
    <xf borderId="1" fillId="0" fontId="3" numFmtId="0" xfId="0" applyAlignment="1" applyBorder="1" applyFont="1">
      <alignment horizontal="center" readingOrder="0"/>
    </xf>
    <xf borderId="1" fillId="0" fontId="3" numFmtId="168" xfId="0" applyAlignment="1" applyBorder="1" applyFont="1" applyNumberFormat="1">
      <alignment readingOrder="0"/>
    </xf>
    <xf borderId="1" fillId="0" fontId="3" numFmtId="169" xfId="0" applyAlignment="1" applyBorder="1" applyFont="1" applyNumberFormat="1">
      <alignment readingOrder="0"/>
    </xf>
    <xf borderId="1" fillId="0" fontId="10" numFmtId="0" xfId="0" applyAlignment="1" applyBorder="1" applyFont="1">
      <alignment readingOrder="0"/>
    </xf>
    <xf borderId="1" fillId="0" fontId="8" numFmtId="0" xfId="0" applyAlignment="1" applyBorder="1" applyFont="1">
      <alignment readingOrder="0"/>
    </xf>
    <xf borderId="2" fillId="15" fontId="1" numFmtId="0" xfId="0" applyAlignment="1" applyBorder="1" applyFont="1">
      <alignment readingOrder="0"/>
    </xf>
    <xf borderId="2" fillId="0" fontId="3" numFmtId="170" xfId="0" applyAlignment="1" applyBorder="1" applyFont="1" applyNumberFormat="1">
      <alignment readingOrder="0"/>
    </xf>
    <xf borderId="2" fillId="0" fontId="3" numFmtId="165" xfId="0" applyAlignment="1" applyBorder="1" applyFont="1" applyNumberFormat="1">
      <alignment readingOrder="0"/>
    </xf>
    <xf borderId="2" fillId="0" fontId="3" numFmtId="171" xfId="0" applyAlignment="1" applyBorder="1" applyFont="1" applyNumberFormat="1">
      <alignment horizontal="center" readingOrder="0"/>
    </xf>
    <xf borderId="3" fillId="0" fontId="3" numFmtId="0" xfId="0" applyBorder="1" applyFont="1"/>
    <xf borderId="6" fillId="15" fontId="11" numFmtId="0" xfId="0" applyAlignment="1" applyBorder="1" applyFont="1">
      <alignment readingOrder="0"/>
    </xf>
    <xf borderId="6" fillId="0" fontId="3" numFmtId="164" xfId="0" applyAlignment="1" applyBorder="1" applyFont="1" applyNumberFormat="1">
      <alignment readingOrder="0"/>
    </xf>
    <xf borderId="6" fillId="15" fontId="3" numFmtId="165" xfId="0" applyAlignment="1" applyBorder="1" applyFont="1" applyNumberFormat="1">
      <alignment readingOrder="0"/>
    </xf>
    <xf borderId="6" fillId="0" fontId="3" numFmtId="166" xfId="0" applyAlignment="1" applyBorder="1" applyFont="1" applyNumberFormat="1">
      <alignment horizontal="center" readingOrder="0"/>
    </xf>
    <xf borderId="6" fillId="16" fontId="3" numFmtId="170" xfId="0" applyAlignment="1" applyBorder="1" applyFont="1" applyNumberFormat="1">
      <alignment readingOrder="0"/>
    </xf>
    <xf borderId="6" fillId="17" fontId="3" numFmtId="165" xfId="0" applyAlignment="1" applyBorder="1" applyFont="1" applyNumberFormat="1">
      <alignment readingOrder="0"/>
    </xf>
    <xf borderId="6" fillId="0" fontId="3" numFmtId="49" xfId="0" applyAlignment="1" applyBorder="1" applyFont="1" applyNumberFormat="1">
      <alignment readingOrder="0"/>
    </xf>
    <xf borderId="6" fillId="0" fontId="3" numFmtId="0" xfId="0" applyAlignment="1" applyBorder="1" applyFont="1">
      <alignment horizontal="right" readingOrder="0"/>
    </xf>
    <xf borderId="6" fillId="0" fontId="3" numFmtId="0" xfId="0" applyAlignment="1" applyBorder="1" applyFont="1">
      <alignment readingOrder="0"/>
    </xf>
    <xf borderId="6" fillId="0" fontId="3" numFmtId="167" xfId="0" applyAlignment="1" applyBorder="1" applyFont="1" applyNumberFormat="1">
      <alignment readingOrder="0"/>
    </xf>
    <xf borderId="6" fillId="0" fontId="3" numFmtId="49" xfId="0" applyAlignment="1" applyBorder="1" applyFont="1" applyNumberFormat="1">
      <alignment horizontal="center" readingOrder="0"/>
    </xf>
    <xf borderId="6" fillId="0" fontId="3" numFmtId="168" xfId="0" applyAlignment="1" applyBorder="1" applyFont="1" applyNumberFormat="1">
      <alignment readingOrder="0"/>
    </xf>
    <xf borderId="6" fillId="0" fontId="3" numFmtId="169" xfId="0" applyAlignment="1" applyBorder="1" applyFont="1" applyNumberFormat="1">
      <alignment readingOrder="0"/>
    </xf>
    <xf borderId="6" fillId="0" fontId="12" numFmtId="0" xfId="0" applyAlignment="1" applyBorder="1" applyFont="1">
      <alignment readingOrder="0"/>
    </xf>
    <xf borderId="4" fillId="15" fontId="13" numFmtId="0" xfId="0" applyAlignment="1" applyBorder="1" applyFont="1">
      <alignment readingOrder="0"/>
    </xf>
    <xf borderId="4" fillId="5" fontId="3" numFmtId="0" xfId="0" applyAlignment="1" applyBorder="1" applyFont="1">
      <alignment readingOrder="0"/>
    </xf>
    <xf borderId="4" fillId="0" fontId="3" numFmtId="49" xfId="0" applyAlignment="1" applyBorder="1" applyFont="1" applyNumberFormat="1">
      <alignment horizontal="center" readingOrder="0"/>
    </xf>
    <xf borderId="2" fillId="0" fontId="3" numFmtId="49" xfId="0" applyAlignment="1" applyBorder="1" applyFont="1" applyNumberFormat="1">
      <alignment horizontal="center" readingOrder="0"/>
    </xf>
    <xf borderId="6" fillId="21" fontId="3" numFmtId="170" xfId="0" applyAlignment="1" applyBorder="1" applyFill="1" applyFont="1" applyNumberFormat="1">
      <alignment readingOrder="0"/>
    </xf>
    <xf borderId="6" fillId="0" fontId="3" numFmtId="165" xfId="0" applyAlignment="1" applyBorder="1" applyFont="1" applyNumberFormat="1">
      <alignment readingOrder="0"/>
    </xf>
    <xf borderId="6" fillId="22" fontId="3" numFmtId="169" xfId="0" applyAlignment="1" applyBorder="1" applyFill="1" applyFont="1" applyNumberFormat="1">
      <alignment readingOrder="0"/>
    </xf>
    <xf borderId="0" fillId="0" fontId="3" numFmtId="0" xfId="0" applyAlignment="1" applyFont="1">
      <alignment readingOrder="0"/>
    </xf>
    <xf borderId="2" fillId="15" fontId="1" numFmtId="0" xfId="0" applyAlignment="1" applyBorder="1" applyFont="1">
      <alignment readingOrder="0"/>
    </xf>
    <xf borderId="2" fillId="0" fontId="14" numFmtId="0" xfId="0" applyAlignment="1" applyBorder="1" applyFont="1">
      <alignment readingOrder="0"/>
    </xf>
    <xf borderId="2" fillId="0" fontId="8" numFmtId="0" xfId="0" applyAlignment="1" applyBorder="1" applyFont="1">
      <alignment readingOrder="0"/>
    </xf>
    <xf borderId="4" fillId="23" fontId="3" numFmtId="166" xfId="0" applyAlignment="1" applyBorder="1" applyFill="1" applyFont="1" applyNumberFormat="1">
      <alignment horizontal="center" readingOrder="0"/>
    </xf>
    <xf borderId="1" fillId="18" fontId="3" numFmtId="166" xfId="0" applyAlignment="1" applyBorder="1" applyFont="1" applyNumberFormat="1">
      <alignment horizontal="center" readingOrder="0"/>
    </xf>
    <xf borderId="1" fillId="0" fontId="3" numFmtId="165" xfId="0" applyAlignment="1" applyBorder="1" applyFont="1" applyNumberFormat="1">
      <alignment readingOrder="0"/>
    </xf>
    <xf borderId="1" fillId="0" fontId="3" numFmtId="171" xfId="0" applyAlignment="1" applyBorder="1" applyFont="1" applyNumberFormat="1">
      <alignment horizontal="center" readingOrder="0"/>
    </xf>
    <xf borderId="1" fillId="15" fontId="1" numFmtId="0" xfId="0" applyAlignment="1" applyBorder="1" applyFont="1">
      <alignment readingOrder="0"/>
    </xf>
    <xf borderId="1" fillId="24" fontId="3" numFmtId="166" xfId="0" applyAlignment="1" applyBorder="1" applyFill="1" applyFont="1" applyNumberFormat="1">
      <alignment horizontal="center" readingOrder="0"/>
    </xf>
    <xf borderId="1" fillId="25" fontId="15" numFmtId="165" xfId="0" applyAlignment="1" applyBorder="1" applyFill="1" applyFont="1" applyNumberFormat="1">
      <alignment horizontal="right" readingOrder="0" vertical="bottom"/>
    </xf>
    <xf borderId="7" fillId="0" fontId="15" numFmtId="165" xfId="0" applyAlignment="1" applyBorder="1" applyFont="1" applyNumberFormat="1">
      <alignment readingOrder="0" vertical="bottom"/>
    </xf>
    <xf borderId="1" fillId="0" fontId="3" numFmtId="49" xfId="0" applyAlignment="1" applyBorder="1" applyFont="1" applyNumberFormat="1">
      <alignment horizontal="center" readingOrder="0"/>
    </xf>
    <xf borderId="1" fillId="26" fontId="3" numFmtId="169" xfId="0" applyAlignment="1" applyBorder="1" applyFill="1" applyFont="1" applyNumberFormat="1">
      <alignment readingOrder="0"/>
    </xf>
    <xf borderId="1" fillId="0" fontId="8" numFmtId="0" xfId="0" applyAlignment="1" applyBorder="1" applyFont="1">
      <alignment readingOrder="0"/>
    </xf>
    <xf borderId="1" fillId="15" fontId="16" numFmtId="0" xfId="0" applyAlignment="1" applyBorder="1" applyFont="1">
      <alignment readingOrder="0"/>
    </xf>
    <xf borderId="1" fillId="25" fontId="15" numFmtId="165" xfId="0" applyAlignment="1" applyBorder="1" applyFont="1" applyNumberFormat="1">
      <alignment horizontal="right" vertical="bottom"/>
    </xf>
    <xf borderId="7" fillId="0" fontId="15" numFmtId="165" xfId="0" applyAlignment="1" applyBorder="1" applyFont="1" applyNumberFormat="1">
      <alignment vertical="bottom"/>
    </xf>
    <xf borderId="2" fillId="24" fontId="3" numFmtId="166" xfId="0" applyAlignment="1" applyBorder="1" applyFont="1" applyNumberFormat="1">
      <alignment horizontal="center" readingOrder="0"/>
    </xf>
    <xf borderId="6" fillId="25" fontId="15" numFmtId="165" xfId="0" applyAlignment="1" applyBorder="1" applyFont="1" applyNumberFormat="1">
      <alignment horizontal="right" vertical="bottom"/>
    </xf>
    <xf borderId="8" fillId="25" fontId="15" numFmtId="165" xfId="0" applyAlignment="1" applyBorder="1" applyFont="1" applyNumberFormat="1">
      <alignment vertical="bottom"/>
    </xf>
    <xf borderId="1" fillId="0" fontId="1" numFmtId="0" xfId="0" applyAlignment="1" applyBorder="1" applyFont="1">
      <alignment readingOrder="0"/>
    </xf>
    <xf borderId="4" fillId="25" fontId="15" numFmtId="165" xfId="0" applyAlignment="1" applyBorder="1" applyFont="1" applyNumberFormat="1">
      <alignment horizontal="right" readingOrder="0" vertical="bottom"/>
    </xf>
    <xf borderId="9" fillId="25" fontId="15" numFmtId="165" xfId="0" applyAlignment="1" applyBorder="1" applyFont="1" applyNumberFormat="1">
      <alignment readingOrder="0" vertical="bottom"/>
    </xf>
    <xf borderId="1" fillId="27" fontId="3" numFmtId="0" xfId="0" applyAlignment="1" applyBorder="1" applyFill="1" applyFont="1">
      <alignment readingOrder="0"/>
    </xf>
    <xf borderId="10" fillId="0" fontId="3" numFmtId="169" xfId="0" applyAlignment="1" applyBorder="1" applyFont="1" applyNumberFormat="1">
      <alignment readingOrder="0"/>
    </xf>
    <xf borderId="1" fillId="0" fontId="17" numFmtId="0" xfId="0" applyAlignment="1" applyBorder="1" applyFont="1">
      <alignment readingOrder="0"/>
    </xf>
    <xf borderId="4" fillId="28" fontId="3" numFmtId="166" xfId="0" applyAlignment="1" applyBorder="1" applyFill="1" applyFont="1" applyNumberFormat="1">
      <alignment horizontal="center" readingOrder="0"/>
    </xf>
    <xf borderId="4" fillId="25" fontId="15" numFmtId="165" xfId="0" applyAlignment="1" applyBorder="1" applyFont="1" applyNumberFormat="1">
      <alignment horizontal="right" vertical="bottom"/>
    </xf>
    <xf borderId="9" fillId="0" fontId="15" numFmtId="165" xfId="0" applyAlignment="1" applyBorder="1" applyFont="1" applyNumberFormat="1">
      <alignment vertical="bottom"/>
    </xf>
    <xf borderId="4" fillId="0" fontId="8" numFmtId="0" xfId="0" applyAlignment="1" applyBorder="1" applyFont="1">
      <alignment readingOrder="0"/>
    </xf>
    <xf borderId="6" fillId="25" fontId="15" numFmtId="165" xfId="0" applyAlignment="1" applyBorder="1" applyFont="1" applyNumberFormat="1">
      <alignment horizontal="right" vertical="bottom"/>
    </xf>
    <xf borderId="2" fillId="0" fontId="3" numFmtId="0" xfId="0" applyBorder="1" applyFont="1"/>
    <xf borderId="1" fillId="28" fontId="3" numFmtId="166" xfId="0" applyAlignment="1" applyBorder="1" applyFont="1" applyNumberFormat="1">
      <alignment horizontal="center" readingOrder="0"/>
    </xf>
    <xf borderId="9" fillId="0" fontId="15" numFmtId="165" xfId="0" applyAlignment="1" applyBorder="1" applyFont="1" applyNumberFormat="1">
      <alignment readingOrder="0" vertical="bottom"/>
    </xf>
    <xf borderId="9" fillId="25" fontId="15" numFmtId="165" xfId="0" applyAlignment="1" applyBorder="1" applyFont="1" applyNumberFormat="1">
      <alignment vertical="bottom"/>
    </xf>
    <xf borderId="1" fillId="0" fontId="18" numFmtId="0" xfId="0" applyAlignment="1" applyBorder="1" applyFont="1">
      <alignment readingOrder="0"/>
    </xf>
    <xf borderId="1" fillId="22" fontId="3" numFmtId="169" xfId="0" applyAlignment="1" applyBorder="1" applyFont="1" applyNumberFormat="1">
      <alignment readingOrder="0"/>
    </xf>
    <xf borderId="1" fillId="5" fontId="3" numFmtId="0" xfId="0" applyAlignment="1" applyBorder="1" applyFont="1">
      <alignment readingOrder="0"/>
    </xf>
    <xf borderId="8" fillId="0" fontId="15" numFmtId="165" xfId="0" applyAlignment="1" applyBorder="1" applyFont="1" applyNumberFormat="1">
      <alignment vertical="bottom"/>
    </xf>
    <xf borderId="2" fillId="5" fontId="3" numFmtId="0" xfId="0" applyAlignment="1" applyBorder="1" applyFont="1">
      <alignment readingOrder="0"/>
    </xf>
    <xf borderId="1" fillId="15" fontId="19" numFmtId="0" xfId="0" applyAlignment="1" applyBorder="1" applyFont="1">
      <alignment readingOrder="0" vertical="bottom"/>
    </xf>
    <xf borderId="7" fillId="7" fontId="15" numFmtId="164" xfId="0" applyAlignment="1" applyBorder="1" applyFont="1" applyNumberFormat="1">
      <alignment horizontal="right" readingOrder="0" vertical="bottom"/>
    </xf>
    <xf borderId="7" fillId="15" fontId="15" numFmtId="165" xfId="0" applyAlignment="1" applyBorder="1" applyFont="1" applyNumberFormat="1">
      <alignment horizontal="right" vertical="bottom"/>
    </xf>
    <xf borderId="7" fillId="29" fontId="15" numFmtId="166" xfId="0" applyAlignment="1" applyBorder="1" applyFill="1" applyFont="1" applyNumberFormat="1">
      <alignment horizontal="center" vertical="bottom"/>
    </xf>
    <xf borderId="7" fillId="30" fontId="15" numFmtId="165" xfId="0" applyAlignment="1" applyBorder="1" applyFill="1" applyFont="1" applyNumberFormat="1">
      <alignment horizontal="right" readingOrder="0" vertical="bottom"/>
    </xf>
    <xf borderId="7" fillId="31" fontId="15" numFmtId="165" xfId="0" applyAlignment="1" applyBorder="1" applyFill="1" applyFont="1" applyNumberFormat="1">
      <alignment horizontal="right" readingOrder="0" vertical="bottom"/>
    </xf>
    <xf borderId="7" fillId="0" fontId="15" numFmtId="49" xfId="0" applyAlignment="1" applyBorder="1" applyFont="1" applyNumberFormat="1">
      <alignment vertical="bottom"/>
    </xf>
    <xf borderId="7" fillId="0" fontId="15" numFmtId="0" xfId="0" applyAlignment="1" applyBorder="1" applyFont="1">
      <alignment horizontal="right" vertical="bottom"/>
    </xf>
    <xf borderId="7" fillId="27" fontId="15" numFmtId="0" xfId="0" applyAlignment="1" applyBorder="1" applyFont="1">
      <alignment horizontal="right" readingOrder="0" vertical="bottom"/>
    </xf>
    <xf borderId="7" fillId="0" fontId="15" numFmtId="167" xfId="0" applyAlignment="1" applyBorder="1" applyFont="1" applyNumberFormat="1">
      <alignment horizontal="right" vertical="bottom"/>
    </xf>
    <xf borderId="7" fillId="0" fontId="15" numFmtId="49" xfId="0" applyAlignment="1" applyBorder="1" applyFont="1" applyNumberFormat="1">
      <alignment horizontal="center" readingOrder="0" vertical="bottom"/>
    </xf>
    <xf borderId="7" fillId="0" fontId="15" numFmtId="0" xfId="0" applyAlignment="1" applyBorder="1" applyFont="1">
      <alignment vertical="bottom"/>
    </xf>
    <xf borderId="7" fillId="0" fontId="15" numFmtId="168" xfId="0" applyAlignment="1" applyBorder="1" applyFont="1" applyNumberFormat="1">
      <alignment horizontal="right" readingOrder="0" vertical="bottom"/>
    </xf>
    <xf borderId="7" fillId="22" fontId="15" numFmtId="169" xfId="0" applyAlignment="1" applyBorder="1" applyFont="1" applyNumberFormat="1">
      <alignment horizontal="right" readingOrder="0" vertical="bottom"/>
    </xf>
    <xf borderId="7" fillId="0" fontId="15" numFmtId="169" xfId="0" applyAlignment="1" applyBorder="1" applyFont="1" applyNumberFormat="1">
      <alignment horizontal="right" readingOrder="0" vertical="bottom"/>
    </xf>
    <xf borderId="7" fillId="0" fontId="20" numFmtId="0" xfId="0" applyAlignment="1" applyBorder="1" applyFont="1">
      <alignment vertical="bottom"/>
    </xf>
    <xf borderId="0" fillId="0" fontId="15" numFmtId="0" xfId="0" applyAlignment="1" applyFont="1">
      <alignment vertical="bottom"/>
    </xf>
    <xf borderId="2" fillId="12" fontId="3" numFmtId="0" xfId="0" applyAlignment="1" applyBorder="1" applyFont="1">
      <alignment horizontal="right" readingOrder="0"/>
    </xf>
    <xf borderId="5" fillId="25" fontId="15" numFmtId="165" xfId="0" applyAlignment="1" applyBorder="1" applyFont="1" applyNumberFormat="1">
      <alignment horizontal="right" vertical="bottom"/>
    </xf>
    <xf borderId="11" fillId="0" fontId="15" numFmtId="165" xfId="0" applyAlignment="1" applyBorder="1" applyFont="1" applyNumberFormat="1">
      <alignment vertical="bottom"/>
    </xf>
    <xf borderId="5" fillId="12" fontId="3" numFmtId="0" xfId="0" applyAlignment="1" applyBorder="1" applyFont="1">
      <alignment horizontal="right" readingOrder="0"/>
    </xf>
    <xf borderId="5" fillId="0" fontId="3" numFmtId="0" xfId="0" applyBorder="1" applyFont="1"/>
    <xf borderId="5" fillId="5" fontId="3" numFmtId="0" xfId="0" applyAlignment="1" applyBorder="1" applyFont="1">
      <alignment readingOrder="0"/>
    </xf>
    <xf borderId="5" fillId="0" fontId="3" numFmtId="172" xfId="0" applyAlignment="1" applyBorder="1" applyFont="1" applyNumberFormat="1">
      <alignment readingOrder="0"/>
    </xf>
    <xf borderId="4" fillId="32" fontId="3" numFmtId="166" xfId="0" applyAlignment="1" applyBorder="1" applyFill="1" applyFont="1" applyNumberFormat="1">
      <alignment horizontal="center" readingOrder="0"/>
    </xf>
    <xf borderId="4" fillId="33" fontId="3" numFmtId="0" xfId="0" applyAlignment="1" applyBorder="1" applyFill="1" applyFont="1">
      <alignment horizontal="right" readingOrder="0"/>
    </xf>
    <xf borderId="4" fillId="15" fontId="1" numFmtId="0" xfId="0" applyAlignment="1" applyBorder="1" applyFont="1">
      <alignment readingOrder="0"/>
    </xf>
    <xf borderId="4" fillId="0" fontId="8" numFmtId="0" xfId="0" applyAlignment="1" applyBorder="1" applyFont="1">
      <alignment readingOrder="0"/>
    </xf>
    <xf borderId="1" fillId="32" fontId="3" numFmtId="0" xfId="0" applyAlignment="1" applyBorder="1" applyFont="1">
      <alignment readingOrder="0"/>
    </xf>
    <xf borderId="1" fillId="0" fontId="21" numFmtId="0" xfId="0" applyAlignment="1" applyBorder="1" applyFont="1">
      <alignment readingOrder="0" vertical="bottom"/>
    </xf>
    <xf borderId="7" fillId="13" fontId="15" numFmtId="164" xfId="0" applyAlignment="1" applyBorder="1" applyFont="1" applyNumberFormat="1">
      <alignment horizontal="right" vertical="bottom"/>
    </xf>
    <xf borderId="7" fillId="15" fontId="15" numFmtId="165" xfId="0" applyAlignment="1" applyBorder="1" applyFont="1" applyNumberFormat="1">
      <alignment horizontal="right" readingOrder="0" vertical="bottom"/>
    </xf>
    <xf borderId="7" fillId="34" fontId="15" numFmtId="165" xfId="0" applyAlignment="1" applyBorder="1" applyFill="1" applyFont="1" applyNumberFormat="1">
      <alignment horizontal="right" readingOrder="0" vertical="bottom"/>
    </xf>
    <xf borderId="7" fillId="35" fontId="15" numFmtId="165" xfId="0" applyAlignment="1" applyBorder="1" applyFill="1" applyFont="1" applyNumberFormat="1">
      <alignment horizontal="right" vertical="bottom"/>
    </xf>
    <xf borderId="7" fillId="23" fontId="15" numFmtId="0" xfId="0" applyAlignment="1" applyBorder="1" applyFont="1">
      <alignment horizontal="right" vertical="bottom"/>
    </xf>
    <xf borderId="7" fillId="0" fontId="15" numFmtId="167" xfId="0" applyAlignment="1" applyBorder="1" applyFont="1" applyNumberFormat="1">
      <alignment readingOrder="0" vertical="bottom"/>
    </xf>
    <xf borderId="7" fillId="0" fontId="15" numFmtId="0" xfId="0" applyAlignment="1" applyBorder="1" applyFont="1">
      <alignment horizontal="right" readingOrder="0" vertical="bottom"/>
    </xf>
    <xf borderId="12" fillId="26" fontId="15" numFmtId="169" xfId="0" applyAlignment="1" applyBorder="1" applyFont="1" applyNumberFormat="1">
      <alignment horizontal="right" vertical="bottom"/>
    </xf>
    <xf borderId="13" fillId="0" fontId="15" numFmtId="169" xfId="0" applyAlignment="1" applyBorder="1" applyFont="1" applyNumberFormat="1">
      <alignment readingOrder="0" vertical="bottom"/>
    </xf>
    <xf borderId="2" fillId="9" fontId="3" numFmtId="169" xfId="0" applyAlignment="1" applyBorder="1" applyFont="1" applyNumberFormat="1">
      <alignment readingOrder="0"/>
    </xf>
    <xf borderId="4" fillId="22" fontId="3" numFmtId="166" xfId="0" applyAlignment="1" applyBorder="1" applyFont="1" applyNumberFormat="1">
      <alignment horizontal="center" readingOrder="0"/>
    </xf>
    <xf borderId="1" fillId="36" fontId="3" numFmtId="0" xfId="0" applyAlignment="1" applyBorder="1" applyFill="1" applyFont="1">
      <alignment horizontal="right" readingOrder="0"/>
    </xf>
    <xf borderId="2" fillId="32" fontId="3" numFmtId="0" xfId="0" applyAlignment="1" applyBorder="1" applyFont="1">
      <alignment readingOrder="0"/>
    </xf>
    <xf borderId="4" fillId="26" fontId="3" numFmtId="169" xfId="0" applyAlignment="1" applyBorder="1" applyFont="1" applyNumberFormat="1">
      <alignment readingOrder="0"/>
    </xf>
    <xf borderId="2" fillId="27" fontId="3" numFmtId="0" xfId="0" applyAlignment="1" applyBorder="1" applyFont="1">
      <alignment readingOrder="0"/>
    </xf>
    <xf borderId="2" fillId="18" fontId="3" numFmtId="0" xfId="0" applyAlignment="1" applyBorder="1" applyFont="1">
      <alignment readingOrder="0"/>
    </xf>
    <xf borderId="2" fillId="26" fontId="3" numFmtId="169" xfId="0" applyAlignment="1" applyBorder="1" applyFont="1" applyNumberFormat="1">
      <alignment readingOrder="0"/>
    </xf>
    <xf borderId="6" fillId="0" fontId="3" numFmtId="171" xfId="0" applyAlignment="1" applyBorder="1" applyFont="1" applyNumberFormat="1">
      <alignment horizontal="center" readingOrder="0"/>
    </xf>
    <xf borderId="6" fillId="0" fontId="8" numFmtId="0" xfId="0" applyAlignment="1" applyBorder="1" applyFont="1">
      <alignment readingOrder="0"/>
    </xf>
    <xf borderId="6" fillId="28" fontId="3" numFmtId="0" xfId="0" applyAlignment="1" applyBorder="1" applyFont="1">
      <alignment readingOrder="0"/>
    </xf>
    <xf borderId="3" fillId="0" fontId="3" numFmtId="168" xfId="0" applyAlignment="1" applyBorder="1" applyFont="1" applyNumberFormat="1">
      <alignment readingOrder="0"/>
    </xf>
    <xf borderId="4" fillId="18" fontId="3" numFmtId="0" xfId="0" applyAlignment="1" applyBorder="1" applyFont="1">
      <alignment readingOrder="0"/>
    </xf>
    <xf borderId="4" fillId="9" fontId="3" numFmtId="169" xfId="0" applyAlignment="1" applyBorder="1" applyFont="1" applyNumberFormat="1">
      <alignment readingOrder="0"/>
    </xf>
    <xf borderId="4" fillId="0" fontId="15" numFmtId="165" xfId="0" applyAlignment="1" applyBorder="1" applyFont="1" applyNumberFormat="1">
      <alignment horizontal="right" readingOrder="0" vertical="bottom"/>
    </xf>
    <xf borderId="1" fillId="9" fontId="3" numFmtId="169" xfId="0" applyAlignment="1" applyBorder="1" applyFont="1" applyNumberFormat="1">
      <alignment readingOrder="0"/>
    </xf>
    <xf borderId="10" fillId="15" fontId="1" numFmtId="0" xfId="0" applyAlignment="1" applyBorder="1" applyFont="1">
      <alignment readingOrder="0"/>
    </xf>
    <xf borderId="10" fillId="0" fontId="3" numFmtId="164" xfId="0" applyAlignment="1" applyBorder="1" applyFont="1" applyNumberFormat="1">
      <alignment readingOrder="0"/>
    </xf>
    <xf borderId="10" fillId="15" fontId="3" numFmtId="165" xfId="0" applyAlignment="1" applyBorder="1" applyFont="1" applyNumberFormat="1">
      <alignment readingOrder="0"/>
    </xf>
    <xf borderId="10" fillId="0" fontId="3" numFmtId="166" xfId="0" applyAlignment="1" applyBorder="1" applyFont="1" applyNumberFormat="1">
      <alignment horizontal="center" readingOrder="0"/>
    </xf>
    <xf borderId="5" fillId="25" fontId="15" numFmtId="165" xfId="0" applyAlignment="1" applyBorder="1" applyFont="1" applyNumberFormat="1">
      <alignment horizontal="right" readingOrder="0" vertical="bottom"/>
    </xf>
    <xf borderId="11" fillId="0" fontId="15" numFmtId="165" xfId="0" applyAlignment="1" applyBorder="1" applyFont="1" applyNumberFormat="1">
      <alignment readingOrder="0" vertical="bottom"/>
    </xf>
    <xf borderId="10" fillId="0" fontId="3" numFmtId="0" xfId="0" applyAlignment="1" applyBorder="1" applyFont="1">
      <alignment readingOrder="0"/>
    </xf>
    <xf borderId="10" fillId="0" fontId="3" numFmtId="0" xfId="0" applyAlignment="1" applyBorder="1" applyFont="1">
      <alignment horizontal="right" readingOrder="0"/>
    </xf>
    <xf borderId="10" fillId="27" fontId="3" numFmtId="0" xfId="0" applyAlignment="1" applyBorder="1" applyFont="1">
      <alignment readingOrder="0"/>
    </xf>
    <xf borderId="10" fillId="0" fontId="3" numFmtId="167" xfId="0" applyAlignment="1" applyBorder="1" applyFont="1" applyNumberFormat="1">
      <alignment readingOrder="0"/>
    </xf>
    <xf borderId="10" fillId="5" fontId="3" numFmtId="0" xfId="0" applyAlignment="1" applyBorder="1" applyFont="1">
      <alignment readingOrder="0"/>
    </xf>
    <xf borderId="10" fillId="0" fontId="3" numFmtId="171" xfId="0" applyAlignment="1" applyBorder="1" applyFont="1" applyNumberFormat="1">
      <alignment horizontal="center" readingOrder="0"/>
    </xf>
    <xf borderId="10" fillId="0" fontId="3" numFmtId="168" xfId="0" applyAlignment="1" applyBorder="1" applyFont="1" applyNumberFormat="1">
      <alignment readingOrder="0"/>
    </xf>
    <xf borderId="10" fillId="0" fontId="8" numFmtId="0" xfId="0" applyAlignment="1" applyBorder="1" applyFont="1">
      <alignment readingOrder="0"/>
    </xf>
    <xf borderId="10" fillId="0" fontId="22" numFmtId="0" xfId="0" applyAlignment="1" applyBorder="1" applyFont="1">
      <alignment readingOrder="0"/>
    </xf>
    <xf borderId="10" fillId="0" fontId="8" numFmtId="0" xfId="0" applyAlignment="1" applyBorder="1" applyFont="1">
      <alignment readingOrder="0"/>
    </xf>
    <xf borderId="2" fillId="0" fontId="3" numFmtId="0" xfId="0" applyAlignment="1" applyBorder="1" applyFont="1">
      <alignment horizontal="center" readingOrder="0"/>
    </xf>
    <xf borderId="5" fillId="15" fontId="1" numFmtId="0" xfId="0" applyAlignment="1" applyBorder="1" applyFont="1">
      <alignment readingOrder="0"/>
    </xf>
    <xf borderId="5" fillId="0" fontId="3" numFmtId="171" xfId="0" applyAlignment="1" applyBorder="1" applyFont="1" applyNumberFormat="1">
      <alignment horizontal="center" readingOrder="0"/>
    </xf>
    <xf borderId="5" fillId="0" fontId="3" numFmtId="173" xfId="0" applyAlignment="1" applyBorder="1" applyFont="1" applyNumberFormat="1">
      <alignment readingOrder="0"/>
    </xf>
    <xf borderId="1" fillId="8" fontId="3" numFmtId="0" xfId="0" applyAlignment="1" applyBorder="1" applyFont="1">
      <alignment horizontal="right" readingOrder="0"/>
    </xf>
    <xf borderId="1" fillId="0" fontId="3" numFmtId="168" xfId="0" applyAlignment="1" applyBorder="1" applyFont="1" applyNumberFormat="1">
      <alignment readingOrder="0"/>
    </xf>
    <xf borderId="1" fillId="15" fontId="23" numFmtId="0" xfId="0" applyAlignment="1" applyBorder="1" applyFont="1">
      <alignment vertical="bottom"/>
    </xf>
    <xf borderId="7" fillId="37" fontId="24" numFmtId="166" xfId="0" applyAlignment="1" applyBorder="1" applyFill="1" applyFont="1" applyNumberFormat="1">
      <alignment horizontal="center" vertical="bottom"/>
    </xf>
    <xf borderId="7" fillId="38" fontId="15" numFmtId="165" xfId="0" applyAlignment="1" applyBorder="1" applyFill="1" applyFont="1" applyNumberFormat="1">
      <alignment horizontal="right" vertical="bottom"/>
    </xf>
    <xf borderId="7" fillId="39" fontId="15" numFmtId="165" xfId="0" applyAlignment="1" applyBorder="1" applyFill="1" applyFont="1" applyNumberFormat="1">
      <alignment horizontal="right" vertical="bottom"/>
    </xf>
    <xf borderId="7" fillId="0" fontId="15" numFmtId="171" xfId="0" applyAlignment="1" applyBorder="1" applyFont="1" applyNumberFormat="1">
      <alignment horizontal="center" vertical="bottom"/>
    </xf>
    <xf borderId="7" fillId="0" fontId="15" numFmtId="169" xfId="0" applyAlignment="1" applyBorder="1" applyFont="1" applyNumberFormat="1">
      <alignment horizontal="right" vertical="bottom"/>
    </xf>
    <xf borderId="7" fillId="0" fontId="15" numFmtId="169" xfId="0" applyAlignment="1" applyBorder="1" applyFont="1" applyNumberFormat="1">
      <alignment vertical="bottom"/>
    </xf>
    <xf borderId="7" fillId="0" fontId="25" numFmtId="0" xfId="0" applyAlignment="1" applyBorder="1" applyFont="1">
      <alignment vertical="bottom"/>
    </xf>
    <xf borderId="10" fillId="15" fontId="1" numFmtId="0" xfId="0" applyAlignment="1" applyBorder="1" applyFont="1">
      <alignment readingOrder="0"/>
    </xf>
    <xf borderId="14" fillId="0" fontId="3" numFmtId="164" xfId="0" applyAlignment="1" applyBorder="1" applyFont="1" applyNumberFormat="1">
      <alignment readingOrder="0"/>
    </xf>
    <xf borderId="14" fillId="15" fontId="3" numFmtId="165" xfId="0" applyAlignment="1" applyBorder="1" applyFont="1" applyNumberFormat="1">
      <alignment readingOrder="0"/>
    </xf>
    <xf borderId="14" fillId="0" fontId="3" numFmtId="166" xfId="0" applyAlignment="1" applyBorder="1" applyFont="1" applyNumberFormat="1">
      <alignment horizontal="center" readingOrder="0"/>
    </xf>
    <xf borderId="11" fillId="25" fontId="15" numFmtId="165" xfId="0" applyAlignment="1" applyBorder="1" applyFont="1" applyNumberFormat="1">
      <alignment horizontal="right" readingOrder="0" vertical="bottom"/>
    </xf>
    <xf borderId="14" fillId="0" fontId="3" numFmtId="0" xfId="0" applyAlignment="1" applyBorder="1" applyFont="1">
      <alignment readingOrder="0"/>
    </xf>
    <xf borderId="14" fillId="0" fontId="3" numFmtId="0" xfId="0" applyAlignment="1" applyBorder="1" applyFont="1">
      <alignment horizontal="right" readingOrder="0"/>
    </xf>
    <xf borderId="14" fillId="0" fontId="3" numFmtId="167" xfId="0" applyAlignment="1" applyBorder="1" applyFont="1" applyNumberFormat="1">
      <alignment readingOrder="0"/>
    </xf>
    <xf borderId="14" fillId="0" fontId="3" numFmtId="49" xfId="0" applyAlignment="1" applyBorder="1" applyFont="1" applyNumberFormat="1">
      <alignment readingOrder="0"/>
    </xf>
    <xf borderId="14" fillId="0" fontId="3" numFmtId="171" xfId="0" applyAlignment="1" applyBorder="1" applyFont="1" applyNumberFormat="1">
      <alignment horizontal="center" readingOrder="0"/>
    </xf>
    <xf borderId="14" fillId="0" fontId="3" numFmtId="174" xfId="0" applyAlignment="1" applyBorder="1" applyFont="1" applyNumberFormat="1">
      <alignment readingOrder="0"/>
    </xf>
    <xf borderId="14" fillId="0" fontId="3" numFmtId="169" xfId="0" applyAlignment="1" applyBorder="1" applyFont="1" applyNumberFormat="1">
      <alignment readingOrder="0"/>
    </xf>
    <xf borderId="14" fillId="0" fontId="8" numFmtId="0" xfId="0" applyAlignment="1" applyBorder="1" applyFont="1">
      <alignment readingOrder="0"/>
    </xf>
    <xf borderId="14" fillId="0" fontId="8" numFmtId="0" xfId="0" applyAlignment="1" applyBorder="1" applyFont="1">
      <alignment readingOrder="0"/>
    </xf>
    <xf borderId="6" fillId="18" fontId="3" numFmtId="0" xfId="0" applyAlignment="1" applyBorder="1" applyFont="1">
      <alignment readingOrder="0"/>
    </xf>
    <xf borderId="6" fillId="5" fontId="3" numFmtId="0" xfId="0" applyAlignment="1" applyBorder="1" applyFont="1">
      <alignment readingOrder="0"/>
    </xf>
    <xf borderId="4" fillId="32" fontId="3" numFmtId="0" xfId="0" applyAlignment="1" applyBorder="1" applyFont="1">
      <alignment readingOrder="0"/>
    </xf>
    <xf borderId="1" fillId="18" fontId="3" numFmtId="0" xfId="0" applyAlignment="1" applyBorder="1" applyFont="1">
      <alignment readingOrder="0"/>
    </xf>
    <xf borderId="11" fillId="25" fontId="15" numFmtId="165" xfId="0" applyAlignment="1" applyBorder="1" applyFont="1" applyNumberFormat="1">
      <alignment readingOrder="0" vertical="bottom"/>
    </xf>
    <xf borderId="10" fillId="32" fontId="3" numFmtId="0" xfId="0" applyAlignment="1" applyBorder="1" applyFont="1">
      <alignment readingOrder="0"/>
    </xf>
    <xf borderId="10" fillId="0" fontId="3" numFmtId="0" xfId="0" applyAlignment="1" applyBorder="1" applyFont="1">
      <alignment horizontal="center" readingOrder="0"/>
    </xf>
    <xf borderId="0" fillId="0" fontId="26" numFmtId="0" xfId="0" applyAlignment="1" applyFont="1">
      <alignment readingOrder="0"/>
    </xf>
    <xf borderId="2" fillId="15" fontId="27" numFmtId="0" xfId="0" applyAlignment="1" applyBorder="1" applyFont="1">
      <alignment readingOrder="0"/>
    </xf>
    <xf borderId="6" fillId="15" fontId="1" numFmtId="0" xfId="0" applyAlignment="1" applyBorder="1" applyFont="1">
      <alignment readingOrder="0"/>
    </xf>
    <xf borderId="8" fillId="25" fontId="15" numFmtId="165" xfId="0" applyAlignment="1" applyBorder="1" applyFont="1" applyNumberFormat="1">
      <alignment readingOrder="0" vertical="bottom"/>
    </xf>
    <xf borderId="6" fillId="40" fontId="3" numFmtId="0" xfId="0" applyAlignment="1" applyBorder="1" applyFill="1" applyFont="1">
      <alignment horizontal="right" readingOrder="0"/>
    </xf>
    <xf borderId="6" fillId="0" fontId="15" numFmtId="165" xfId="0" applyAlignment="1" applyBorder="1" applyFont="1" applyNumberFormat="1">
      <alignment horizontal="right" readingOrder="0" vertical="bottom"/>
    </xf>
    <xf borderId="6" fillId="0" fontId="8" numFmtId="0" xfId="0" applyAlignment="1" applyBorder="1" applyFont="1">
      <alignment readingOrder="0"/>
    </xf>
    <xf borderId="1" fillId="33" fontId="3" numFmtId="0" xfId="0" applyAlignment="1" applyBorder="1" applyFont="1">
      <alignment horizontal="right" readingOrder="0"/>
    </xf>
    <xf borderId="6" fillId="36" fontId="3" numFmtId="0" xfId="0" applyAlignment="1" applyBorder="1" applyFont="1">
      <alignment horizontal="right" readingOrder="0"/>
    </xf>
    <xf borderId="6" fillId="0" fontId="3" numFmtId="0" xfId="0" applyAlignment="1" applyBorder="1" applyFont="1">
      <alignment horizontal="center" readingOrder="0"/>
    </xf>
    <xf borderId="6" fillId="0" fontId="28" numFmtId="0" xfId="0" applyAlignment="1" applyBorder="1" applyFont="1">
      <alignment readingOrder="0"/>
    </xf>
    <xf borderId="5" fillId="0" fontId="3" numFmtId="0" xfId="0" applyAlignment="1" applyBorder="1" applyFont="1">
      <alignment horizontal="center" readingOrder="0"/>
    </xf>
    <xf borderId="0" fillId="0" fontId="1"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75" xfId="0" applyAlignment="1" applyFont="1" applyNumberFormat="1">
      <alignment readingOrder="0"/>
    </xf>
    <xf borderId="0" fillId="0" fontId="3" numFmtId="0" xfId="0" applyAlignment="1" applyFont="1">
      <alignment horizontal="right" readingOrder="0"/>
    </xf>
    <xf borderId="0" fillId="0" fontId="3" numFmtId="167" xfId="0" applyAlignment="1" applyFont="1" applyNumberFormat="1">
      <alignment readingOrder="0"/>
    </xf>
    <xf borderId="0" fillId="0" fontId="3" numFmtId="168" xfId="0" applyAlignment="1" applyFont="1" applyNumberFormat="1">
      <alignment readingOrder="0"/>
    </xf>
    <xf borderId="0" fillId="0" fontId="3" numFmtId="169" xfId="0" applyAlignment="1" applyFont="1" applyNumberFormat="1">
      <alignment readingOrder="0"/>
    </xf>
    <xf borderId="0" fillId="0" fontId="8" numFmtId="0" xfId="0" applyFont="1"/>
    <xf borderId="0" fillId="0" fontId="15" numFmtId="165" xfId="0" applyAlignment="1" applyFont="1" applyNumberFormat="1">
      <alignment vertical="bottom"/>
    </xf>
    <xf borderId="0" fillId="0" fontId="29" numFmtId="0" xfId="0" applyAlignment="1" applyFont="1">
      <alignment readingOrder="0"/>
    </xf>
    <xf borderId="0" fillId="15" fontId="30" numFmtId="0" xfId="0" applyAlignment="1" applyFont="1">
      <alignment readingOrder="0"/>
    </xf>
    <xf borderId="0" fillId="0" fontId="31" numFmtId="165" xfId="0" applyAlignment="1" applyFont="1" applyNumberFormat="1">
      <alignment vertical="bottom"/>
    </xf>
    <xf borderId="0" fillId="0" fontId="31" numFmtId="176" xfId="0" applyAlignment="1" applyFont="1" applyNumberFormat="1">
      <alignment vertical="bottom"/>
    </xf>
    <xf borderId="0" fillId="0" fontId="29" numFmtId="0" xfId="0" applyAlignment="1" applyFont="1">
      <alignment horizontal="right" readingOrder="0"/>
    </xf>
    <xf borderId="0" fillId="0" fontId="32" numFmtId="0" xfId="0" applyFont="1"/>
    <xf borderId="0" fillId="0" fontId="3" numFmtId="0" xfId="0" applyAlignment="1" applyFont="1">
      <alignment readingOrder="0"/>
    </xf>
    <xf borderId="0" fillId="0" fontId="2" numFmtId="0" xfId="0" applyAlignment="1" applyFont="1">
      <alignment readingOrder="0"/>
    </xf>
    <xf borderId="0" fillId="0" fontId="15" numFmtId="176" xfId="0" applyAlignment="1" applyFont="1" applyNumberFormat="1">
      <alignment vertical="bottom"/>
    </xf>
    <xf borderId="0" fillId="4" fontId="1" numFmtId="0" xfId="0" applyAlignment="1" applyFont="1">
      <alignment readingOrder="0"/>
    </xf>
    <xf borderId="0" fillId="0" fontId="3" numFmtId="0" xfId="0" applyAlignment="1" applyFont="1">
      <alignment horizontal="right"/>
    </xf>
    <xf borderId="0" fillId="12" fontId="33" numFmtId="0" xfId="0" applyAlignment="1" applyFont="1">
      <alignment readingOrder="0"/>
    </xf>
    <xf borderId="0" fillId="12" fontId="3" numFmtId="0" xfId="0" applyFont="1"/>
    <xf borderId="0" fillId="12" fontId="15" numFmtId="165" xfId="0" applyAlignment="1" applyFont="1" applyNumberFormat="1">
      <alignment vertical="bottom"/>
    </xf>
    <xf borderId="0" fillId="12" fontId="15" numFmtId="176" xfId="0" applyAlignment="1" applyFont="1" applyNumberFormat="1">
      <alignment vertical="bottom"/>
    </xf>
    <xf borderId="0" fillId="12" fontId="3" numFmtId="0" xfId="0" applyAlignment="1" applyFont="1">
      <alignment horizontal="right"/>
    </xf>
    <xf borderId="0" fillId="0" fontId="34" numFmtId="0" xfId="0" applyAlignment="1" applyFont="1">
      <alignment readingOrder="0"/>
    </xf>
    <xf borderId="0" fillId="0" fontId="1" numFmtId="0" xfId="0" applyFont="1"/>
    <xf borderId="15" fillId="0" fontId="35" numFmtId="0" xfId="0" applyAlignment="1" applyBorder="1" applyFont="1">
      <alignment readingOrder="0"/>
    </xf>
    <xf borderId="15" fillId="0" fontId="3" numFmtId="164" xfId="0" applyAlignment="1" applyBorder="1" applyFont="1" applyNumberFormat="1">
      <alignment readingOrder="0"/>
    </xf>
    <xf borderId="15" fillId="0" fontId="3" numFmtId="165" xfId="0" applyAlignment="1" applyBorder="1" applyFont="1" applyNumberFormat="1">
      <alignment readingOrder="0"/>
    </xf>
    <xf borderId="15" fillId="0" fontId="3" numFmtId="166" xfId="0" applyAlignment="1" applyBorder="1" applyFont="1" applyNumberFormat="1">
      <alignment horizontal="center" readingOrder="0"/>
    </xf>
    <xf borderId="15" fillId="0" fontId="3" numFmtId="170" xfId="0" applyAlignment="1" applyBorder="1" applyFont="1" applyNumberFormat="1">
      <alignment readingOrder="0"/>
    </xf>
    <xf borderId="15" fillId="41" fontId="3" numFmtId="49" xfId="0" applyAlignment="1" applyBorder="1" applyFill="1" applyFont="1" applyNumberFormat="1">
      <alignment readingOrder="0" shrinkToFit="0" wrapText="0"/>
    </xf>
    <xf borderId="15" fillId="0" fontId="3" numFmtId="0" xfId="0" applyAlignment="1" applyBorder="1" applyFont="1">
      <alignment horizontal="right" readingOrder="0"/>
    </xf>
    <xf borderId="15" fillId="0" fontId="3" numFmtId="0" xfId="0" applyAlignment="1" applyBorder="1" applyFont="1">
      <alignment readingOrder="0"/>
    </xf>
    <xf borderId="15" fillId="0" fontId="3" numFmtId="169" xfId="0" applyAlignment="1" applyBorder="1" applyFont="1" applyNumberFormat="1">
      <alignment readingOrder="0"/>
    </xf>
    <xf borderId="15" fillId="0" fontId="8" numFmtId="0" xfId="0" applyAlignment="1" applyBorder="1" applyFont="1">
      <alignment readingOrder="0"/>
    </xf>
    <xf borderId="15" fillId="0" fontId="36" numFmtId="0" xfId="0" applyAlignment="1" applyBorder="1" applyFont="1">
      <alignment readingOrder="0"/>
    </xf>
    <xf borderId="15" fillId="0" fontId="3" numFmtId="167" xfId="0" applyAlignment="1" applyBorder="1" applyFont="1" applyNumberFormat="1">
      <alignment readingOrder="0"/>
    </xf>
    <xf borderId="15" fillId="0" fontId="3" numFmtId="49" xfId="0" applyAlignment="1" applyBorder="1" applyFont="1" applyNumberFormat="1">
      <alignment readingOrder="0"/>
    </xf>
    <xf borderId="15" fillId="0" fontId="3" numFmtId="49" xfId="0" applyAlignment="1" applyBorder="1" applyFont="1" applyNumberFormat="1">
      <alignment horizontal="center" readingOrder="0"/>
    </xf>
    <xf borderId="16" fillId="0" fontId="3" numFmtId="0" xfId="0" applyAlignment="1" applyBorder="1" applyFont="1">
      <alignment readingOrder="0"/>
    </xf>
    <xf borderId="4" fillId="0" fontId="1" numFmtId="0" xfId="0" applyAlignment="1" applyBorder="1" applyFont="1">
      <alignment readingOrder="0"/>
    </xf>
    <xf borderId="4" fillId="16" fontId="3" numFmtId="165" xfId="0" applyAlignment="1" applyBorder="1" applyFont="1" applyNumberFormat="1">
      <alignment readingOrder="0"/>
    </xf>
    <xf borderId="4" fillId="17" fontId="3" numFmtId="170" xfId="0" applyAlignment="1" applyBorder="1" applyFont="1" applyNumberFormat="1">
      <alignment readingOrder="0"/>
    </xf>
    <xf borderId="4" fillId="41" fontId="3" numFmtId="49" xfId="0" applyAlignment="1" applyBorder="1" applyFont="1" applyNumberFormat="1">
      <alignment readingOrder="0" shrinkToFit="0" wrapText="0"/>
    </xf>
    <xf borderId="15" fillId="16" fontId="3" numFmtId="165" xfId="0" applyAlignment="1" applyBorder="1" applyFont="1" applyNumberFormat="1">
      <alignment readingOrder="0"/>
    </xf>
    <xf borderId="15" fillId="17" fontId="3" numFmtId="170" xfId="0" applyAlignment="1" applyBorder="1" applyFont="1" applyNumberFormat="1">
      <alignment readingOrder="0"/>
    </xf>
    <xf borderId="17" fillId="0" fontId="37" numFmtId="0" xfId="0" applyAlignment="1" applyBorder="1" applyFont="1">
      <alignment readingOrder="0"/>
    </xf>
    <xf borderId="17" fillId="0" fontId="3" numFmtId="164" xfId="0" applyAlignment="1" applyBorder="1" applyFont="1" applyNumberFormat="1">
      <alignment readingOrder="0"/>
    </xf>
    <xf borderId="17" fillId="0" fontId="3" numFmtId="165" xfId="0" applyAlignment="1" applyBorder="1" applyFont="1" applyNumberFormat="1">
      <alignment readingOrder="0"/>
    </xf>
    <xf borderId="17" fillId="0" fontId="3" numFmtId="166" xfId="0" applyAlignment="1" applyBorder="1" applyFont="1" applyNumberFormat="1">
      <alignment horizontal="center" readingOrder="0"/>
    </xf>
    <xf borderId="17" fillId="16" fontId="3" numFmtId="165" xfId="0" applyAlignment="1" applyBorder="1" applyFont="1" applyNumberFormat="1">
      <alignment readingOrder="0"/>
    </xf>
    <xf borderId="17" fillId="17" fontId="3" numFmtId="170" xfId="0" applyAlignment="1" applyBorder="1" applyFont="1" applyNumberFormat="1">
      <alignment readingOrder="0"/>
    </xf>
    <xf borderId="17" fillId="41" fontId="3" numFmtId="49" xfId="0" applyAlignment="1" applyBorder="1" applyFont="1" applyNumberFormat="1">
      <alignment readingOrder="0" shrinkToFit="0" wrapText="0"/>
    </xf>
    <xf borderId="17" fillId="0" fontId="3" numFmtId="0" xfId="0" applyAlignment="1" applyBorder="1" applyFont="1">
      <alignment horizontal="right" readingOrder="0"/>
    </xf>
    <xf borderId="17" fillId="0" fontId="3" numFmtId="0" xfId="0" applyAlignment="1" applyBorder="1" applyFont="1">
      <alignment readingOrder="0"/>
    </xf>
    <xf borderId="17" fillId="0" fontId="3" numFmtId="169" xfId="0" applyAlignment="1" applyBorder="1" applyFont="1" applyNumberFormat="1">
      <alignment readingOrder="0"/>
    </xf>
    <xf borderId="17" fillId="0" fontId="8" numFmtId="0" xfId="0" applyAlignment="1" applyBorder="1" applyFont="1">
      <alignment readingOrder="0"/>
    </xf>
    <xf borderId="17" fillId="0" fontId="38" numFmtId="0" xfId="0" applyAlignment="1" applyBorder="1" applyFont="1">
      <alignment readingOrder="0"/>
    </xf>
    <xf borderId="17" fillId="0" fontId="3" numFmtId="167" xfId="0" applyAlignment="1" applyBorder="1" applyFont="1" applyNumberFormat="1">
      <alignment readingOrder="0"/>
    </xf>
    <xf borderId="17" fillId="0" fontId="3" numFmtId="49" xfId="0" applyAlignment="1" applyBorder="1" applyFont="1" applyNumberFormat="1">
      <alignment readingOrder="0"/>
    </xf>
    <xf borderId="17" fillId="0" fontId="3" numFmtId="49" xfId="0" applyAlignment="1" applyBorder="1" applyFont="1" applyNumberFormat="1">
      <alignment horizontal="center" readingOrder="0"/>
    </xf>
    <xf borderId="4" fillId="0" fontId="39" numFmtId="0" xfId="0" applyAlignment="1" applyBorder="1" applyFont="1">
      <alignment readingOrder="0"/>
    </xf>
    <xf borderId="17" fillId="0" fontId="1" numFmtId="0" xfId="0" applyAlignment="1" applyBorder="1" applyFont="1">
      <alignment readingOrder="0"/>
    </xf>
    <xf borderId="17" fillId="0" fontId="3" numFmtId="171" xfId="0" applyAlignment="1" applyBorder="1" applyFont="1" applyNumberFormat="1">
      <alignment readingOrder="0"/>
    </xf>
    <xf borderId="0" fillId="0" fontId="1" numFmtId="0" xfId="0" applyAlignment="1" applyFont="1">
      <alignment readingOrder="0"/>
    </xf>
    <xf borderId="1" fillId="19" fontId="3" numFmtId="170" xfId="0" applyAlignment="1" applyBorder="1" applyFont="1" applyNumberFormat="1">
      <alignment readingOrder="0"/>
    </xf>
    <xf borderId="1" fillId="20" fontId="3" numFmtId="170" xfId="0" applyAlignment="1" applyBorder="1" applyFont="1" applyNumberFormat="1">
      <alignment readingOrder="0"/>
    </xf>
    <xf borderId="1" fillId="41" fontId="3" numFmtId="49" xfId="0" applyAlignment="1" applyBorder="1" applyFont="1" applyNumberFormat="1">
      <alignment readingOrder="0" shrinkToFit="0" wrapText="0"/>
    </xf>
    <xf borderId="1" fillId="0" fontId="3" numFmtId="0" xfId="0" applyBorder="1" applyFont="1"/>
    <xf borderId="16" fillId="0" fontId="1" numFmtId="0" xfId="0" applyAlignment="1" applyBorder="1" applyFont="1">
      <alignment readingOrder="0"/>
    </xf>
    <xf borderId="15" fillId="18" fontId="3" numFmtId="166" xfId="0" applyAlignment="1" applyBorder="1" applyFont="1" applyNumberFormat="1">
      <alignment horizontal="center" readingOrder="0"/>
    </xf>
    <xf borderId="15" fillId="19" fontId="3" numFmtId="170" xfId="0" applyAlignment="1" applyBorder="1" applyFont="1" applyNumberFormat="1">
      <alignment readingOrder="0"/>
    </xf>
    <xf borderId="15" fillId="20" fontId="3" numFmtId="170" xfId="0" applyAlignment="1" applyBorder="1" applyFont="1" applyNumberFormat="1">
      <alignment readingOrder="0"/>
    </xf>
    <xf borderId="15" fillId="0" fontId="3" numFmtId="171" xfId="0" applyAlignment="1" applyBorder="1" applyFont="1" applyNumberFormat="1">
      <alignment horizontal="center" readingOrder="0"/>
    </xf>
    <xf borderId="15" fillId="0" fontId="3" numFmtId="0" xfId="0" applyBorder="1" applyFont="1"/>
    <xf borderId="17" fillId="18" fontId="3" numFmtId="166" xfId="0" applyAlignment="1" applyBorder="1" applyFont="1" applyNumberFormat="1">
      <alignment horizontal="center" readingOrder="0"/>
    </xf>
    <xf borderId="17" fillId="0" fontId="3" numFmtId="170" xfId="0" applyAlignment="1" applyBorder="1" applyFont="1" applyNumberFormat="1">
      <alignment readingOrder="0"/>
    </xf>
    <xf borderId="17" fillId="20" fontId="3" numFmtId="170" xfId="0" applyAlignment="1" applyBorder="1" applyFont="1" applyNumberFormat="1">
      <alignment readingOrder="0"/>
    </xf>
    <xf borderId="17" fillId="0" fontId="3" numFmtId="171" xfId="0" applyAlignment="1" applyBorder="1" applyFont="1" applyNumberFormat="1">
      <alignment horizontal="center" readingOrder="0"/>
    </xf>
    <xf borderId="17" fillId="0" fontId="3" numFmtId="0" xfId="0" applyBorder="1" applyFont="1"/>
    <xf borderId="0" fillId="0" fontId="40" numFmtId="0" xfId="0" applyAlignment="1" applyFont="1">
      <alignment readingOrder="0"/>
    </xf>
    <xf borderId="4" fillId="20" fontId="3" numFmtId="170" xfId="0" applyAlignment="1" applyBorder="1" applyFont="1" applyNumberFormat="1">
      <alignment readingOrder="0"/>
    </xf>
    <xf borderId="4" fillId="0" fontId="3" numFmtId="0" xfId="0" applyBorder="1" applyFont="1"/>
    <xf borderId="0" fillId="15" fontId="41" numFmtId="0" xfId="0" applyAlignment="1" applyFont="1">
      <alignment readingOrder="0"/>
    </xf>
    <xf borderId="0" fillId="15" fontId="42" numFmtId="0" xfId="0" applyAlignment="1" applyFont="1">
      <alignment readingOrder="0"/>
    </xf>
    <xf borderId="16" fillId="15" fontId="42" numFmtId="0" xfId="0" applyAlignment="1" applyBorder="1" applyFont="1">
      <alignment readingOrder="0"/>
    </xf>
    <xf borderId="15" fillId="0" fontId="8" numFmtId="0" xfId="0" applyAlignment="1" applyBorder="1" applyFont="1">
      <alignment readingOrder="0"/>
    </xf>
    <xf borderId="16" fillId="0" fontId="3" numFmtId="0" xfId="0" applyBorder="1" applyFont="1"/>
    <xf borderId="17" fillId="0" fontId="8" numFmtId="0" xfId="0" applyAlignment="1" applyBorder="1" applyFont="1">
      <alignment readingOrder="0"/>
    </xf>
    <xf borderId="16" fillId="0" fontId="42" numFmtId="0" xfId="0" applyAlignment="1" applyBorder="1" applyFont="1">
      <alignment readingOrder="0"/>
    </xf>
    <xf borderId="17" fillId="41" fontId="3" numFmtId="0" xfId="0" applyAlignment="1" applyBorder="1" applyFont="1">
      <alignment readingOrder="0"/>
    </xf>
    <xf borderId="15" fillId="0" fontId="1" numFmtId="0" xfId="0" applyAlignment="1" applyBorder="1" applyFont="1">
      <alignment readingOrder="0"/>
    </xf>
    <xf borderId="17" fillId="16" fontId="3" numFmtId="170" xfId="0" applyAlignment="1" applyBorder="1" applyFont="1" applyNumberFormat="1">
      <alignment readingOrder="0"/>
    </xf>
    <xf borderId="17" fillId="17" fontId="3" numFmtId="170" xfId="0" applyAlignment="1" applyBorder="1" applyFont="1" applyNumberFormat="1">
      <alignment readingOrder="0"/>
    </xf>
    <xf borderId="17" fillId="41" fontId="3" numFmtId="49" xfId="0" applyAlignment="1" applyBorder="1" applyFont="1" applyNumberFormat="1">
      <alignment readingOrder="0"/>
    </xf>
    <xf borderId="9" fillId="0" fontId="15" numFmtId="176" xfId="0" applyAlignment="1" applyBorder="1" applyFont="1" applyNumberFormat="1">
      <alignment vertical="bottom"/>
    </xf>
    <xf borderId="9" fillId="25" fontId="15" numFmtId="176" xfId="0" applyAlignment="1" applyBorder="1" applyFont="1" applyNumberFormat="1">
      <alignment vertical="bottom"/>
    </xf>
    <xf borderId="11" fillId="0" fontId="15" numFmtId="176" xfId="0" applyAlignment="1" applyBorder="1" applyFont="1" applyNumberFormat="1">
      <alignment vertical="bottom"/>
    </xf>
    <xf borderId="0" fillId="15" fontId="2" numFmtId="0" xfId="0" applyAlignment="1" applyFont="1">
      <alignment readingOrder="0"/>
    </xf>
    <xf borderId="0" fillId="12" fontId="43" numFmtId="0" xfId="0" applyAlignment="1" applyFont="1">
      <alignment readingOrder="0"/>
    </xf>
    <xf borderId="1" fillId="0" fontId="3" numFmtId="49" xfId="0" applyAlignment="1" applyBorder="1" applyFont="1" applyNumberFormat="1">
      <alignment horizontal="center"/>
    </xf>
    <xf borderId="1" fillId="21" fontId="3" numFmtId="170" xfId="0" applyAlignment="1" applyBorder="1" applyFont="1" applyNumberFormat="1">
      <alignment readingOrder="0"/>
    </xf>
    <xf borderId="1" fillId="23" fontId="3" numFmtId="166" xfId="0" applyAlignment="1" applyBorder="1" applyFont="1" applyNumberFormat="1">
      <alignment horizontal="center" readingOrder="0"/>
    </xf>
    <xf borderId="4" fillId="25" fontId="15" numFmtId="165" xfId="0" applyAlignment="1" applyBorder="1" applyFont="1" applyNumberFormat="1">
      <alignment horizontal="right" vertical="bottom"/>
    </xf>
    <xf borderId="1" fillId="12" fontId="3" numFmtId="0" xfId="0" applyAlignment="1" applyBorder="1" applyFont="1">
      <alignment horizontal="right" readingOrder="0"/>
    </xf>
    <xf borderId="1" fillId="32" fontId="3" numFmtId="166" xfId="0" applyAlignment="1" applyBorder="1" applyFont="1" applyNumberFormat="1">
      <alignment horizontal="center" readingOrder="0"/>
    </xf>
    <xf borderId="1" fillId="40" fontId="3" numFmtId="0" xfId="0" applyAlignment="1" applyBorder="1" applyFont="1">
      <alignment horizontal="right" readingOrder="0"/>
    </xf>
    <xf borderId="1" fillId="42" fontId="44" numFmtId="0" xfId="0" applyAlignment="1" applyBorder="1" applyFill="1" applyFont="1">
      <alignment readingOrder="0" vertical="bottom"/>
    </xf>
    <xf borderId="13" fillId="0" fontId="15" numFmtId="169" xfId="0" applyAlignment="1" applyBorder="1" applyFont="1" applyNumberFormat="1">
      <alignment vertical="bottom"/>
    </xf>
    <xf borderId="4" fillId="0" fontId="15" numFmtId="165" xfId="0" applyAlignment="1" applyBorder="1" applyFont="1" applyNumberFormat="1">
      <alignment horizontal="right" vertical="bottom"/>
    </xf>
    <xf borderId="1" fillId="16" fontId="3" numFmtId="165" xfId="0" applyAlignment="1" applyBorder="1" applyFont="1" applyNumberFormat="1">
      <alignment readingOrder="0"/>
    </xf>
    <xf borderId="1" fillId="17" fontId="3" numFmtId="165" xfId="0" applyAlignment="1" applyBorder="1" applyFont="1" applyNumberFormat="1">
      <alignment readingOrder="0"/>
    </xf>
    <xf borderId="1" fillId="0" fontId="3" numFmtId="49" xfId="0" applyAlignment="1" applyBorder="1" applyFont="1" applyNumberFormat="1">
      <alignment readingOrder="0" shrinkToFit="0" wrapText="0"/>
    </xf>
    <xf borderId="1" fillId="16" fontId="3" numFmtId="170" xfId="0" applyAlignment="1" applyBorder="1" applyFont="1" applyNumberFormat="1">
      <alignment readingOrder="0"/>
    </xf>
    <xf borderId="1" fillId="22" fontId="3" numFmtId="166" xfId="0" applyAlignment="1" applyBorder="1" applyFont="1" applyNumberFormat="1">
      <alignment horizontal="center" readingOrder="0"/>
    </xf>
    <xf borderId="1" fillId="28" fontId="3" numFmtId="0" xfId="0" applyAlignment="1" applyBorder="1" applyFont="1">
      <alignment readingOrder="0"/>
    </xf>
    <xf borderId="1" fillId="17" fontId="3" numFmtId="170" xfId="0" applyAlignment="1" applyBorder="1" applyFont="1" applyNumberFormat="1">
      <alignment readingOrder="0"/>
    </xf>
    <xf borderId="1" fillId="0" fontId="1" numFmtId="0" xfId="0" applyAlignment="1" applyBorder="1" applyFont="1">
      <alignment readingOrder="0"/>
    </xf>
    <xf borderId="1" fillId="17" fontId="3" numFmtId="170" xfId="0" applyAlignment="1" applyBorder="1" applyFont="1" applyNumberFormat="1">
      <alignment readingOrder="0"/>
    </xf>
    <xf borderId="1" fillId="41" fontId="3" numFmtId="49" xfId="0" applyAlignment="1" applyBorder="1" applyFont="1" applyNumberFormat="1">
      <alignment readingOrder="0"/>
    </xf>
    <xf borderId="1" fillId="7" fontId="1" numFmtId="0" xfId="0" applyAlignment="1" applyBorder="1" applyFont="1">
      <alignment readingOrder="0"/>
    </xf>
    <xf borderId="1" fillId="9" fontId="45" numFmtId="0" xfId="0" applyAlignment="1" applyBorder="1" applyFont="1">
      <alignment readingOrder="0"/>
    </xf>
    <xf borderId="1" fillId="41" fontId="3" numFmtId="0" xfId="0" applyAlignment="1" applyBorder="1" applyFont="1">
      <alignment readingOrder="0"/>
    </xf>
    <xf borderId="7" fillId="0" fontId="15" numFmtId="176" xfId="0" applyAlignment="1" applyBorder="1" applyFont="1" applyNumberFormat="1">
      <alignment vertical="bottom"/>
    </xf>
    <xf borderId="1" fillId="9" fontId="1" numFmtId="0" xfId="0" applyAlignment="1" applyBorder="1" applyFont="1">
      <alignment readingOrder="0"/>
    </xf>
    <xf borderId="1" fillId="0" fontId="3" numFmtId="0" xfId="0" applyAlignment="1" applyBorder="1" applyFont="1">
      <alignment horizontal="center"/>
    </xf>
    <xf borderId="7" fillId="27" fontId="15" numFmtId="165" xfId="0" applyAlignment="1" applyBorder="1" applyFont="1" applyNumberFormat="1">
      <alignment horizontal="right" vertical="bottom"/>
    </xf>
    <xf borderId="7" fillId="15" fontId="15" numFmtId="166" xfId="0" applyAlignment="1" applyBorder="1" applyFont="1" applyNumberFormat="1">
      <alignment horizontal="center" vertical="bottom"/>
    </xf>
    <xf borderId="7" fillId="43" fontId="15" numFmtId="165" xfId="0" applyAlignment="1" applyBorder="1" applyFill="1" applyFont="1" applyNumberFormat="1">
      <alignment horizontal="right" vertical="bottom"/>
    </xf>
    <xf borderId="7" fillId="17" fontId="15" numFmtId="165" xfId="0" applyAlignment="1" applyBorder="1" applyFont="1" applyNumberFormat="1">
      <alignment vertical="bottom"/>
    </xf>
    <xf borderId="7" fillId="42" fontId="15" numFmtId="49" xfId="0" applyAlignment="1" applyBorder="1" applyFont="1" applyNumberFormat="1">
      <alignment vertical="bottom"/>
    </xf>
    <xf borderId="7" fillId="0" fontId="15" numFmtId="49" xfId="0" applyAlignment="1" applyBorder="1" applyFont="1" applyNumberFormat="1">
      <alignment horizontal="center" vertical="bottom"/>
    </xf>
    <xf borderId="7" fillId="0" fontId="15" numFmtId="168" xfId="0" applyAlignment="1" applyBorder="1" applyFont="1" applyNumberFormat="1">
      <alignment horizontal="right" vertical="bottom"/>
    </xf>
    <xf borderId="18" fillId="0" fontId="15" numFmtId="0" xfId="0" applyAlignment="1" applyBorder="1" applyFont="1">
      <alignment shrinkToFit="0" vertical="bottom" wrapText="0"/>
    </xf>
    <xf borderId="4" fillId="15" fontId="44" numFmtId="0" xfId="0" applyAlignment="1" applyBorder="1" applyFont="1">
      <alignment vertical="bottom"/>
    </xf>
    <xf borderId="9" fillId="7" fontId="15" numFmtId="164" xfId="0" applyAlignment="1" applyBorder="1" applyFont="1" applyNumberFormat="1">
      <alignment horizontal="right" vertical="bottom"/>
    </xf>
    <xf borderId="9" fillId="44" fontId="15" numFmtId="165" xfId="0" applyAlignment="1" applyBorder="1" applyFill="1" applyFont="1" applyNumberFormat="1">
      <alignment horizontal="right" vertical="bottom"/>
    </xf>
    <xf borderId="9" fillId="15" fontId="15" numFmtId="166" xfId="0" applyAlignment="1" applyBorder="1" applyFont="1" applyNumberFormat="1">
      <alignment horizontal="center" vertical="bottom"/>
    </xf>
    <xf borderId="9" fillId="45" fontId="15" numFmtId="170" xfId="0" applyAlignment="1" applyBorder="1" applyFill="1" applyFont="1" applyNumberFormat="1">
      <alignment horizontal="right" vertical="bottom"/>
    </xf>
    <xf borderId="9" fillId="46" fontId="15" numFmtId="165" xfId="0" applyAlignment="1" applyBorder="1" applyFill="1" applyFont="1" applyNumberFormat="1">
      <alignment horizontal="right" vertical="bottom"/>
    </xf>
    <xf borderId="9" fillId="0" fontId="15" numFmtId="49" xfId="0" applyAlignment="1" applyBorder="1" applyFont="1" applyNumberFormat="1">
      <alignment vertical="bottom"/>
    </xf>
    <xf borderId="9" fillId="0" fontId="15" numFmtId="0" xfId="0" applyAlignment="1" applyBorder="1" applyFont="1">
      <alignment horizontal="right" vertical="bottom"/>
    </xf>
    <xf borderId="9" fillId="0" fontId="15" numFmtId="169" xfId="0" applyAlignment="1" applyBorder="1" applyFont="1" applyNumberFormat="1">
      <alignment horizontal="right" vertical="bottom"/>
    </xf>
    <xf borderId="9" fillId="0" fontId="46" numFmtId="0" xfId="0" applyAlignment="1" applyBorder="1" applyFont="1">
      <alignment vertical="bottom"/>
    </xf>
    <xf borderId="9" fillId="0" fontId="15" numFmtId="167" xfId="0" applyAlignment="1" applyBorder="1" applyFont="1" applyNumberFormat="1">
      <alignment horizontal="right" vertical="bottom"/>
    </xf>
    <xf borderId="9" fillId="0" fontId="15" numFmtId="49" xfId="0" applyAlignment="1" applyBorder="1" applyFont="1" applyNumberFormat="1">
      <alignment horizontal="center" vertical="bottom"/>
    </xf>
    <xf borderId="9" fillId="0" fontId="15" numFmtId="0" xfId="0" applyAlignment="1" applyBorder="1" applyFont="1">
      <alignment vertical="bottom"/>
    </xf>
    <xf borderId="9" fillId="0" fontId="15" numFmtId="168" xfId="0" applyAlignment="1" applyBorder="1" applyFont="1" applyNumberFormat="1">
      <alignment horizontal="right" vertical="bottom"/>
    </xf>
    <xf borderId="4" fillId="15" fontId="47" numFmtId="0" xfId="0" applyAlignment="1" applyBorder="1" applyFont="1">
      <alignment vertical="bottom"/>
    </xf>
    <xf borderId="9" fillId="13" fontId="15" numFmtId="164" xfId="0" applyAlignment="1" applyBorder="1" applyFont="1" applyNumberFormat="1">
      <alignment horizontal="right" vertical="bottom"/>
    </xf>
    <xf borderId="9" fillId="43" fontId="15" numFmtId="170" xfId="0" applyAlignment="1" applyBorder="1" applyFont="1" applyNumberFormat="1">
      <alignment horizontal="right" vertical="bottom"/>
    </xf>
    <xf borderId="9" fillId="47" fontId="15" numFmtId="165" xfId="0" applyAlignment="1" applyBorder="1" applyFill="1" applyFont="1" applyNumberFormat="1">
      <alignment horizontal="right" vertical="bottom"/>
    </xf>
    <xf borderId="9" fillId="42" fontId="15" numFmtId="49" xfId="0" applyAlignment="1" applyBorder="1" applyFont="1" applyNumberFormat="1">
      <alignment vertical="bottom"/>
    </xf>
    <xf borderId="0" fillId="0" fontId="15" numFmtId="0" xfId="0" applyAlignment="1" applyFont="1">
      <alignment vertical="bottom"/>
    </xf>
    <xf borderId="9" fillId="12" fontId="15" numFmtId="164" xfId="0" applyAlignment="1" applyBorder="1" applyFont="1" applyNumberFormat="1">
      <alignment horizontal="right" vertical="bottom"/>
    </xf>
    <xf borderId="9" fillId="48" fontId="15" numFmtId="165" xfId="0" applyAlignment="1" applyBorder="1" applyFill="1" applyFont="1" applyNumberFormat="1">
      <alignment horizontal="right" vertical="bottom"/>
    </xf>
    <xf borderId="9" fillId="37" fontId="24" numFmtId="166" xfId="0" applyAlignment="1" applyBorder="1" applyFont="1" applyNumberFormat="1">
      <alignment horizontal="center" vertical="bottom"/>
    </xf>
    <xf borderId="9" fillId="49" fontId="15" numFmtId="170" xfId="0" applyAlignment="1" applyBorder="1" applyFill="1" applyFont="1" applyNumberFormat="1">
      <alignment horizontal="right" vertical="bottom"/>
    </xf>
    <xf borderId="9" fillId="50" fontId="15" numFmtId="165" xfId="0" applyAlignment="1" applyBorder="1" applyFill="1" applyFont="1" applyNumberFormat="1">
      <alignment horizontal="right" vertical="bottom"/>
    </xf>
    <xf borderId="9" fillId="0" fontId="15" numFmtId="171" xfId="0" applyAlignment="1" applyBorder="1" applyFont="1" applyNumberFormat="1">
      <alignment horizontal="center" vertical="bottom"/>
    </xf>
    <xf borderId="4" fillId="42" fontId="44" numFmtId="0" xfId="0" applyAlignment="1" applyBorder="1" applyFont="1">
      <alignment vertical="bottom"/>
    </xf>
    <xf borderId="9" fillId="36" fontId="15" numFmtId="164" xfId="0" applyAlignment="1" applyBorder="1" applyFont="1" applyNumberFormat="1">
      <alignment horizontal="right" vertical="bottom"/>
    </xf>
    <xf borderId="9" fillId="29" fontId="15" numFmtId="166" xfId="0" applyAlignment="1" applyBorder="1" applyFont="1" applyNumberFormat="1">
      <alignment horizontal="center" vertical="bottom"/>
    </xf>
    <xf borderId="9" fillId="51" fontId="15" numFmtId="170" xfId="0" applyAlignment="1" applyBorder="1" applyFill="1" applyFont="1" applyNumberFormat="1">
      <alignment horizontal="right" vertical="bottom"/>
    </xf>
    <xf borderId="9" fillId="52" fontId="15" numFmtId="165" xfId="0" applyAlignment="1" applyBorder="1" applyFill="1" applyFont="1" applyNumberFormat="1">
      <alignment horizontal="right" vertical="bottom"/>
    </xf>
    <xf borderId="9" fillId="53" fontId="15" numFmtId="170" xfId="0" applyAlignment="1" applyBorder="1" applyFill="1" applyFont="1" applyNumberFormat="1">
      <alignment horizontal="right" vertical="bottom"/>
    </xf>
    <xf borderId="9" fillId="54" fontId="15" numFmtId="165" xfId="0" applyAlignment="1" applyBorder="1" applyFill="1" applyFont="1" applyNumberFormat="1">
      <alignment horizontal="right" vertical="bottom"/>
    </xf>
    <xf borderId="9" fillId="55" fontId="15" numFmtId="165" xfId="0" applyAlignment="1" applyBorder="1" applyFill="1" applyFont="1" applyNumberFormat="1">
      <alignment horizontal="right" vertical="bottom"/>
    </xf>
    <xf borderId="9" fillId="56" fontId="15" numFmtId="165" xfId="0" applyAlignment="1" applyBorder="1" applyFill="1" applyFont="1" applyNumberFormat="1">
      <alignment horizontal="right" vertical="bottom"/>
    </xf>
    <xf borderId="9" fillId="57" fontId="15" numFmtId="165" xfId="0" applyAlignment="1" applyBorder="1" applyFill="1" applyFont="1" applyNumberFormat="1">
      <alignment horizontal="right" vertical="bottom"/>
    </xf>
    <xf borderId="9" fillId="58" fontId="15" numFmtId="170" xfId="0" applyAlignment="1" applyBorder="1" applyFill="1" applyFont="1" applyNumberFormat="1">
      <alignment horizontal="right" vertical="bottom"/>
    </xf>
    <xf borderId="9" fillId="5" fontId="15" numFmtId="0" xfId="0" applyAlignment="1" applyBorder="1" applyFont="1">
      <alignment vertical="bottom"/>
    </xf>
    <xf borderId="10" fillId="7" fontId="1" numFmtId="0" xfId="0" applyAlignment="1" applyBorder="1" applyFont="1">
      <alignment readingOrder="0"/>
    </xf>
    <xf borderId="10" fillId="0" fontId="3" numFmtId="165" xfId="0" applyAlignment="1" applyBorder="1" applyFont="1" applyNumberFormat="1">
      <alignment readingOrder="0"/>
    </xf>
    <xf borderId="9" fillId="59" fontId="15" numFmtId="170" xfId="0" applyAlignment="1" applyBorder="1" applyFill="1" applyFont="1" applyNumberFormat="1">
      <alignment horizontal="right" vertical="bottom"/>
    </xf>
    <xf borderId="9" fillId="60" fontId="15" numFmtId="165" xfId="0" applyAlignment="1" applyBorder="1" applyFill="1" applyFont="1" applyNumberFormat="1">
      <alignment horizontal="right" vertical="bottom"/>
    </xf>
    <xf borderId="9" fillId="0" fontId="48" numFmtId="0" xfId="0" applyAlignment="1" applyBorder="1" applyFont="1">
      <alignment vertical="bottom"/>
    </xf>
    <xf borderId="4" fillId="25" fontId="49" numFmtId="0" xfId="0" applyAlignment="1" applyBorder="1" applyFont="1">
      <alignment vertical="bottom"/>
    </xf>
    <xf borderId="9" fillId="61" fontId="15" numFmtId="165" xfId="0" applyAlignment="1" applyBorder="1" applyFill="1" applyFont="1" applyNumberFormat="1">
      <alignment horizontal="right" vertical="bottom"/>
    </xf>
    <xf borderId="9" fillId="30" fontId="15" numFmtId="170" xfId="0" applyAlignment="1" applyBorder="1" applyFont="1" applyNumberFormat="1">
      <alignment horizontal="right" vertical="bottom"/>
    </xf>
    <xf borderId="9" fillId="62" fontId="15" numFmtId="165" xfId="0" applyAlignment="1" applyBorder="1" applyFill="1" applyFont="1" applyNumberFormat="1">
      <alignment horizontal="right" vertical="bottom"/>
    </xf>
    <xf borderId="9" fillId="22" fontId="15" numFmtId="169" xfId="0" applyAlignment="1" applyBorder="1" applyFont="1" applyNumberFormat="1">
      <alignment horizontal="right" vertical="bottom"/>
    </xf>
    <xf borderId="9" fillId="63" fontId="15" numFmtId="165" xfId="0" applyAlignment="1" applyBorder="1" applyFill="1" applyFont="1" applyNumberFormat="1">
      <alignment horizontal="right" vertical="bottom"/>
    </xf>
    <xf borderId="9" fillId="19" fontId="15" numFmtId="170" xfId="0" applyAlignment="1" applyBorder="1" applyFont="1" applyNumberFormat="1">
      <alignment horizontal="right" vertical="bottom"/>
    </xf>
    <xf borderId="9" fillId="64" fontId="15" numFmtId="165" xfId="0" applyAlignment="1" applyBorder="1" applyFill="1" applyFont="1" applyNumberFormat="1">
      <alignment horizontal="right" vertical="bottom"/>
    </xf>
    <xf borderId="9" fillId="22" fontId="15" numFmtId="164" xfId="0" applyAlignment="1" applyBorder="1" applyFont="1" applyNumberFormat="1">
      <alignment horizontal="right" vertical="bottom"/>
    </xf>
    <xf borderId="9" fillId="16" fontId="15" numFmtId="170" xfId="0" applyAlignment="1" applyBorder="1" applyFont="1" applyNumberFormat="1">
      <alignment horizontal="right" vertical="bottom"/>
    </xf>
    <xf borderId="9" fillId="65" fontId="15" numFmtId="165" xfId="0" applyAlignment="1" applyBorder="1" applyFill="1" applyFont="1" applyNumberFormat="1">
      <alignment horizontal="right" vertical="bottom"/>
    </xf>
    <xf borderId="9" fillId="0" fontId="15" numFmtId="0" xfId="0" applyAlignment="1" applyBorder="1" applyFont="1">
      <alignment vertical="bottom"/>
    </xf>
    <xf borderId="9" fillId="66" fontId="15" numFmtId="165" xfId="0" applyAlignment="1" applyBorder="1" applyFill="1" applyFont="1" applyNumberFormat="1">
      <alignment horizontal="right" vertical="bottom"/>
    </xf>
    <xf borderId="9" fillId="67" fontId="50" numFmtId="166" xfId="0" applyAlignment="1" applyBorder="1" applyFill="1" applyFont="1" applyNumberFormat="1">
      <alignment horizontal="center" vertical="bottom"/>
    </xf>
    <xf borderId="9" fillId="68" fontId="15" numFmtId="170" xfId="0" applyAlignment="1" applyBorder="1" applyFill="1" applyFont="1" applyNumberFormat="1">
      <alignment horizontal="right" vertical="bottom"/>
    </xf>
    <xf borderId="9" fillId="69" fontId="15" numFmtId="165" xfId="0" applyAlignment="1" applyBorder="1" applyFill="1" applyFont="1" applyNumberFormat="1">
      <alignment horizontal="right" vertical="bottom"/>
    </xf>
    <xf borderId="4" fillId="25" fontId="44" numFmtId="0" xfId="0" applyAlignment="1" applyBorder="1" applyFont="1">
      <alignment vertical="bottom"/>
    </xf>
    <xf borderId="9" fillId="70" fontId="15" numFmtId="170" xfId="0" applyAlignment="1" applyBorder="1" applyFill="1" applyFont="1" applyNumberFormat="1">
      <alignment horizontal="right" vertical="bottom"/>
    </xf>
    <xf borderId="9" fillId="71" fontId="15" numFmtId="165" xfId="0" applyAlignment="1" applyBorder="1" applyFill="1" applyFont="1" applyNumberFormat="1">
      <alignment horizontal="right" vertical="bottom"/>
    </xf>
    <xf borderId="9" fillId="42" fontId="15" numFmtId="0" xfId="0" applyAlignment="1" applyBorder="1" applyFont="1">
      <alignment vertical="bottom"/>
    </xf>
    <xf borderId="9" fillId="72" fontId="15" numFmtId="166" xfId="0" applyAlignment="1" applyBorder="1" applyFill="1" applyFont="1" applyNumberFormat="1">
      <alignment horizontal="center" vertical="bottom"/>
    </xf>
    <xf borderId="9" fillId="73" fontId="15" numFmtId="165" xfId="0" applyAlignment="1" applyBorder="1" applyFill="1" applyFont="1" applyNumberFormat="1">
      <alignment horizontal="right" vertical="bottom"/>
    </xf>
    <xf borderId="9" fillId="74" fontId="15" numFmtId="165" xfId="0" applyAlignment="1" applyBorder="1" applyFill="1" applyFont="1" applyNumberFormat="1">
      <alignment horizontal="right" vertical="bottom"/>
    </xf>
    <xf borderId="9" fillId="26" fontId="15" numFmtId="169" xfId="0" applyAlignment="1" applyBorder="1" applyFont="1" applyNumberFormat="1">
      <alignment horizontal="right" vertical="bottom"/>
    </xf>
    <xf borderId="9" fillId="30" fontId="15" numFmtId="165" xfId="0" applyAlignment="1" applyBorder="1" applyFont="1" applyNumberFormat="1">
      <alignment horizontal="right" vertical="bottom"/>
    </xf>
    <xf borderId="9" fillId="75" fontId="15" numFmtId="165" xfId="0" applyAlignment="1" applyBorder="1" applyFill="1" applyFont="1" applyNumberFormat="1">
      <alignment horizontal="right" vertical="bottom"/>
    </xf>
    <xf borderId="9" fillId="76" fontId="15" numFmtId="165" xfId="0" applyAlignment="1" applyBorder="1" applyFill="1" applyFont="1" applyNumberFormat="1">
      <alignment horizontal="right" vertical="bottom"/>
    </xf>
    <xf borderId="9" fillId="16" fontId="15" numFmtId="165" xfId="0" applyAlignment="1" applyBorder="1" applyFont="1" applyNumberFormat="1">
      <alignment horizontal="right" vertical="bottom"/>
    </xf>
    <xf borderId="9" fillId="77" fontId="15" numFmtId="165" xfId="0" applyAlignment="1" applyBorder="1" applyFill="1" applyFont="1" applyNumberFormat="1">
      <alignment horizontal="right" vertical="bottom"/>
    </xf>
    <xf borderId="9" fillId="78" fontId="15" numFmtId="166" xfId="0" applyAlignment="1" applyBorder="1" applyFill="1" applyFont="1" applyNumberFormat="1">
      <alignment horizontal="center" vertical="bottom"/>
    </xf>
    <xf borderId="9" fillId="79" fontId="15" numFmtId="165" xfId="0" applyAlignment="1" applyBorder="1" applyFill="1" applyFont="1" applyNumberFormat="1">
      <alignment horizontal="right" vertical="bottom"/>
    </xf>
    <xf borderId="9" fillId="80" fontId="15" numFmtId="165" xfId="0" applyAlignment="1" applyBorder="1" applyFill="1" applyFont="1" applyNumberFormat="1">
      <alignment horizontal="right" vertical="bottom"/>
    </xf>
    <xf borderId="9" fillId="81" fontId="15" numFmtId="165" xfId="0" applyAlignment="1" applyBorder="1" applyFill="1" applyFont="1" applyNumberFormat="1">
      <alignment horizontal="right" vertical="bottom"/>
    </xf>
    <xf borderId="9" fillId="39" fontId="15" numFmtId="165" xfId="0" applyAlignment="1" applyBorder="1" applyFont="1" applyNumberFormat="1">
      <alignment horizontal="right" vertical="bottom"/>
    </xf>
    <xf borderId="9" fillId="51" fontId="15" numFmtId="165" xfId="0" applyAlignment="1" applyBorder="1" applyFont="1" applyNumberFormat="1">
      <alignment horizontal="right" vertical="bottom"/>
    </xf>
    <xf borderId="9" fillId="82" fontId="15" numFmtId="165" xfId="0" applyAlignment="1" applyBorder="1" applyFill="1" applyFont="1" applyNumberFormat="1">
      <alignment horizontal="right" vertical="bottom"/>
    </xf>
    <xf borderId="9" fillId="83" fontId="15" numFmtId="165" xfId="0" applyAlignment="1" applyBorder="1" applyFill="1" applyFont="1" applyNumberFormat="1">
      <alignment horizontal="right" vertical="bottom"/>
    </xf>
    <xf borderId="4" fillId="0" fontId="51" numFmtId="0" xfId="0" applyAlignment="1" applyBorder="1" applyFont="1">
      <alignment vertical="bottom"/>
    </xf>
    <xf borderId="9" fillId="84" fontId="15" numFmtId="165" xfId="0" applyAlignment="1" applyBorder="1" applyFill="1" applyFont="1" applyNumberFormat="1">
      <alignment horizontal="right" vertical="bottom"/>
    </xf>
    <xf borderId="9" fillId="85" fontId="15" numFmtId="165" xfId="0" applyAlignment="1" applyBorder="1" applyFill="1" applyFont="1" applyNumberFormat="1">
      <alignment horizontal="right" vertical="bottom"/>
    </xf>
    <xf borderId="9" fillId="27" fontId="15" numFmtId="0" xfId="0" applyAlignment="1" applyBorder="1" applyFont="1">
      <alignment horizontal="right" vertical="bottom"/>
    </xf>
    <xf borderId="9" fillId="0" fontId="15" numFmtId="166" xfId="0" applyAlignment="1" applyBorder="1" applyFont="1" applyNumberFormat="1">
      <alignment horizontal="center" vertical="bottom"/>
    </xf>
    <xf borderId="9" fillId="86" fontId="15" numFmtId="165" xfId="0" applyAlignment="1" applyBorder="1" applyFill="1" applyFont="1" applyNumberFormat="1">
      <alignment horizontal="right" vertical="bottom"/>
    </xf>
    <xf borderId="9" fillId="87" fontId="15" numFmtId="165" xfId="0" applyAlignment="1" applyBorder="1" applyFill="1" applyFont="1" applyNumberFormat="1">
      <alignment horizontal="right" vertical="bottom"/>
    </xf>
    <xf borderId="9" fillId="88" fontId="15" numFmtId="165" xfId="0" applyAlignment="1" applyBorder="1" applyFill="1" applyFont="1" applyNumberFormat="1">
      <alignment horizontal="right" vertical="bottom"/>
    </xf>
    <xf borderId="9" fillId="89" fontId="15" numFmtId="165" xfId="0" applyAlignment="1" applyBorder="1" applyFill="1" applyFont="1" applyNumberFormat="1">
      <alignment horizontal="right" vertical="bottom"/>
    </xf>
    <xf borderId="9" fillId="30" fontId="15" numFmtId="165" xfId="0" applyAlignment="1" applyBorder="1" applyFont="1" applyNumberFormat="1">
      <alignment horizontal="right" vertical="bottom"/>
    </xf>
    <xf borderId="9" fillId="90" fontId="15" numFmtId="165" xfId="0" applyAlignment="1" applyBorder="1" applyFill="1" applyFont="1" applyNumberFormat="1">
      <alignment horizontal="right" vertical="bottom"/>
    </xf>
    <xf borderId="9" fillId="91" fontId="15" numFmtId="165" xfId="0" applyAlignment="1" applyBorder="1" applyFill="1" applyFont="1" applyNumberFormat="1">
      <alignment horizontal="right" vertical="bottom"/>
    </xf>
    <xf borderId="9" fillId="92" fontId="15" numFmtId="165" xfId="0" applyAlignment="1" applyBorder="1" applyFill="1" applyFont="1" applyNumberFormat="1">
      <alignment horizontal="right" vertical="bottom"/>
    </xf>
    <xf borderId="9" fillId="93" fontId="15" numFmtId="165" xfId="0" applyAlignment="1" applyBorder="1" applyFill="1" applyFont="1" applyNumberFormat="1">
      <alignment horizontal="right" vertical="bottom"/>
    </xf>
    <xf borderId="9" fillId="94" fontId="15" numFmtId="166" xfId="0" applyAlignment="1" applyBorder="1" applyFill="1" applyFont="1" applyNumberFormat="1">
      <alignment horizontal="center" vertical="bottom"/>
    </xf>
    <xf borderId="9" fillId="95" fontId="15" numFmtId="165" xfId="0" applyAlignment="1" applyBorder="1" applyFill="1" applyFont="1" applyNumberFormat="1">
      <alignment horizontal="right" vertical="bottom"/>
    </xf>
    <xf borderId="9" fillId="0" fontId="15" numFmtId="0" xfId="0" applyAlignment="1" applyBorder="1" applyFont="1">
      <alignment horizontal="right" vertical="bottom"/>
    </xf>
    <xf borderId="9" fillId="96" fontId="15" numFmtId="165" xfId="0" applyAlignment="1" applyBorder="1" applyFill="1" applyFont="1" applyNumberFormat="1">
      <alignment horizontal="right" vertical="bottom"/>
    </xf>
    <xf borderId="9" fillId="97" fontId="15" numFmtId="165" xfId="0" applyAlignment="1" applyBorder="1" applyFill="1" applyFont="1" applyNumberFormat="1">
      <alignment horizontal="right" vertical="bottom"/>
    </xf>
    <xf borderId="9" fillId="98" fontId="15" numFmtId="165" xfId="0" applyAlignment="1" applyBorder="1" applyFill="1" applyFont="1" applyNumberFormat="1">
      <alignment horizontal="right" vertical="bottom"/>
    </xf>
    <xf borderId="9" fillId="31" fontId="15" numFmtId="165" xfId="0" applyAlignment="1" applyBorder="1" applyFont="1" applyNumberFormat="1">
      <alignment horizontal="right" vertical="bottom"/>
    </xf>
    <xf borderId="9" fillId="27" fontId="15" numFmtId="0" xfId="0" applyAlignment="1" applyBorder="1" applyFont="1">
      <alignment horizontal="right" vertical="bottom"/>
    </xf>
    <xf borderId="9" fillId="99" fontId="15" numFmtId="165" xfId="0" applyAlignment="1" applyBorder="1" applyFill="1" applyFont="1" applyNumberFormat="1">
      <alignment horizontal="right" vertical="bottom"/>
    </xf>
    <xf borderId="9" fillId="5" fontId="15" numFmtId="0" xfId="0" applyAlignment="1" applyBorder="1" applyFont="1">
      <alignment vertical="bottom"/>
    </xf>
    <xf borderId="4" fillId="15" fontId="44" numFmtId="0" xfId="0" applyAlignment="1" applyBorder="1" applyFont="1">
      <alignment vertical="bottom"/>
    </xf>
    <xf borderId="9" fillId="19" fontId="15" numFmtId="165" xfId="0" applyAlignment="1" applyBorder="1" applyFont="1" applyNumberFormat="1">
      <alignment horizontal="right" vertical="bottom"/>
    </xf>
    <xf borderId="9" fillId="100" fontId="15" numFmtId="165" xfId="0" applyAlignment="1" applyBorder="1" applyFill="1" applyFont="1" applyNumberFormat="1">
      <alignment horizontal="right" vertical="bottom"/>
    </xf>
    <xf borderId="9" fillId="12" fontId="15" numFmtId="0" xfId="0" applyAlignment="1" applyBorder="1" applyFont="1">
      <alignment horizontal="right" vertical="bottom"/>
    </xf>
    <xf borderId="9" fillId="101" fontId="15" numFmtId="165" xfId="0" applyAlignment="1" applyBorder="1" applyFill="1" applyFont="1" applyNumberFormat="1">
      <alignment horizontal="right" vertical="bottom"/>
    </xf>
    <xf borderId="9" fillId="102" fontId="52" numFmtId="166" xfId="0" applyAlignment="1" applyBorder="1" applyFill="1" applyFont="1" applyNumberFormat="1">
      <alignment horizontal="center" vertical="bottom"/>
    </xf>
    <xf borderId="9" fillId="33" fontId="15" numFmtId="0" xfId="0" applyAlignment="1" applyBorder="1" applyFont="1">
      <alignment horizontal="right" vertical="bottom"/>
    </xf>
    <xf borderId="9" fillId="38" fontId="15" numFmtId="165" xfId="0" applyAlignment="1" applyBorder="1" applyFont="1" applyNumberFormat="1">
      <alignment horizontal="right" vertical="bottom"/>
    </xf>
    <xf borderId="9" fillId="103" fontId="15" numFmtId="165" xfId="0" applyAlignment="1" applyBorder="1" applyFill="1" applyFont="1" applyNumberFormat="1">
      <alignment horizontal="right" vertical="bottom"/>
    </xf>
    <xf borderId="9" fillId="104" fontId="15" numFmtId="165" xfId="0" applyAlignment="1" applyBorder="1" applyFill="1" applyFont="1" applyNumberFormat="1">
      <alignment horizontal="right" vertical="bottom"/>
    </xf>
    <xf borderId="9" fillId="105" fontId="15" numFmtId="165" xfId="0" applyAlignment="1" applyBorder="1" applyFill="1" applyFont="1" applyNumberFormat="1">
      <alignment horizontal="right" vertical="bottom"/>
    </xf>
    <xf borderId="9" fillId="43" fontId="15" numFmtId="165" xfId="0" applyAlignment="1" applyBorder="1" applyFont="1" applyNumberFormat="1">
      <alignment horizontal="right" vertical="bottom"/>
    </xf>
    <xf borderId="9" fillId="42" fontId="15" numFmtId="0" xfId="0" applyAlignment="1" applyBorder="1" applyFont="1">
      <alignment vertical="bottom"/>
    </xf>
    <xf borderId="9" fillId="70" fontId="15" numFmtId="165" xfId="0" applyAlignment="1" applyBorder="1" applyFont="1" applyNumberFormat="1">
      <alignment horizontal="right" vertical="bottom"/>
    </xf>
    <xf borderId="9" fillId="106" fontId="15" numFmtId="165" xfId="0" applyAlignment="1" applyBorder="1" applyFill="1" applyFont="1" applyNumberFormat="1">
      <alignment horizontal="right" vertical="bottom"/>
    </xf>
    <xf borderId="9" fillId="107" fontId="15" numFmtId="165" xfId="0" applyAlignment="1" applyBorder="1" applyFill="1" applyFont="1" applyNumberFormat="1">
      <alignment horizontal="right" vertical="bottom"/>
    </xf>
    <xf borderId="9" fillId="108" fontId="15" numFmtId="165" xfId="0" applyAlignment="1" applyBorder="1" applyFill="1" applyFont="1" applyNumberFormat="1">
      <alignment horizontal="right" vertical="bottom"/>
    </xf>
    <xf borderId="9" fillId="109" fontId="15" numFmtId="165" xfId="0" applyAlignment="1" applyBorder="1" applyFill="1" applyFont="1" applyNumberFormat="1">
      <alignment horizontal="right" vertical="bottom"/>
    </xf>
    <xf borderId="9" fillId="110" fontId="15" numFmtId="165" xfId="0" applyAlignment="1" applyBorder="1" applyFill="1" applyFont="1" applyNumberFormat="1">
      <alignment horizontal="right" vertical="bottom"/>
    </xf>
    <xf borderId="9" fillId="9" fontId="15" numFmtId="169" xfId="0" applyAlignment="1" applyBorder="1" applyFont="1" applyNumberFormat="1">
      <alignment horizontal="right" vertical="bottom"/>
    </xf>
    <xf borderId="9" fillId="111" fontId="15" numFmtId="165" xfId="0" applyAlignment="1" applyBorder="1" applyFill="1" applyFont="1" applyNumberFormat="1">
      <alignment horizontal="right" vertical="bottom"/>
    </xf>
    <xf borderId="9" fillId="112" fontId="15" numFmtId="165" xfId="0" applyAlignment="1" applyBorder="1" applyFill="1" applyFont="1" applyNumberFormat="1">
      <alignment horizontal="right" vertical="bottom"/>
    </xf>
    <xf borderId="4" fillId="15" fontId="53" numFmtId="0" xfId="0" applyAlignment="1" applyBorder="1" applyFont="1">
      <alignment vertical="bottom"/>
    </xf>
    <xf borderId="9" fillId="36" fontId="15" numFmtId="0" xfId="0" applyAlignment="1" applyBorder="1" applyFont="1">
      <alignment horizontal="right" vertical="bottom"/>
    </xf>
    <xf borderId="9" fillId="68" fontId="15" numFmtId="165" xfId="0" applyAlignment="1" applyBorder="1" applyFont="1" applyNumberFormat="1">
      <alignment horizontal="right" vertical="bottom"/>
    </xf>
    <xf borderId="9" fillId="113" fontId="15" numFmtId="165" xfId="0" applyAlignment="1" applyBorder="1" applyFill="1" applyFont="1" applyNumberFormat="1">
      <alignment horizontal="right" vertical="bottom"/>
    </xf>
    <xf borderId="4" fillId="25" fontId="44" numFmtId="0" xfId="0" applyAlignment="1" applyBorder="1" applyFont="1">
      <alignment vertical="bottom"/>
    </xf>
    <xf borderId="9" fillId="114" fontId="15" numFmtId="165" xfId="0" applyAlignment="1" applyBorder="1" applyFill="1" applyFont="1" applyNumberFormat="1">
      <alignment horizontal="right" vertical="bottom"/>
    </xf>
    <xf borderId="9" fillId="115" fontId="15" numFmtId="165" xfId="0" applyAlignment="1" applyBorder="1" applyFill="1" applyFont="1" applyNumberFormat="1">
      <alignment horizontal="right" vertical="bottom"/>
    </xf>
    <xf borderId="9" fillId="116" fontId="15" numFmtId="165" xfId="0" applyAlignment="1" applyBorder="1" applyFill="1" applyFont="1" applyNumberFormat="1">
      <alignment horizontal="right" vertical="bottom"/>
    </xf>
    <xf borderId="4" fillId="25" fontId="54" numFmtId="0" xfId="0" applyAlignment="1" applyBorder="1" applyFont="1">
      <alignment vertical="bottom"/>
    </xf>
    <xf borderId="9" fillId="117" fontId="15" numFmtId="165" xfId="0" applyAlignment="1" applyBorder="1" applyFill="1" applyFont="1" applyNumberFormat="1">
      <alignment horizontal="right" vertical="bottom"/>
    </xf>
    <xf borderId="9" fillId="118" fontId="15" numFmtId="165" xfId="0" applyAlignment="1" applyBorder="1" applyFill="1" applyFont="1" applyNumberFormat="1">
      <alignment horizontal="right" vertical="bottom"/>
    </xf>
    <xf borderId="9" fillId="119" fontId="15" numFmtId="165" xfId="0" applyAlignment="1" applyBorder="1" applyFill="1" applyFont="1" applyNumberFormat="1">
      <alignment horizontal="right" vertical="bottom"/>
    </xf>
    <xf borderId="9" fillId="120" fontId="15" numFmtId="165" xfId="0" applyAlignment="1" applyBorder="1" applyFill="1" applyFont="1" applyNumberFormat="1">
      <alignment horizontal="right" vertical="bottom"/>
    </xf>
    <xf borderId="9" fillId="121" fontId="15" numFmtId="165" xfId="0" applyAlignment="1" applyBorder="1" applyFill="1" applyFont="1" applyNumberFormat="1">
      <alignment horizontal="right" vertical="bottom"/>
    </xf>
    <xf borderId="9" fillId="122" fontId="15" numFmtId="165" xfId="0" applyAlignment="1" applyBorder="1" applyFill="1" applyFont="1" applyNumberFormat="1">
      <alignment horizontal="right" vertical="bottom"/>
    </xf>
    <xf borderId="9" fillId="123" fontId="15" numFmtId="165" xfId="0" applyAlignment="1" applyBorder="1" applyFill="1" applyFont="1" applyNumberFormat="1">
      <alignment horizontal="right" vertical="bottom"/>
    </xf>
    <xf borderId="9" fillId="124" fontId="15" numFmtId="165" xfId="0" applyAlignment="1" applyBorder="1" applyFill="1" applyFont="1" applyNumberFormat="1">
      <alignment horizontal="right" vertical="bottom"/>
    </xf>
    <xf borderId="9" fillId="4" fontId="15" numFmtId="0" xfId="0" applyAlignment="1" applyBorder="1" applyFont="1">
      <alignment horizontal="right" vertical="bottom"/>
    </xf>
    <xf borderId="9" fillId="125" fontId="15" numFmtId="165" xfId="0" applyAlignment="1" applyBorder="1" applyFill="1" applyFont="1" applyNumberFormat="1">
      <alignment horizontal="right" vertical="bottom"/>
    </xf>
    <xf borderId="9" fillId="126" fontId="15" numFmtId="165" xfId="0" applyAlignment="1" applyBorder="1" applyFill="1" applyFont="1" applyNumberFormat="1">
      <alignment horizontal="right" vertical="bottom"/>
    </xf>
    <xf borderId="9" fillId="58" fontId="15" numFmtId="165" xfId="0" applyAlignment="1" applyBorder="1" applyFont="1" applyNumberFormat="1">
      <alignment horizontal="right" vertical="bottom"/>
    </xf>
    <xf borderId="9" fillId="127" fontId="15" numFmtId="165" xfId="0" applyAlignment="1" applyBorder="1" applyFill="1" applyFont="1" applyNumberFormat="1">
      <alignment horizontal="right" vertical="bottom"/>
    </xf>
    <xf borderId="9" fillId="23" fontId="15" numFmtId="0" xfId="0" applyAlignment="1" applyBorder="1" applyFont="1">
      <alignment horizontal="right" vertical="bottom"/>
    </xf>
    <xf borderId="19" fillId="0" fontId="15" numFmtId="168" xfId="0" applyAlignment="1" applyBorder="1" applyFont="1" applyNumberFormat="1">
      <alignment horizontal="right" vertical="bottom"/>
    </xf>
    <xf borderId="9" fillId="128" fontId="15" numFmtId="165" xfId="0" applyAlignment="1" applyBorder="1" applyFill="1" applyFont="1" applyNumberFormat="1">
      <alignment horizontal="right" vertical="bottom"/>
    </xf>
    <xf borderId="9" fillId="129" fontId="15" numFmtId="165" xfId="0" applyAlignment="1" applyBorder="1" applyFill="1" applyFont="1" applyNumberFormat="1">
      <alignment horizontal="right" vertical="bottom"/>
    </xf>
    <xf borderId="9" fillId="130" fontId="15" numFmtId="165" xfId="0" applyAlignment="1" applyBorder="1" applyFill="1" applyFont="1" applyNumberFormat="1">
      <alignment horizontal="right" vertical="bottom"/>
    </xf>
    <xf borderId="9" fillId="0" fontId="15" numFmtId="0" xfId="0" applyAlignment="1" applyBorder="1" applyFont="1">
      <alignment horizontal="center" vertical="bottom"/>
    </xf>
    <xf borderId="9" fillId="131" fontId="15" numFmtId="165" xfId="0" applyAlignment="1" applyBorder="1" applyFill="1" applyFont="1" applyNumberFormat="1">
      <alignment horizontal="right" vertical="bottom"/>
    </xf>
    <xf borderId="9" fillId="132" fontId="15" numFmtId="165" xfId="0" applyAlignment="1" applyBorder="1" applyFill="1" applyFont="1" applyNumberFormat="1">
      <alignment horizontal="right" vertical="bottom"/>
    </xf>
    <xf borderId="9" fillId="49" fontId="15" numFmtId="165" xfId="0" applyAlignment="1" applyBorder="1" applyFont="1" applyNumberFormat="1">
      <alignment horizontal="right" vertical="bottom"/>
    </xf>
    <xf borderId="9" fillId="8" fontId="15" numFmtId="0" xfId="0" applyAlignment="1" applyBorder="1" applyFont="1">
      <alignment horizontal="right" vertical="bottom"/>
    </xf>
    <xf borderId="9" fillId="133" fontId="15" numFmtId="165" xfId="0" applyAlignment="1" applyBorder="1" applyFill="1" applyFont="1" applyNumberFormat="1">
      <alignment horizontal="right" vertical="bottom"/>
    </xf>
    <xf borderId="9" fillId="0" fontId="15" numFmtId="177" xfId="0" applyAlignment="1" applyBorder="1" applyFont="1" applyNumberFormat="1">
      <alignment horizontal="right" vertical="bottom"/>
    </xf>
    <xf borderId="9" fillId="134" fontId="15" numFmtId="165" xfId="0" applyAlignment="1" applyBorder="1" applyFill="1" applyFont="1" applyNumberFormat="1">
      <alignment horizontal="right" vertical="bottom"/>
    </xf>
    <xf borderId="9" fillId="135" fontId="15" numFmtId="165" xfId="0" applyAlignment="1" applyBorder="1" applyFill="1" applyFont="1" applyNumberFormat="1">
      <alignment horizontal="right" vertical="bottom"/>
    </xf>
    <xf borderId="9" fillId="136" fontId="15" numFmtId="165" xfId="0" applyAlignment="1" applyBorder="1" applyFill="1" applyFont="1" applyNumberFormat="1">
      <alignment horizontal="right" vertical="bottom"/>
    </xf>
    <xf borderId="9" fillId="137" fontId="15" numFmtId="165" xfId="0" applyAlignment="1" applyBorder="1" applyFill="1" applyFont="1" applyNumberFormat="1">
      <alignment horizontal="right" vertical="bottom"/>
    </xf>
    <xf borderId="9" fillId="138" fontId="15" numFmtId="165" xfId="0" applyAlignment="1" applyBorder="1" applyFill="1" applyFont="1" applyNumberFormat="1">
      <alignment horizontal="right" vertical="bottom"/>
    </xf>
    <xf borderId="9" fillId="139" fontId="15" numFmtId="165" xfId="0" applyAlignment="1" applyBorder="1" applyFill="1" applyFont="1" applyNumberFormat="1">
      <alignment horizontal="right" vertical="bottom"/>
    </xf>
    <xf borderId="9" fillId="40" fontId="15" numFmtId="0" xfId="0" applyAlignment="1" applyBorder="1" applyFont="1">
      <alignment horizontal="right" vertical="bottom"/>
    </xf>
    <xf borderId="9" fillId="140" fontId="15" numFmtId="165" xfId="0" applyAlignment="1" applyBorder="1" applyFill="1" applyFont="1" applyNumberFormat="1">
      <alignment horizontal="right" vertical="bottom"/>
    </xf>
    <xf borderId="9" fillId="141" fontId="15" numFmtId="166" xfId="0" applyAlignment="1" applyBorder="1" applyFill="1" applyFont="1" applyNumberFormat="1">
      <alignment horizontal="center" vertical="bottom"/>
    </xf>
    <xf borderId="9" fillId="142" fontId="15" numFmtId="165" xfId="0" applyAlignment="1" applyBorder="1" applyFill="1" applyFont="1" applyNumberFormat="1">
      <alignment horizontal="right" vertical="bottom"/>
    </xf>
    <xf borderId="9" fillId="143" fontId="15" numFmtId="165" xfId="0" applyAlignment="1" applyBorder="1" applyFill="1" applyFont="1" applyNumberFormat="1">
      <alignment horizontal="right" vertical="bottom"/>
    </xf>
    <xf borderId="9" fillId="144" fontId="15" numFmtId="165" xfId="0" applyAlignment="1" applyBorder="1" applyFill="1" applyFont="1" applyNumberFormat="1">
      <alignment horizontal="right" vertical="bottom"/>
    </xf>
    <xf borderId="9" fillId="145" fontId="15" numFmtId="165" xfId="0" applyAlignment="1" applyBorder="1" applyFill="1" applyFont="1" applyNumberFormat="1">
      <alignment horizontal="right" vertical="bottom"/>
    </xf>
    <xf borderId="9" fillId="146" fontId="15" numFmtId="165" xfId="0" applyAlignment="1" applyBorder="1" applyFill="1" applyFont="1" applyNumberFormat="1">
      <alignment horizontal="right" vertical="bottom"/>
    </xf>
    <xf borderId="9" fillId="147" fontId="15" numFmtId="165" xfId="0" applyAlignment="1" applyBorder="1" applyFill="1" applyFont="1" applyNumberFormat="1">
      <alignment horizontal="right" vertical="bottom"/>
    </xf>
    <xf borderId="9" fillId="148" fontId="15" numFmtId="165" xfId="0" applyAlignment="1" applyBorder="1" applyFill="1" applyFont="1" applyNumberFormat="1">
      <alignment horizontal="right" vertical="bottom"/>
    </xf>
    <xf borderId="5" fillId="25" fontId="44" numFmtId="0" xfId="0" applyAlignment="1" applyBorder="1" applyFont="1">
      <alignment vertical="bottom"/>
    </xf>
    <xf borderId="11" fillId="12" fontId="15" numFmtId="164" xfId="0" applyAlignment="1" applyBorder="1" applyFont="1" applyNumberFormat="1">
      <alignment horizontal="right" vertical="bottom"/>
    </xf>
    <xf borderId="11" fillId="148" fontId="15" numFmtId="165" xfId="0" applyAlignment="1" applyBorder="1" applyFont="1" applyNumberFormat="1">
      <alignment horizontal="right" vertical="bottom"/>
    </xf>
    <xf borderId="11" fillId="15" fontId="15" numFmtId="166" xfId="0" applyAlignment="1" applyBorder="1" applyFont="1" applyNumberFormat="1">
      <alignment horizontal="center" vertical="bottom"/>
    </xf>
    <xf borderId="11" fillId="0" fontId="15" numFmtId="0" xfId="0" applyAlignment="1" applyBorder="1" applyFont="1">
      <alignment vertical="bottom"/>
    </xf>
    <xf borderId="11" fillId="0" fontId="15" numFmtId="0" xfId="0" applyAlignment="1" applyBorder="1" applyFont="1">
      <alignment horizontal="right" vertical="bottom"/>
    </xf>
    <xf borderId="11" fillId="0" fontId="15" numFmtId="169" xfId="0" applyAlignment="1" applyBorder="1" applyFont="1" applyNumberFormat="1">
      <alignment vertical="bottom"/>
    </xf>
    <xf borderId="11" fillId="0" fontId="15" numFmtId="167" xfId="0" applyAlignment="1" applyBorder="1" applyFont="1" applyNumberFormat="1">
      <alignment horizontal="right" vertical="bottom"/>
    </xf>
    <xf borderId="11" fillId="0" fontId="15" numFmtId="0" xfId="0" applyAlignment="1" applyBorder="1" applyFont="1">
      <alignment horizontal="center" vertical="bottom"/>
    </xf>
    <xf borderId="11" fillId="0" fontId="15" numFmtId="168" xfId="0" applyAlignment="1" applyBorder="1" applyFont="1" applyNumberFormat="1">
      <alignment horizontal="right" vertical="bottom"/>
    </xf>
    <xf borderId="1" fillId="4" fontId="1" numFmtId="0" xfId="0" applyAlignment="1" applyBorder="1" applyFont="1">
      <alignment readingOrder="0" textRotation="0" vertical="bottom"/>
    </xf>
    <xf borderId="1" fillId="0" fontId="8" numFmtId="49" xfId="0" applyAlignment="1" applyBorder="1" applyFont="1" applyNumberFormat="1">
      <alignment readingOrder="0"/>
    </xf>
    <xf borderId="1" fillId="0" fontId="55" numFmtId="49" xfId="0" applyAlignment="1" applyBorder="1" applyFont="1" applyNumberFormat="1">
      <alignment horizontal="center"/>
    </xf>
    <xf borderId="1" fillId="0" fontId="56" numFmtId="0" xfId="0" applyAlignment="1" applyBorder="1" applyFont="1">
      <alignment readingOrder="0"/>
    </xf>
    <xf borderId="0" fillId="0" fontId="57" numFmtId="0" xfId="0" applyFont="1"/>
    <xf borderId="0" fillId="15" fontId="58" numFmtId="0" xfId="0" applyFont="1"/>
    <xf borderId="1" fillId="0" fontId="8" numFmtId="49" xfId="0" applyAlignment="1" applyBorder="1" applyFont="1" applyNumberFormat="1">
      <alignment readingOrder="0"/>
    </xf>
    <xf borderId="1" fillId="0" fontId="59" numFmtId="0" xfId="0" applyAlignment="1" applyBorder="1" applyFont="1">
      <alignment readingOrder="0"/>
    </xf>
    <xf borderId="1" fillId="0" fontId="8" numFmtId="171" xfId="0" applyAlignment="1" applyBorder="1" applyFont="1" applyNumberFormat="1">
      <alignment readingOrder="0"/>
    </xf>
    <xf borderId="1" fillId="0" fontId="60" numFmtId="0" xfId="0" applyAlignment="1" applyBorder="1" applyFont="1">
      <alignment horizontal="center" readingOrder="0"/>
    </xf>
    <xf borderId="1" fillId="0" fontId="61" numFmtId="171" xfId="0" applyAlignment="1" applyBorder="1" applyFont="1" applyNumberFormat="1">
      <alignment horizontal="center" readingOrder="0"/>
    </xf>
    <xf borderId="1" fillId="0" fontId="62" numFmtId="49" xfId="0" applyAlignment="1" applyBorder="1" applyFont="1" applyNumberFormat="1">
      <alignment horizontal="center" readingOrder="0"/>
    </xf>
    <xf borderId="1" fillId="5" fontId="3" numFmtId="169" xfId="0" applyAlignment="1" applyBorder="1" applyFont="1" applyNumberFormat="1">
      <alignment readingOrder="0"/>
    </xf>
    <xf borderId="1" fillId="9" fontId="1" numFmtId="0" xfId="0" applyAlignment="1" applyBorder="1" applyFont="1">
      <alignment readingOrder="0"/>
    </xf>
    <xf borderId="1" fillId="22" fontId="3" numFmtId="167" xfId="0" applyAlignment="1" applyBorder="1" applyFont="1" applyNumberFormat="1">
      <alignment readingOrder="0"/>
    </xf>
    <xf borderId="1" fillId="0" fontId="63" numFmtId="0" xfId="0" applyBorder="1" applyFont="1"/>
    <xf borderId="1" fillId="26" fontId="3" numFmtId="167" xfId="0" applyAlignment="1" applyBorder="1" applyFont="1" applyNumberFormat="1">
      <alignment readingOrder="0"/>
    </xf>
    <xf borderId="1" fillId="0" fontId="8" numFmtId="171" xfId="0" applyAlignment="1" applyBorder="1" applyFont="1" applyNumberFormat="1">
      <alignment readingOrder="0"/>
    </xf>
    <xf borderId="1" fillId="110" fontId="3" numFmtId="165" xfId="0" applyAlignment="1" applyBorder="1" applyFont="1" applyNumberFormat="1">
      <alignment readingOrder="0"/>
    </xf>
    <xf borderId="1" fillId="0" fontId="3" numFmtId="168" xfId="0" applyBorder="1" applyFont="1" applyNumberFormat="1"/>
    <xf borderId="1" fillId="0" fontId="3" numFmtId="169" xfId="0" applyBorder="1" applyFont="1" applyNumberFormat="1"/>
    <xf borderId="1" fillId="9" fontId="64" numFmtId="0" xfId="0" applyAlignment="1" applyBorder="1" applyFont="1">
      <alignment readingOrder="0"/>
    </xf>
    <xf borderId="1" fillId="0" fontId="3" numFmtId="172" xfId="0" applyAlignment="1" applyBorder="1" applyFont="1" applyNumberFormat="1">
      <alignment readingOrder="0"/>
    </xf>
    <xf borderId="1" fillId="9" fontId="3" numFmtId="167" xfId="0" applyAlignment="1" applyBorder="1" applyFont="1" applyNumberFormat="1">
      <alignment readingOrder="0"/>
    </xf>
    <xf borderId="1" fillId="0" fontId="3" numFmtId="170" xfId="0" applyBorder="1" applyFont="1" applyNumberFormat="1"/>
    <xf borderId="1" fillId="7" fontId="65" numFmtId="0" xfId="0" applyAlignment="1" applyBorder="1" applyFont="1">
      <alignment readingOrder="0"/>
    </xf>
    <xf borderId="1" fillId="0" fontId="66" numFmtId="0" xfId="0" applyAlignment="1" applyBorder="1" applyFont="1">
      <alignment horizontal="center"/>
    </xf>
    <xf borderId="1" fillId="0" fontId="1" numFmtId="0" xfId="0" applyAlignment="1" applyBorder="1" applyFont="1">
      <alignment readingOrder="0"/>
    </xf>
    <xf borderId="1" fillId="0" fontId="3" numFmtId="173" xfId="0" applyAlignment="1" applyBorder="1" applyFont="1" applyNumberFormat="1">
      <alignment readingOrder="0"/>
    </xf>
    <xf borderId="10" fillId="0" fontId="3" numFmtId="170" xfId="0" applyAlignment="1" applyBorder="1" applyFont="1" applyNumberFormat="1">
      <alignment readingOrder="0"/>
    </xf>
    <xf borderId="0" fillId="0" fontId="67" numFmtId="0" xfId="0" applyAlignment="1" applyFont="1">
      <alignment readingOrder="0"/>
    </xf>
    <xf borderId="0" fillId="0" fontId="3" numFmtId="170" xfId="0" applyAlignment="1" applyFont="1" applyNumberFormat="1">
      <alignment readingOrder="0"/>
    </xf>
    <xf borderId="0" fillId="0" fontId="8" numFmtId="49" xfId="0" applyFont="1" applyNumberFormat="1"/>
    <xf borderId="0" fillId="0" fontId="8" numFmtId="171" xfId="0" applyFont="1" applyNumberFormat="1"/>
    <xf borderId="0" fillId="0" fontId="68" numFmtId="0" xfId="0" applyAlignment="1" applyFont="1">
      <alignment readingOrder="0"/>
    </xf>
    <xf borderId="0" fillId="0" fontId="3" numFmtId="168" xfId="0" applyAlignment="1" applyFont="1" applyNumberFormat="1">
      <alignment readingOrder="0"/>
    </xf>
    <xf borderId="0" fillId="0" fontId="3" numFmtId="174" xfId="0" applyAlignment="1" applyFont="1" applyNumberFormat="1">
      <alignment readingOrder="0"/>
    </xf>
    <xf borderId="0" fillId="0" fontId="3" numFmtId="164" xfId="0" applyFont="1" applyNumberFormat="1"/>
    <xf borderId="0" fillId="0" fontId="3" numFmtId="165" xfId="0" applyFont="1" applyNumberFormat="1"/>
    <xf borderId="0" fillId="0" fontId="3" numFmtId="166" xfId="0" applyFont="1" applyNumberFormat="1"/>
    <xf borderId="0" fillId="0" fontId="3" numFmtId="167" xfId="0" applyFont="1" applyNumberFormat="1"/>
    <xf borderId="0" fillId="0" fontId="3" numFmtId="168" xfId="0" applyFont="1" applyNumberFormat="1"/>
    <xf borderId="0" fillId="0" fontId="3" numFmtId="169" xfId="0" applyFont="1" applyNumberFormat="1"/>
    <xf borderId="0" fillId="0" fontId="3" numFmtId="175" xfId="0" applyFont="1" applyNumberFormat="1"/>
    <xf borderId="0" fillId="0" fontId="1" numFmtId="175" xfId="0" applyFont="1" applyNumberFormat="1"/>
    <xf borderId="1" fillId="22" fontId="3" numFmtId="0" xfId="0" applyAlignment="1" applyBorder="1" applyFont="1">
      <alignment readingOrder="0"/>
    </xf>
    <xf borderId="1" fillId="26" fontId="3" numFmtId="0" xfId="0" applyAlignment="1" applyBorder="1" applyFont="1">
      <alignment readingOrder="0"/>
    </xf>
    <xf borderId="1" fillId="9" fontId="3" numFmtId="0" xfId="0" applyAlignment="1" applyBorder="1" applyFont="1">
      <alignment readingOrder="0"/>
    </xf>
    <xf borderId="1" fillId="0" fontId="3" numFmtId="177" xfId="0" applyAlignment="1" applyBorder="1" applyFont="1" applyNumberFormat="1">
      <alignment readingOrder="0"/>
    </xf>
    <xf borderId="1" fillId="2" fontId="44" numFmtId="0" xfId="0" applyAlignment="1" applyBorder="1" applyFont="1">
      <alignment textRotation="0" vertical="bottom"/>
    </xf>
    <xf borderId="20" fillId="3" fontId="44" numFmtId="0" xfId="0" applyAlignment="1" applyBorder="1" applyFont="1">
      <alignment textRotation="90"/>
    </xf>
    <xf borderId="20" fillId="5" fontId="44" numFmtId="0" xfId="0" applyAlignment="1" applyBorder="1" applyFont="1">
      <alignment textRotation="90"/>
    </xf>
    <xf borderId="20" fillId="6" fontId="44" numFmtId="0" xfId="0" applyAlignment="1" applyBorder="1" applyFont="1">
      <alignment textRotation="90"/>
    </xf>
    <xf borderId="20" fillId="8" fontId="44" numFmtId="0" xfId="0" applyAlignment="1" applyBorder="1" applyFont="1">
      <alignment horizontal="center" textRotation="90"/>
    </xf>
    <xf borderId="20" fillId="4" fontId="44" numFmtId="0" xfId="0" applyAlignment="1" applyBorder="1" applyFont="1">
      <alignment textRotation="90"/>
    </xf>
    <xf borderId="20" fillId="11" fontId="44" numFmtId="0" xfId="0" applyAlignment="1" applyBorder="1" applyFont="1">
      <alignment horizontal="center" textRotation="90"/>
    </xf>
    <xf borderId="21" fillId="15" fontId="44" numFmtId="0" xfId="0" applyAlignment="1" applyBorder="1" applyFont="1">
      <alignment readingOrder="0" vertical="bottom"/>
    </xf>
    <xf borderId="22" fillId="22" fontId="15" numFmtId="164" xfId="0" applyAlignment="1" applyBorder="1" applyFont="1" applyNumberFormat="1">
      <alignment horizontal="right" vertical="bottom"/>
    </xf>
    <xf borderId="22" fillId="16" fontId="15" numFmtId="165" xfId="0" applyAlignment="1" applyBorder="1" applyFont="1" applyNumberFormat="1">
      <alignment horizontal="right" vertical="bottom"/>
    </xf>
    <xf borderId="22" fillId="115" fontId="15" numFmtId="165" xfId="0" applyAlignment="1" applyBorder="1" applyFont="1" applyNumberFormat="1">
      <alignment horizontal="right" vertical="bottom"/>
    </xf>
    <xf borderId="22" fillId="0" fontId="15" numFmtId="0" xfId="0" applyAlignment="1" applyBorder="1" applyFont="1">
      <alignment horizontal="right" vertical="bottom"/>
    </xf>
    <xf borderId="22" fillId="0" fontId="15" numFmtId="167" xfId="0" applyAlignment="1" applyBorder="1" applyFont="1" applyNumberFormat="1">
      <alignment horizontal="right" vertical="bottom"/>
    </xf>
    <xf borderId="22" fillId="0" fontId="15" numFmtId="171" xfId="0" applyAlignment="1" applyBorder="1" applyFont="1" applyNumberFormat="1">
      <alignment horizontal="center" vertical="bottom"/>
    </xf>
    <xf borderId="22" fillId="0" fontId="15" numFmtId="168" xfId="0" applyAlignment="1" applyBorder="1" applyFont="1" applyNumberFormat="1">
      <alignment horizontal="right" vertical="bottom"/>
    </xf>
    <xf borderId="22" fillId="26" fontId="15" numFmtId="169" xfId="0" applyAlignment="1" applyBorder="1" applyFont="1" applyNumberFormat="1">
      <alignment horizontal="right" vertical="bottom"/>
    </xf>
    <xf borderId="6" fillId="15" fontId="44" numFmtId="0" xfId="0" applyAlignment="1" applyBorder="1" applyFont="1">
      <alignment readingOrder="0" vertical="bottom"/>
    </xf>
    <xf borderId="8" fillId="13" fontId="15" numFmtId="164" xfId="0" applyAlignment="1" applyBorder="1" applyFont="1" applyNumberFormat="1">
      <alignment horizontal="right" vertical="bottom"/>
    </xf>
    <xf borderId="8" fillId="16" fontId="15" numFmtId="165" xfId="0" applyAlignment="1" applyBorder="1" applyFont="1" applyNumberFormat="1">
      <alignment horizontal="right" vertical="bottom"/>
    </xf>
    <xf borderId="8" fillId="116" fontId="15" numFmtId="165" xfId="0" applyAlignment="1" applyBorder="1" applyFont="1" applyNumberFormat="1">
      <alignment horizontal="right" vertical="bottom"/>
    </xf>
    <xf borderId="8" fillId="0" fontId="15" numFmtId="0" xfId="0" applyAlignment="1" applyBorder="1" applyFont="1">
      <alignment horizontal="right" vertical="bottom"/>
    </xf>
    <xf borderId="8" fillId="27" fontId="15" numFmtId="0" xfId="0" applyAlignment="1" applyBorder="1" applyFont="1">
      <alignment horizontal="right" vertical="bottom"/>
    </xf>
    <xf borderId="8" fillId="0" fontId="15" numFmtId="167" xfId="0" applyAlignment="1" applyBorder="1" applyFont="1" applyNumberFormat="1">
      <alignment horizontal="right" vertical="bottom"/>
    </xf>
    <xf borderId="8" fillId="0" fontId="15" numFmtId="171" xfId="0" applyAlignment="1" applyBorder="1" applyFont="1" applyNumberFormat="1">
      <alignment horizontal="center" vertical="bottom"/>
    </xf>
    <xf borderId="8" fillId="0" fontId="15" numFmtId="168" xfId="0" applyAlignment="1" applyBorder="1" applyFont="1" applyNumberFormat="1">
      <alignment horizontal="right" vertical="bottom"/>
    </xf>
    <xf borderId="8" fillId="0" fontId="15" numFmtId="169" xfId="0" applyAlignment="1" applyBorder="1" applyFont="1" applyNumberFormat="1">
      <alignment horizontal="right" vertical="bottom"/>
    </xf>
    <xf borderId="8" fillId="0" fontId="15" numFmtId="169" xfId="0" applyAlignment="1" applyBorder="1" applyFont="1" applyNumberFormat="1">
      <alignment vertical="bottom"/>
    </xf>
    <xf borderId="4" fillId="15" fontId="44" numFmtId="0" xfId="0" applyAlignment="1" applyBorder="1" applyFont="1">
      <alignment readingOrder="0" vertical="bottom"/>
    </xf>
    <xf borderId="9" fillId="149" fontId="15" numFmtId="165" xfId="0" applyAlignment="1" applyBorder="1" applyFill="1" applyFont="1" applyNumberFormat="1">
      <alignment horizontal="right" vertical="bottom"/>
    </xf>
    <xf borderId="6" fillId="15" fontId="69" numFmtId="0" xfId="0" applyAlignment="1" applyBorder="1" applyFont="1">
      <alignment vertical="bottom"/>
    </xf>
    <xf borderId="8" fillId="123" fontId="15" numFmtId="165" xfId="0" applyAlignment="1" applyBorder="1" applyFont="1" applyNumberFormat="1">
      <alignment horizontal="right" vertical="bottom"/>
    </xf>
    <xf borderId="8" fillId="124" fontId="15" numFmtId="165" xfId="0" applyAlignment="1" applyBorder="1" applyFont="1" applyNumberFormat="1">
      <alignment horizontal="right" vertical="bottom"/>
    </xf>
    <xf borderId="8" fillId="4" fontId="15" numFmtId="0" xfId="0" applyAlignment="1" applyBorder="1" applyFont="1">
      <alignment horizontal="right" vertical="bottom"/>
    </xf>
    <xf borderId="8" fillId="26" fontId="15" numFmtId="169" xfId="0" applyAlignment="1" applyBorder="1" applyFont="1" applyNumberFormat="1">
      <alignment horizontal="right" vertical="bottom"/>
    </xf>
    <xf borderId="9" fillId="0" fontId="15" numFmtId="169" xfId="0" applyAlignment="1" applyBorder="1" applyFont="1" applyNumberFormat="1">
      <alignment vertical="bottom"/>
    </xf>
    <xf borderId="9" fillId="150" fontId="15" numFmtId="165" xfId="0" applyAlignment="1" applyBorder="1" applyFill="1" applyFont="1" applyNumberFormat="1">
      <alignment horizontal="right" vertical="bottom"/>
    </xf>
    <xf borderId="9" fillId="5" fontId="15" numFmtId="49" xfId="0" applyAlignment="1" applyBorder="1" applyFont="1" applyNumberFormat="1">
      <alignment vertical="bottom"/>
    </xf>
    <xf borderId="4" fillId="0" fontId="70" numFmtId="0" xfId="0" applyAlignment="1" applyBorder="1" applyFont="1">
      <alignment vertical="bottom"/>
    </xf>
    <xf borderId="0" fillId="0" fontId="1" numFmtId="0" xfId="0" applyAlignment="1" applyFont="1">
      <alignment readingOrder="0" textRotation="0" vertical="bottom"/>
    </xf>
    <xf borderId="0" fillId="2" fontId="1" numFmtId="0" xfId="0" applyAlignment="1" applyFont="1">
      <alignment readingOrder="0" textRotation="0" vertical="bottom"/>
    </xf>
    <xf borderId="0" fillId="15" fontId="1" numFmtId="0" xfId="0" applyAlignment="1" applyFont="1">
      <alignment readingOrder="0"/>
    </xf>
    <xf borderId="0" fillId="15" fontId="1" numFmtId="0" xfId="0" applyAlignment="1" applyFont="1">
      <alignment readingOrder="0"/>
    </xf>
    <xf borderId="3" fillId="0" fontId="1" numFmtId="0" xfId="0" applyAlignment="1" applyBorder="1" applyFont="1">
      <alignment readingOrder="0"/>
    </xf>
    <xf borderId="3" fillId="15" fontId="1" numFmtId="0" xfId="0" applyAlignment="1" applyBorder="1" applyFont="1">
      <alignment readingOrder="0"/>
    </xf>
    <xf borderId="0" fillId="15" fontId="2" numFmtId="0" xfId="0" applyFont="1"/>
    <xf borderId="0" fillId="12" fontId="71" numFmtId="0" xfId="0" applyAlignment="1" applyFont="1">
      <alignment readingOrder="0"/>
    </xf>
    <xf borderId="6" fillId="15" fontId="1" numFmtId="0" xfId="0" applyAlignment="1" applyBorder="1" applyFont="1">
      <alignment readingOrder="0"/>
    </xf>
    <xf borderId="10" fillId="2" fontId="1" numFmtId="0" xfId="0" applyAlignment="1" applyBorder="1" applyFont="1">
      <alignment readingOrder="0" textRotation="0" vertical="bottom"/>
    </xf>
    <xf borderId="10" fillId="4" fontId="1" numFmtId="0" xfId="0" applyAlignment="1" applyBorder="1" applyFont="1">
      <alignment readingOrder="0" textRotation="90" vertical="center"/>
    </xf>
    <xf borderId="23" fillId="14" fontId="58" numFmtId="0" xfId="0" applyAlignment="1" applyBorder="1" applyFont="1">
      <alignment readingOrder="0"/>
    </xf>
    <xf borderId="24" fillId="14" fontId="3" numFmtId="0" xfId="0" applyAlignment="1" applyBorder="1" applyFont="1">
      <alignment readingOrder="0"/>
    </xf>
    <xf borderId="24" fillId="14" fontId="3" numFmtId="0" xfId="0" applyAlignment="1" applyBorder="1" applyFont="1">
      <alignment readingOrder="0"/>
    </xf>
    <xf borderId="24" fillId="14" fontId="3" numFmtId="0" xfId="0" applyAlignment="1" applyBorder="1" applyFont="1">
      <alignment horizontal="right" readingOrder="0"/>
    </xf>
    <xf borderId="24" fillId="14" fontId="1" numFmtId="0" xfId="0" applyAlignment="1" applyBorder="1" applyFont="1">
      <alignment readingOrder="0"/>
    </xf>
    <xf borderId="25" fillId="14" fontId="3" numFmtId="0" xfId="0" applyAlignment="1" applyBorder="1" applyFont="1">
      <alignment readingOrder="0"/>
    </xf>
    <xf borderId="26" fillId="0" fontId="1" numFmtId="0" xfId="0" applyAlignment="1" applyBorder="1" applyFont="1">
      <alignment readingOrder="0"/>
    </xf>
    <xf borderId="0" fillId="0" fontId="3" numFmtId="166" xfId="0" applyAlignment="1" applyFont="1" applyNumberFormat="1">
      <alignment horizontal="center" readingOrder="0"/>
    </xf>
    <xf borderId="0" fillId="0" fontId="3" numFmtId="165" xfId="0" applyAlignment="1" applyFont="1" applyNumberFormat="1">
      <alignment readingOrder="0"/>
    </xf>
    <xf borderId="0" fillId="0" fontId="3" numFmtId="49" xfId="0" applyAlignment="1" applyFont="1" applyNumberFormat="1">
      <alignment readingOrder="0" shrinkToFit="0" wrapText="0"/>
    </xf>
    <xf borderId="0" fillId="0" fontId="8" numFmtId="0" xfId="0" applyAlignment="1" applyFont="1">
      <alignment readingOrder="0"/>
    </xf>
    <xf borderId="0" fillId="0" fontId="8" numFmtId="171" xfId="0" applyAlignment="1" applyFont="1" applyNumberFormat="1">
      <alignment readingOrder="0"/>
    </xf>
    <xf borderId="0" fillId="0" fontId="8" numFmtId="168" xfId="0" applyAlignment="1" applyFont="1" applyNumberFormat="1">
      <alignment readingOrder="0"/>
    </xf>
    <xf borderId="0" fillId="0" fontId="3" numFmtId="49" xfId="0" applyAlignment="1" applyFont="1" applyNumberFormat="1">
      <alignment readingOrder="0"/>
    </xf>
    <xf borderId="0" fillId="0" fontId="3" numFmtId="49" xfId="0" applyAlignment="1" applyFont="1" applyNumberFormat="1">
      <alignment horizontal="center"/>
    </xf>
    <xf borderId="27" fillId="0" fontId="3" numFmtId="168" xfId="0" applyAlignment="1" applyBorder="1" applyFont="1" applyNumberFormat="1">
      <alignment readingOrder="0"/>
    </xf>
    <xf borderId="0" fillId="15" fontId="2" numFmtId="0" xfId="0" applyFont="1"/>
    <xf borderId="26" fillId="0" fontId="1" numFmtId="0" xfId="0" applyAlignment="1" applyBorder="1" applyFont="1">
      <alignment readingOrder="0"/>
    </xf>
    <xf borderId="0" fillId="0" fontId="8" numFmtId="0" xfId="0" applyAlignment="1" applyFont="1">
      <alignment readingOrder="0"/>
    </xf>
    <xf borderId="0" fillId="0" fontId="3" numFmtId="171" xfId="0" applyAlignment="1" applyFont="1" applyNumberFormat="1">
      <alignment horizontal="center" readingOrder="0"/>
    </xf>
    <xf borderId="0" fillId="0" fontId="3" numFmtId="0" xfId="0" applyAlignment="1" applyFont="1">
      <alignment horizontal="center" readingOrder="0"/>
    </xf>
    <xf borderId="0" fillId="0" fontId="3" numFmtId="49" xfId="0" applyAlignment="1" applyFont="1" applyNumberFormat="1">
      <alignment horizontal="center" readingOrder="0"/>
    </xf>
    <xf borderId="28" fillId="0" fontId="1" numFmtId="0" xfId="0" applyAlignment="1" applyBorder="1" applyFont="1">
      <alignment readingOrder="0"/>
    </xf>
    <xf borderId="16" fillId="0" fontId="3" numFmtId="164" xfId="0" applyAlignment="1" applyBorder="1" applyFont="1" applyNumberFormat="1">
      <alignment readingOrder="0"/>
    </xf>
    <xf borderId="16" fillId="0" fontId="3" numFmtId="165" xfId="0" applyAlignment="1" applyBorder="1" applyFont="1" applyNumberFormat="1">
      <alignment readingOrder="0"/>
    </xf>
    <xf borderId="16" fillId="0" fontId="3" numFmtId="166" xfId="0" applyAlignment="1" applyBorder="1" applyFont="1" applyNumberFormat="1">
      <alignment horizontal="center" readingOrder="0"/>
    </xf>
    <xf borderId="16" fillId="0" fontId="3" numFmtId="170" xfId="0" applyAlignment="1" applyBorder="1" applyFont="1" applyNumberFormat="1">
      <alignment readingOrder="0"/>
    </xf>
    <xf borderId="16" fillId="0" fontId="3" numFmtId="49" xfId="0" applyAlignment="1" applyBorder="1" applyFont="1" applyNumberFormat="1">
      <alignment readingOrder="0"/>
    </xf>
    <xf borderId="16" fillId="0" fontId="3" numFmtId="0" xfId="0" applyAlignment="1" applyBorder="1" applyFont="1">
      <alignment horizontal="right" readingOrder="0"/>
    </xf>
    <xf borderId="16" fillId="0" fontId="3" numFmtId="169" xfId="0" applyAlignment="1" applyBorder="1" applyFont="1" applyNumberFormat="1">
      <alignment readingOrder="0"/>
    </xf>
    <xf borderId="16" fillId="0" fontId="8" numFmtId="0" xfId="0" applyAlignment="1" applyBorder="1" applyFont="1">
      <alignment readingOrder="0"/>
    </xf>
    <xf borderId="16" fillId="0" fontId="3" numFmtId="167" xfId="0" applyAlignment="1" applyBorder="1" applyFont="1" applyNumberFormat="1">
      <alignment readingOrder="0"/>
    </xf>
    <xf borderId="16" fillId="0" fontId="3" numFmtId="49" xfId="0" applyAlignment="1" applyBorder="1" applyFont="1" applyNumberFormat="1">
      <alignment horizontal="center" readingOrder="0"/>
    </xf>
    <xf borderId="29" fillId="0" fontId="3" numFmtId="168" xfId="0" applyAlignment="1" applyBorder="1" applyFont="1" applyNumberFormat="1">
      <alignment readingOrder="0"/>
    </xf>
    <xf borderId="10" fillId="0" fontId="3" numFmtId="49" xfId="0" applyAlignment="1" applyBorder="1" applyFont="1" applyNumberFormat="1">
      <alignment readingOrder="0"/>
    </xf>
    <xf borderId="5" fillId="0" fontId="15" numFmtId="165" xfId="0" applyAlignment="1" applyBorder="1" applyFont="1" applyNumberFormat="1">
      <alignment horizontal="right" vertical="bottom"/>
    </xf>
    <xf borderId="30" fillId="0" fontId="3" numFmtId="168" xfId="0" applyAlignment="1" applyBorder="1" applyFont="1" applyNumberFormat="1">
      <alignment readingOrder="0"/>
    </xf>
    <xf borderId="31" fillId="25" fontId="1" numFmtId="0" xfId="0" applyAlignment="1" applyBorder="1" applyFont="1">
      <alignment readingOrder="0"/>
    </xf>
    <xf borderId="32" fillId="25" fontId="3" numFmtId="164" xfId="0" applyAlignment="1" applyBorder="1" applyFont="1" applyNumberFormat="1">
      <alignment readingOrder="0"/>
    </xf>
    <xf borderId="32" fillId="25" fontId="3" numFmtId="165" xfId="0" applyAlignment="1" applyBorder="1" applyFont="1" applyNumberFormat="1">
      <alignment readingOrder="0"/>
    </xf>
    <xf borderId="32" fillId="25" fontId="3" numFmtId="166" xfId="0" applyAlignment="1" applyBorder="1" applyFont="1" applyNumberFormat="1">
      <alignment horizontal="center" readingOrder="0"/>
    </xf>
    <xf borderId="32" fillId="25" fontId="15" numFmtId="165" xfId="0" applyAlignment="1" applyBorder="1" applyFont="1" applyNumberFormat="1">
      <alignment horizontal="right" vertical="bottom"/>
    </xf>
    <xf borderId="33" fillId="25" fontId="15" numFmtId="165" xfId="0" applyAlignment="1" applyBorder="1" applyFont="1" applyNumberFormat="1">
      <alignment vertical="bottom"/>
    </xf>
    <xf borderId="32" fillId="25" fontId="3" numFmtId="49" xfId="0" applyAlignment="1" applyBorder="1" applyFont="1" applyNumberFormat="1">
      <alignment readingOrder="0"/>
    </xf>
    <xf borderId="32" fillId="25" fontId="3" numFmtId="0" xfId="0" applyAlignment="1" applyBorder="1" applyFont="1">
      <alignment horizontal="right" readingOrder="0"/>
    </xf>
    <xf borderId="32" fillId="25" fontId="3" numFmtId="0" xfId="0" applyAlignment="1" applyBorder="1" applyFont="1">
      <alignment readingOrder="0"/>
    </xf>
    <xf borderId="32" fillId="25" fontId="3" numFmtId="169" xfId="0" applyAlignment="1" applyBorder="1" applyFont="1" applyNumberFormat="1">
      <alignment readingOrder="0"/>
    </xf>
    <xf borderId="32" fillId="25" fontId="8" numFmtId="0" xfId="0" applyAlignment="1" applyBorder="1" applyFont="1">
      <alignment readingOrder="0"/>
    </xf>
    <xf borderId="32" fillId="25" fontId="3" numFmtId="167" xfId="0" applyAlignment="1" applyBorder="1" applyFont="1" applyNumberFormat="1">
      <alignment readingOrder="0"/>
    </xf>
    <xf borderId="32" fillId="25" fontId="3" numFmtId="49" xfId="0" applyAlignment="1" applyBorder="1" applyFont="1" applyNumberFormat="1">
      <alignment horizontal="center" readingOrder="0"/>
    </xf>
    <xf borderId="34" fillId="25" fontId="3" numFmtId="168" xfId="0" applyAlignment="1" applyBorder="1" applyFont="1" applyNumberFormat="1">
      <alignment readingOrder="0"/>
    </xf>
    <xf borderId="0" fillId="0" fontId="15" numFmtId="165" xfId="0" applyAlignment="1" applyFont="1" applyNumberFormat="1">
      <alignment horizontal="right" vertical="bottom"/>
    </xf>
    <xf borderId="0" fillId="0" fontId="15" numFmtId="165" xfId="0" applyAlignment="1" applyFont="1" applyNumberFormat="1">
      <alignment readingOrder="0" vertical="bottom"/>
    </xf>
    <xf borderId="16" fillId="0" fontId="15" numFmtId="165" xfId="0" applyAlignment="1" applyBorder="1" applyFont="1" applyNumberFormat="1">
      <alignment horizontal="right" vertical="bottom"/>
    </xf>
    <xf borderId="16" fillId="0" fontId="15" numFmtId="165" xfId="0" applyAlignment="1" applyBorder="1" applyFont="1" applyNumberFormat="1">
      <alignment vertical="bottom"/>
    </xf>
    <xf borderId="0" fillId="41" fontId="1" numFmtId="164" xfId="0" applyAlignment="1" applyFont="1" applyNumberFormat="1">
      <alignment readingOrder="0"/>
    </xf>
    <xf borderId="0" fillId="25" fontId="1" numFmtId="165" xfId="0" applyAlignment="1" applyFont="1" applyNumberFormat="1">
      <alignment readingOrder="0"/>
    </xf>
    <xf borderId="0" fillId="0" fontId="1" numFmtId="0" xfId="0" applyAlignment="1" applyFont="1">
      <alignment horizontal="right" readingOrder="0"/>
    </xf>
    <xf borderId="0" fillId="25" fontId="1" numFmtId="178" xfId="0" applyAlignment="1" applyFont="1" applyNumberFormat="1">
      <alignment readingOrder="0"/>
    </xf>
    <xf borderId="0" fillId="0" fontId="3" numFmtId="178" xfId="0" applyAlignment="1" applyFont="1" applyNumberFormat="1">
      <alignment horizontal="center" readingOrder="0"/>
    </xf>
    <xf borderId="0" fillId="41" fontId="58" numFmtId="179" xfId="0" applyFont="1" applyNumberFormat="1"/>
    <xf borderId="0" fillId="25" fontId="1" numFmtId="179" xfId="0" applyAlignment="1" applyFont="1" applyNumberFormat="1">
      <alignment readingOrder="0"/>
    </xf>
    <xf borderId="0" fillId="0" fontId="3" numFmtId="179" xfId="0" applyAlignment="1" applyFont="1" applyNumberFormat="1">
      <alignment horizontal="center" readingOrder="0"/>
    </xf>
    <xf borderId="0" fillId="0" fontId="3" numFmtId="180" xfId="0" applyAlignment="1" applyFont="1" applyNumberFormat="1">
      <alignment readingOrder="0"/>
    </xf>
    <xf borderId="0" fillId="15" fontId="2" numFmtId="180" xfId="0" applyFont="1" applyNumberFormat="1"/>
    <xf borderId="4" fillId="0" fontId="1" numFmtId="0" xfId="0" applyAlignment="1" applyBorder="1" applyFont="1">
      <alignment readingOrder="0"/>
    </xf>
    <xf borderId="4" fillId="0" fontId="3" numFmtId="0" xfId="0" applyAlignment="1" applyBorder="1" applyFont="1">
      <alignment horizontal="center" readingOrder="0"/>
    </xf>
    <xf borderId="10" fillId="0" fontId="1" numFmtId="0" xfId="0" applyAlignment="1" applyBorder="1" applyFont="1">
      <alignment readingOrder="0"/>
    </xf>
    <xf borderId="0" fillId="0" fontId="8" numFmtId="168" xfId="0" applyFont="1" applyNumberFormat="1"/>
    <xf borderId="0" fillId="15" fontId="44" numFmtId="0" xfId="0" applyAlignment="1" applyFont="1">
      <alignment vertical="bottom"/>
    </xf>
    <xf borderId="0" fillId="13" fontId="15" numFmtId="164" xfId="0" applyAlignment="1" applyFont="1" applyNumberFormat="1">
      <alignment horizontal="right" vertical="bottom"/>
    </xf>
    <xf borderId="0" fillId="15" fontId="15" numFmtId="165" xfId="0" applyAlignment="1" applyFont="1" applyNumberFormat="1">
      <alignment horizontal="right" vertical="bottom"/>
    </xf>
    <xf borderId="0" fillId="0" fontId="15" numFmtId="166" xfId="0" applyAlignment="1" applyFont="1" applyNumberFormat="1">
      <alignment horizontal="center" vertical="bottom"/>
    </xf>
    <xf borderId="0" fillId="16" fontId="15" numFmtId="170" xfId="0" applyAlignment="1" applyFont="1" applyNumberFormat="1">
      <alignment horizontal="right" vertical="bottom"/>
    </xf>
    <xf borderId="0" fillId="110" fontId="15" numFmtId="165" xfId="0" applyAlignment="1" applyFont="1" applyNumberFormat="1">
      <alignment horizontal="right" vertical="bottom"/>
    </xf>
    <xf borderId="0" fillId="0" fontId="15" numFmtId="0" xfId="0" applyAlignment="1" applyFont="1">
      <alignment horizontal="right" vertical="bottom"/>
    </xf>
    <xf borderId="0" fillId="0" fontId="15" numFmtId="167" xfId="0" applyAlignment="1" applyFont="1" applyNumberFormat="1">
      <alignment vertical="bottom"/>
    </xf>
    <xf borderId="0" fillId="0" fontId="15" numFmtId="49" xfId="0" applyAlignment="1" applyFont="1" applyNumberFormat="1">
      <alignment horizontal="center" vertical="bottom"/>
    </xf>
    <xf borderId="0" fillId="0" fontId="15" numFmtId="168" xfId="0" applyAlignment="1" applyFont="1" applyNumberFormat="1">
      <alignment vertical="bottom"/>
    </xf>
    <xf borderId="0" fillId="0" fontId="15" numFmtId="169" xfId="0" applyAlignment="1" applyFont="1" applyNumberFormat="1">
      <alignment vertical="bottom"/>
    </xf>
    <xf borderId="21" fillId="15" fontId="72" numFmtId="0" xfId="0" applyAlignment="1" applyBorder="1" applyFont="1">
      <alignment vertical="bottom"/>
    </xf>
    <xf borderId="22" fillId="13" fontId="15" numFmtId="164" xfId="0" applyAlignment="1" applyBorder="1" applyFont="1" applyNumberFormat="1">
      <alignment horizontal="right" vertical="bottom"/>
    </xf>
    <xf borderId="22" fillId="15" fontId="15" numFmtId="165" xfId="0" applyAlignment="1" applyBorder="1" applyFont="1" applyNumberFormat="1">
      <alignment horizontal="right" vertical="bottom"/>
    </xf>
    <xf borderId="22" fillId="0" fontId="15" numFmtId="166" xfId="0" applyAlignment="1" applyBorder="1" applyFont="1" applyNumberFormat="1">
      <alignment horizontal="center" readingOrder="0" vertical="bottom"/>
    </xf>
    <xf borderId="22" fillId="16" fontId="15" numFmtId="170" xfId="0" applyAlignment="1" applyBorder="1" applyFont="1" applyNumberFormat="1">
      <alignment horizontal="right" vertical="bottom"/>
    </xf>
    <xf borderId="22" fillId="110" fontId="15" numFmtId="165" xfId="0" applyAlignment="1" applyBorder="1" applyFont="1" applyNumberFormat="1">
      <alignment horizontal="right" vertical="bottom"/>
    </xf>
    <xf borderId="22" fillId="0" fontId="15" numFmtId="0" xfId="0" applyAlignment="1" applyBorder="1" applyFont="1">
      <alignment horizontal="right" vertical="bottom"/>
    </xf>
    <xf borderId="22" fillId="0" fontId="15" numFmtId="0" xfId="0" applyAlignment="1" applyBorder="1" applyFont="1">
      <alignment vertical="bottom"/>
    </xf>
    <xf borderId="22" fillId="0" fontId="15" numFmtId="167" xfId="0" applyAlignment="1" applyBorder="1" applyFont="1" applyNumberFormat="1">
      <alignment vertical="bottom"/>
    </xf>
    <xf borderId="22" fillId="0" fontId="15" numFmtId="49" xfId="0" applyAlignment="1" applyBorder="1" applyFont="1" applyNumberFormat="1">
      <alignment horizontal="center" vertical="bottom"/>
    </xf>
    <xf borderId="22" fillId="0" fontId="15" numFmtId="168" xfId="0" applyAlignment="1" applyBorder="1" applyFont="1" applyNumberFormat="1">
      <alignment vertical="bottom"/>
    </xf>
    <xf borderId="22" fillId="0" fontId="15" numFmtId="169" xfId="0" applyAlignment="1" applyBorder="1" applyFont="1" applyNumberFormat="1">
      <alignment vertical="bottom"/>
    </xf>
    <xf borderId="22" fillId="0" fontId="15" numFmtId="0" xfId="0" applyAlignment="1" applyBorder="1" applyFont="1">
      <alignment vertical="bottom"/>
    </xf>
    <xf borderId="0" fillId="15" fontId="73" numFmtId="0" xfId="0" applyAlignment="1" applyFont="1">
      <alignment readingOrder="0" vertical="bottom"/>
    </xf>
    <xf borderId="0" fillId="13" fontId="15" numFmtId="164" xfId="0" applyAlignment="1" applyFont="1" applyNumberFormat="1">
      <alignment horizontal="right" readingOrder="0" vertical="bottom"/>
    </xf>
    <xf borderId="0" fillId="15" fontId="15" numFmtId="165" xfId="0" applyAlignment="1" applyFont="1" applyNumberFormat="1">
      <alignment horizontal="right" readingOrder="0" vertical="bottom"/>
    </xf>
    <xf borderId="0" fillId="0" fontId="15" numFmtId="166" xfId="0" applyAlignment="1" applyFont="1" applyNumberFormat="1">
      <alignment horizontal="center" readingOrder="0" vertical="bottom"/>
    </xf>
    <xf borderId="0" fillId="16" fontId="15" numFmtId="170" xfId="0" applyAlignment="1" applyFont="1" applyNumberFormat="1">
      <alignment horizontal="right" readingOrder="0" vertical="bottom"/>
    </xf>
    <xf borderId="0" fillId="110" fontId="15" numFmtId="165" xfId="0" applyAlignment="1" applyFont="1" applyNumberFormat="1">
      <alignment horizontal="right" readingOrder="0" vertical="bottom"/>
    </xf>
    <xf borderId="0" fillId="0" fontId="15" numFmtId="0" xfId="0" applyAlignment="1" applyFont="1">
      <alignment horizontal="right" readingOrder="0" vertical="bottom"/>
    </xf>
    <xf borderId="0" fillId="0" fontId="15" numFmtId="0" xfId="0" applyAlignment="1" applyFont="1">
      <alignment readingOrder="0" vertical="bottom"/>
    </xf>
    <xf borderId="0" fillId="0" fontId="15" numFmtId="167" xfId="0" applyAlignment="1" applyFont="1" applyNumberFormat="1">
      <alignment readingOrder="0" vertical="bottom"/>
    </xf>
    <xf borderId="0" fillId="0" fontId="15" numFmtId="49" xfId="0" applyAlignment="1" applyFont="1" applyNumberFormat="1">
      <alignment horizontal="center" readingOrder="0" vertical="bottom"/>
    </xf>
    <xf borderId="0" fillId="15" fontId="74" numFmtId="0" xfId="0" applyAlignment="1" applyFont="1">
      <alignment readingOrder="0"/>
    </xf>
    <xf borderId="0" fillId="15" fontId="44" numFmtId="0" xfId="0" applyAlignment="1" applyFont="1">
      <alignment vertical="bottom"/>
    </xf>
  </cellXfs>
  <cellStyles count="1">
    <cellStyle xfId="0" name="Normal" builtinId="0"/>
  </cellStyles>
  <dxfs count="16">
    <dxf>
      <font/>
      <fill>
        <patternFill patternType="solid">
          <fgColor rgb="FF00FF00"/>
          <bgColor rgb="FF00FF00"/>
        </patternFill>
      </fill>
      <border/>
    </dxf>
    <dxf>
      <font/>
      <fill>
        <patternFill patternType="solid">
          <fgColor rgb="FF6AA84F"/>
          <bgColor rgb="FF6AA84F"/>
        </patternFill>
      </fill>
      <border/>
    </dxf>
    <dxf>
      <font/>
      <fill>
        <patternFill patternType="solid">
          <fgColor rgb="FFFFD966"/>
          <bgColor rgb="FFFFD966"/>
        </patternFill>
      </fill>
      <border/>
    </dxf>
    <dxf>
      <font/>
      <fill>
        <patternFill patternType="solid">
          <fgColor rgb="FFEA9999"/>
          <bgColor rgb="FFEA9999"/>
        </patternFill>
      </fill>
      <border/>
    </dxf>
    <dxf>
      <font/>
      <fill>
        <patternFill patternType="solid">
          <fgColor rgb="FFE06666"/>
          <bgColor rgb="FFE06666"/>
        </patternFill>
      </fill>
      <border/>
    </dxf>
    <dxf>
      <font/>
      <fill>
        <patternFill patternType="solid">
          <fgColor rgb="FF8E7CC3"/>
          <bgColor rgb="FF8E7CC3"/>
        </patternFill>
      </fill>
      <border/>
    </dxf>
    <dxf>
      <font>
        <b/>
        <color rgb="FFFFFFFF"/>
      </font>
      <fill>
        <patternFill patternType="none"/>
      </fill>
      <border/>
    </dxf>
    <dxf>
      <font/>
      <fill>
        <patternFill patternType="solid">
          <fgColor rgb="FFB7E1CD"/>
          <bgColor rgb="FFB7E1CD"/>
        </patternFill>
      </fill>
      <border/>
    </dxf>
    <dxf>
      <font>
        <color rgb="FFEFEFEF"/>
      </font>
      <fill>
        <patternFill patternType="none"/>
      </fill>
      <border/>
    </dxf>
    <dxf>
      <font>
        <color rgb="FFCCCCCC"/>
      </font>
      <fill>
        <patternFill patternType="solid">
          <fgColor rgb="FFB7E1CD"/>
          <bgColor rgb="FFB7E1CD"/>
        </patternFill>
      </fill>
      <border/>
    </dxf>
    <dxf>
      <font/>
      <fill>
        <patternFill patternType="solid">
          <fgColor rgb="FFFCE8B2"/>
          <bgColor rgb="FFFCE8B2"/>
        </patternFill>
      </fill>
      <border/>
    </dxf>
    <dxf>
      <font/>
      <fill>
        <patternFill patternType="solid">
          <fgColor rgb="FFCFE2F3"/>
          <bgColor rgb="FFCFE2F3"/>
        </patternFill>
      </fill>
      <border/>
    </dxf>
    <dxf>
      <font/>
      <fill>
        <patternFill patternType="solid">
          <fgColor rgb="FF9FC5E8"/>
          <bgColor rgb="FF9FC5E8"/>
        </patternFill>
      </fill>
      <border/>
    </dxf>
    <dxf>
      <font/>
      <fill>
        <patternFill patternType="solid">
          <fgColor rgb="FF6FA8DC"/>
          <bgColor rgb="FF6FA8DC"/>
        </patternFill>
      </fill>
      <border/>
    </dxf>
    <dxf>
      <font>
        <color rgb="FF000000"/>
      </font>
      <fill>
        <patternFill patternType="solid">
          <fgColor rgb="FFFFE599"/>
          <bgColor rgb="FFFFE599"/>
        </patternFill>
      </fill>
      <border/>
    </dxf>
    <dxf>
      <font>
        <color rgb="FF000000"/>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amzn.to/30lvyFI" TargetMode="External"/><Relationship Id="rId22" Type="http://schemas.openxmlformats.org/officeDocument/2006/relationships/hyperlink" Target="https://amzn.to/3fEngPB" TargetMode="External"/><Relationship Id="rId21" Type="http://schemas.openxmlformats.org/officeDocument/2006/relationships/hyperlink" Target="https://www.bhphotovideo.com/c/product/1558714-REG/samyang_syio75af_e_af_75mm_f_1_8_fe.html/BI/19619/KBID/12129/DFF/d10-v21-t1-x1039688/SID/EZ" TargetMode="External"/><Relationship Id="rId24" Type="http://schemas.openxmlformats.org/officeDocument/2006/relationships/hyperlink" Target="https://www.bhphotovideo.com/c/product/1568623-REG/sigma_100_400mm_f_5_6_3_dg_dn.html/BI/19619/KBID/12129/DFF/d10-v21-t1-x1050655/SID/EZ" TargetMode="External"/><Relationship Id="rId23" Type="http://schemas.openxmlformats.org/officeDocument/2006/relationships/hyperlink" Target="https://www.bhphotovideo.com/c/product/1538410-REG/tokina_atx_m_af85fe_atx_m_85mm_f_1_8_fe.html/BI/19619/KBID/12129/DFF/d10-v21-t1-x1022449/SID/EZ" TargetMode="External"/><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hyperlink" Target="http://rover.ebay.com/rover/1/711-53200-19255-0/1?icep_ff3=9&amp;pub=5575076376&amp;toolid=10001&amp;campid=5338573609&amp;customid=&amp;icep_uq=sony+12-24+g&amp;icep_sellerId=&amp;icep_ex_kw=&amp;icep_sortBy=12&amp;icep_catId=3323&amp;icep_minPrice=&amp;icep_maxPrice=&amp;ipn=psmain&amp;icep_vectorid=229466&amp;kwid=902099&amp;mtid=824&amp;kw=lg" TargetMode="External"/><Relationship Id="rId9" Type="http://schemas.openxmlformats.org/officeDocument/2006/relationships/hyperlink" Target="http://rover.ebay.com/rover/1/711-53200-19255-0/1?icep_ff3=9&amp;pub=5575076376&amp;toolid=10001&amp;campid=5338573609&amp;customid=&amp;icep_uq=sony+sigma+art+24-70+2.8&amp;icep_sellerId=&amp;icep_ex_kw=&amp;icep_sortBy=12&amp;icep_catId=3323&amp;icep_minPrice=&amp;icep_maxPrice=&amp;ipn=psmain&amp;icep_vectorid=229466&amp;kwid=902099&amp;mtid=824&amp;kw=lg" TargetMode="External"/><Relationship Id="rId26" Type="http://schemas.openxmlformats.org/officeDocument/2006/relationships/hyperlink" Target="https://phillipreeve.net/blog/zeiss-batis-apo-sonnar-t-135mm-f2-8/" TargetMode="External"/><Relationship Id="rId25" Type="http://schemas.openxmlformats.org/officeDocument/2006/relationships/hyperlink" Target="https://phillipreeve.net/blog/sony-gm-100-400-f-4-5-5-6/" TargetMode="External"/><Relationship Id="rId28" Type="http://schemas.openxmlformats.org/officeDocument/2006/relationships/hyperlink" Target="https://phillipreeve.net/blog/guide-to-best-sony-e-mount-35mm-lenses-for-a7iii-a7ii-a7riv-a7riii/" TargetMode="External"/><Relationship Id="rId27" Type="http://schemas.openxmlformats.org/officeDocument/2006/relationships/hyperlink" Target="https://amzn.to/3iQmhOg" TargetMode="External"/><Relationship Id="rId5" Type="http://schemas.openxmlformats.org/officeDocument/2006/relationships/hyperlink" Target="https://www.bhphotovideo.com/c/product/1573884-REG/sony_sel1224gm_12_24mm_f_2_8_gm_lens.html/BI/19619/KBID/12129/DFF/d10-v21-t1-x1055422/SID/EZ" TargetMode="External"/><Relationship Id="rId6" Type="http://schemas.openxmlformats.org/officeDocument/2006/relationships/hyperlink" Target="http://rover.ebay.com/rover/1/711-53200-19255-0/1?icep_ff3=9&amp;pub=5575076376&amp;toolid=10001&amp;campid=5338573609&amp;customid=&amp;icep_uq=sony+12-24+gm&amp;icep_sellerId=&amp;icep_ex_kw=&amp;icep_sortBy=12&amp;icep_catId=3323&amp;icep_minPrice=&amp;icep_maxPrice=&amp;ipn=psmain&amp;icep_vectorid=229466&amp;kwid=902099&amp;mtid=824&amp;kw=lg" TargetMode="External"/><Relationship Id="rId29" Type="http://schemas.openxmlformats.org/officeDocument/2006/relationships/hyperlink" Target="https://phillipreeve.net/blog/guide-to-the-best-50mm-lenses-for-full-frame-sony-e-mount-cameras-a7iii-a7ii-a7riv-a7riii-a9-a9ii/" TargetMode="External"/><Relationship Id="rId7" Type="http://schemas.openxmlformats.org/officeDocument/2006/relationships/hyperlink" Target="https://www.bhphotovideo.com/c/product/1503295-REG/samyang_syio18af_e_af_18mm_f_2_8_fe.html/BI/19619/KBID/12129/DFF/d10-v21-t1-x985623/SID/EZ" TargetMode="External"/><Relationship Id="rId8" Type="http://schemas.openxmlformats.org/officeDocument/2006/relationships/hyperlink" Target="https://amzn.to/38zcYOc" TargetMode="External"/><Relationship Id="rId30" Type="http://schemas.openxmlformats.org/officeDocument/2006/relationships/drawing" Target="../drawings/drawing1.xml"/><Relationship Id="rId11" Type="http://schemas.openxmlformats.org/officeDocument/2006/relationships/hyperlink" Target="https://www.bhphotovideo.com/c/product/1576544-REG/voigtlander_ba355c_nokton_35mm_f_1_2_aspherical.html/BI/19619/KBID/12129/DFF/d10-v21-t1-x1056288/SID/EZ" TargetMode="External"/><Relationship Id="rId10" Type="http://schemas.openxmlformats.org/officeDocument/2006/relationships/hyperlink" Target="https://amzn.to/2Zc0AR8" TargetMode="External"/><Relationship Id="rId13" Type="http://schemas.openxmlformats.org/officeDocument/2006/relationships/hyperlink" Target="https://amzn.to/2ZQ8Sx8" TargetMode="External"/><Relationship Id="rId12" Type="http://schemas.openxmlformats.org/officeDocument/2006/relationships/hyperlink" Target="https://www.bhphotovideo.com/c/product/1593677-REG/rokinon_io3518_e_af_35mm_f_1_8_fe.html/BI/19619/KBID/12129/DFF/d10-v21-t1-x1071430/SID/EZ" TargetMode="External"/><Relationship Id="rId15" Type="http://schemas.openxmlformats.org/officeDocument/2006/relationships/hyperlink" Target="https://amzn.to/2BYY8o6" TargetMode="External"/><Relationship Id="rId14" Type="http://schemas.openxmlformats.org/officeDocument/2006/relationships/hyperlink" Target="https://amzn.to/31VSLRa" TargetMode="External"/><Relationship Id="rId17" Type="http://schemas.openxmlformats.org/officeDocument/2006/relationships/hyperlink" Target="https://amzn.to/3jckrYw" TargetMode="External"/><Relationship Id="rId16" Type="http://schemas.openxmlformats.org/officeDocument/2006/relationships/hyperlink" Target="https://amzn.to/2ZVMlPn" TargetMode="External"/><Relationship Id="rId19" Type="http://schemas.openxmlformats.org/officeDocument/2006/relationships/hyperlink" Target="https://www.bhphotovideo.com/c/product/1582345-REG/tamron_a047_70_300mm_f_4_5_6_3_di_iii.html/BI/19619/KBID/12129/DFF/d10-v21-t1-x1073545/SID/EZ" TargetMode="External"/><Relationship Id="rId18" Type="http://schemas.openxmlformats.org/officeDocument/2006/relationships/hyperlink" Target="https://www.bhphotovideo.com/c/product/1556769-REG/tamron_afa056s_700_70_180mm_f_2_8_di_iii.html/BI/19619/KBID/12129/DFF/d10-v21-t1-x1038251/SID/E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rover.ebay.com/rover/1/711-53200-19255-0/1?icep_ff3=9&amp;pub=5575076376&amp;toolid=10001&amp;campid=5338573609&amp;customid=&amp;icep_uq=sony+gm+16-35&amp;icep_sellerId=&amp;icep_ex_kw=&amp;icep_sortBy=12&amp;icep_catId=3323&amp;icep_minPrice=&amp;icep_maxPrice=&amp;ipn=psmain&amp;icep_vectorid=229466&amp;kwid=902099&amp;mtid=824&amp;kw=lg" TargetMode="External"/><Relationship Id="rId190" Type="http://schemas.openxmlformats.org/officeDocument/2006/relationships/hyperlink" Target="http://rover.ebay.com/rover/1/711-53200-19255-0/1?icep_ff3=9&amp;pub=5575076376&amp;toolid=10001&amp;campid=5338573609&amp;customid=&amp;icep_uq=sony+35+1.4+sigma+af&amp;icep_sellerId=&amp;icep_ex_kw=&amp;icep_sortBy=12&amp;icep_catId=3323&amp;icep_minPrice=&amp;icep_maxPrice=&amp;ipn=psmain&amp;icep_vectorid=229466&amp;kwid=902099&amp;mtid=824&amp;kw=lg" TargetMode="External"/><Relationship Id="rId42" Type="http://schemas.openxmlformats.org/officeDocument/2006/relationships/hyperlink" Target="https://amzn.to/2Hv3AyB" TargetMode="External"/><Relationship Id="rId41" Type="http://schemas.openxmlformats.org/officeDocument/2006/relationships/hyperlink" Target="https://phillipreeve.net/blog/review-tamron-17-28mm-f-2-8-di-iii-rxd/" TargetMode="External"/><Relationship Id="rId44" Type="http://schemas.openxmlformats.org/officeDocument/2006/relationships/hyperlink" Target="https://amzn.to/2YkrkQB" TargetMode="External"/><Relationship Id="rId194" Type="http://schemas.openxmlformats.org/officeDocument/2006/relationships/hyperlink" Target="https://amzn.to/2PiATLC" TargetMode="External"/><Relationship Id="rId43" Type="http://schemas.openxmlformats.org/officeDocument/2006/relationships/hyperlink" Target="https://www.bhphotovideo.com/c/product/1461529-REG/tamron_a046_17_28mm_f_2_8_di_iii.html/BI/19619/KBID/12129/DFF/d10-v21-t1-x946694/SID/EZ" TargetMode="External"/><Relationship Id="rId193" Type="http://schemas.openxmlformats.org/officeDocument/2006/relationships/hyperlink" Target="https://www.bhphotovideo.com/c/product/1492866-REG/sony_sel35f18f_35mm_f_1_8_fe_lens.html/BI/19619/KBID/12129/DFF/d10-v21-t1-x975763/SID/EZ" TargetMode="External"/><Relationship Id="rId46" Type="http://schemas.openxmlformats.org/officeDocument/2006/relationships/hyperlink" Target="https://phillipreeve.net/blog/review-zeiss-batis-18mm-2-8/" TargetMode="External"/><Relationship Id="rId192" Type="http://schemas.openxmlformats.org/officeDocument/2006/relationships/hyperlink" Target="https://amzn.to/31HFLMg" TargetMode="External"/><Relationship Id="rId45" Type="http://schemas.openxmlformats.org/officeDocument/2006/relationships/hyperlink" Target="http://rover.ebay.com/rover/1/711-53200-19255-0/1?icep_ff3=9&amp;pub=5575076376&amp;toolid=10001&amp;campid=5338573609&amp;customid=&amp;icep_uq=tamron+17-28+sony&amp;icep_sellerId=&amp;icep_ex_kw=&amp;icep_sortBy=12&amp;icep_catId=3323&amp;icep_minPrice=&amp;icep_maxPrice=&amp;ipn=psmain&amp;icep_vectorid=229466&amp;kwid=902099&amp;mtid=824&amp;kw=lg" TargetMode="External"/><Relationship Id="rId191" Type="http://schemas.openxmlformats.org/officeDocument/2006/relationships/hyperlink" Target="https://phillipreeve.net/blog/review-sony-fe-35mm-f1-8/" TargetMode="External"/><Relationship Id="rId48" Type="http://schemas.openxmlformats.org/officeDocument/2006/relationships/hyperlink" Target="https://www.bhphotovideo.com/c/product/1243591-REG/zeiss_2136_691_batis_18mm_f_2_8_lens.html/BI/19619/KBID/12129/DFF/d10-v21-t1-x727488/SID/EZ" TargetMode="External"/><Relationship Id="rId187" Type="http://schemas.openxmlformats.org/officeDocument/2006/relationships/hyperlink" Target="https://amzn.to/2LOaQcZ" TargetMode="External"/><Relationship Id="rId47" Type="http://schemas.openxmlformats.org/officeDocument/2006/relationships/hyperlink" Target="https://amzn.to/2SRFBhL" TargetMode="External"/><Relationship Id="rId186" Type="http://schemas.openxmlformats.org/officeDocument/2006/relationships/hyperlink" Target="https://phillipreeve.net/blog/review-sigma-35mm-1-4-art/" TargetMode="External"/><Relationship Id="rId185" Type="http://schemas.openxmlformats.org/officeDocument/2006/relationships/hyperlink" Target="http://rover.ebay.com/rover/1/711-53200-19255-0/1?icep_ff3=9&amp;pub=5575076376&amp;toolid=10001&amp;campid=5338573609&amp;customid=&amp;icep_uq=Voigtlander+Sony+35mm+1.4&amp;icep_sellerId=&amp;icep_ex_kw=&amp;icep_sortBy=12&amp;icep_catId=3323&amp;icep_minPrice=&amp;icep_maxPrice=&amp;ipn=psmain&amp;icep_vectorid=229466&amp;kwid=902099&amp;mtid=824&amp;kw=lg" TargetMode="External"/><Relationship Id="rId49" Type="http://schemas.openxmlformats.org/officeDocument/2006/relationships/hyperlink" Target="https://amzn.to/334PqNT" TargetMode="External"/><Relationship Id="rId184" Type="http://schemas.openxmlformats.org/officeDocument/2006/relationships/hyperlink" Target="https://amzn.to/2ZswTZ3" TargetMode="External"/><Relationship Id="rId189" Type="http://schemas.openxmlformats.org/officeDocument/2006/relationships/hyperlink" Target="https://amzn.to/2ZrfakE" TargetMode="External"/><Relationship Id="rId188" Type="http://schemas.openxmlformats.org/officeDocument/2006/relationships/hyperlink" Target="https://www.bhphotovideo.com/c/product/1393492-REG/sigma_35mm_f_1_4_dg_hsm.html/BI/19619/KBID/12129/DFF/d10-v21-t1-x881157/SID/EZ" TargetMode="External"/><Relationship Id="rId31" Type="http://schemas.openxmlformats.org/officeDocument/2006/relationships/hyperlink" Target="http://rover.ebay.com/rover/1/711-53200-19255-0/1?icep_ff3=9&amp;pub=5575076376&amp;toolid=10001&amp;campid=5338573609&amp;customid=&amp;icep_uq=Voigtlander+Sony+15mm+4.5&amp;icep_sellerId=&amp;icep_ex_kw=&amp;icep_sortBy=12&amp;icep_catId=3323&amp;icep_minPrice=&amp;icep_maxPrice=&amp;ipn=psmain&amp;icep_vectorid=229466&amp;kwid=902099&amp;mtid=824&amp;kw=lg" TargetMode="External"/><Relationship Id="rId30" Type="http://schemas.openxmlformats.org/officeDocument/2006/relationships/hyperlink" Target="https://amzn.to/2ZpTKt5" TargetMode="External"/><Relationship Id="rId33" Type="http://schemas.openxmlformats.org/officeDocument/2006/relationships/hyperlink" Target="http://amzn.to/2v2sY7q" TargetMode="External"/><Relationship Id="rId183" Type="http://schemas.openxmlformats.org/officeDocument/2006/relationships/hyperlink" Target="https://www.bhphotovideo.com/c/product/1381712-REG/voigtlander_nokton_classic_35mm_f_1_4.html/BI/19619/KBID/12129/DFF/d10-v21-t1-x877353/SID/EZ" TargetMode="External"/><Relationship Id="rId32" Type="http://schemas.openxmlformats.org/officeDocument/2006/relationships/hyperlink" Target="https://phillipreeve.net/blog/sony-fe-16-35mm-f4-za-t-review/" TargetMode="External"/><Relationship Id="rId182" Type="http://schemas.openxmlformats.org/officeDocument/2006/relationships/hyperlink" Target="https://amzn.to/2M1M8WH" TargetMode="External"/><Relationship Id="rId35" Type="http://schemas.openxmlformats.org/officeDocument/2006/relationships/hyperlink" Target="http://amzn.to/2wyMLuP" TargetMode="External"/><Relationship Id="rId181" Type="http://schemas.openxmlformats.org/officeDocument/2006/relationships/hyperlink" Target="https://phillipreeve.net/blog/review-voigtlander-35mm-1-4-nokton-e-classic/" TargetMode="External"/><Relationship Id="rId34" Type="http://schemas.openxmlformats.org/officeDocument/2006/relationships/hyperlink" Target="https://www.bhphotovideo.com/c/product/1380866-REG/sony_16_35mm_f_4_vario_tsr.html/BI/19619/KBID/12129/kw/SO16354F/DFF/d10-v2-t1-xSO16354F" TargetMode="External"/><Relationship Id="rId180" Type="http://schemas.openxmlformats.org/officeDocument/2006/relationships/hyperlink" Target="http://rover.ebay.com/rover/1/711-53200-19255-0/1?icep_ff3=9&amp;pub=5575076376&amp;toolid=10001&amp;campid=5338573609&amp;customid=&amp;icep_uq=sony+35+1.4+samyang+af&amp;icep_sellerId=&amp;icep_ex_kw=&amp;icep_sortBy=12&amp;icep_catId=3323&amp;icep_minPrice=&amp;icep_maxPrice=&amp;ipn=psmain&amp;icep_vectorid=229466&amp;kwid=902099&amp;mtid=824&amp;kw=lg" TargetMode="External"/><Relationship Id="rId37" Type="http://schemas.openxmlformats.org/officeDocument/2006/relationships/hyperlink" Target="https://amzn.to/2SR0IRl" TargetMode="External"/><Relationship Id="rId176" Type="http://schemas.openxmlformats.org/officeDocument/2006/relationships/hyperlink" Target="https://phillipreeve.net/blog/review-samyang-af-35-1-4-fe/" TargetMode="External"/><Relationship Id="rId297" Type="http://schemas.openxmlformats.org/officeDocument/2006/relationships/hyperlink" Target="https://amzn.to/3fEngPB" TargetMode="External"/><Relationship Id="rId36" Type="http://schemas.openxmlformats.org/officeDocument/2006/relationships/hyperlink" Target="http://rover.ebay.com/rover/1/711-53200-19255-0/1?icep_ff3=10&amp;pub=5575076376&amp;toolid=10001&amp;campid=5338164340&amp;customid=&amp;icep_uq=sony+16-35+za+oss&amp;icep_sellerId=&amp;icep_ex_kw=&amp;icep_sortBy=12&amp;icep_catId=&amp;icep_minPrice=&amp;icep_maxPrice=&amp;ipn=psmain&amp;icep_vectorid=229466&amp;kwid=902099&amp;mtid=824&amp;kw=lg" TargetMode="External"/><Relationship Id="rId175" Type="http://schemas.openxmlformats.org/officeDocument/2006/relationships/hyperlink" Target="http://rover.ebay.com/rover/1/711-53200-19255-0/1?icep_ff3=9&amp;pub=5575076376&amp;toolid=10001&amp;campid=5338573609&amp;customid=&amp;icep_uq=sony+35+1.4+fe-a-mount&amp;icep_sellerId=&amp;icep_ex_kw=&amp;icep_sortBy=12&amp;icep_catId=3323&amp;icep_minPrice=&amp;icep_maxPrice=&amp;ipn=psmain&amp;icep_vectorid=229466&amp;kwid=902099&amp;mtid=824&amp;kw=lg" TargetMode="External"/><Relationship Id="rId296" Type="http://schemas.openxmlformats.org/officeDocument/2006/relationships/hyperlink" Target="https://www.bhphotovideo.com/c/product/1558714-REG/samyang_syio75af_e_af_75mm_f_1_8_fe.html/BI/19619/KBID/12129/DFF/d10-v21-t1-x1039688/SID/EZ" TargetMode="External"/><Relationship Id="rId39" Type="http://schemas.openxmlformats.org/officeDocument/2006/relationships/hyperlink" Target="https://amzn.to/2T1ZxOU" TargetMode="External"/><Relationship Id="rId174" Type="http://schemas.openxmlformats.org/officeDocument/2006/relationships/hyperlink" Target="https://amzn.to/2ZmfSnX" TargetMode="External"/><Relationship Id="rId295" Type="http://schemas.openxmlformats.org/officeDocument/2006/relationships/hyperlink" Target="https://amzn.to/30lvyFI" TargetMode="External"/><Relationship Id="rId38" Type="http://schemas.openxmlformats.org/officeDocument/2006/relationships/hyperlink" Target="https://www.bhphotovideo.com/c/product/1338516-REG/sony_sel1635gm_fe_16_35mm_f_2_8_gm.html/BI/19619/KBID/12129/DFF/d10-v21-t1-x822837/SID/EZ" TargetMode="External"/><Relationship Id="rId173" Type="http://schemas.openxmlformats.org/officeDocument/2006/relationships/hyperlink" Target="https://www.bhphotovideo.com/c/product/1126137-REG/sony_sel35f14z_distagon_t_fe_35mm.html/BI/19619/KBID/12129/DFF/d10-v21-t1-x612725/SID/EZ" TargetMode="External"/><Relationship Id="rId294" Type="http://schemas.openxmlformats.org/officeDocument/2006/relationships/hyperlink" Target="http://rover.ebay.com/rover/1/711-53200-19255-0/1?icep_ff3=10&amp;pub=5575076376&amp;toolid=10001&amp;campid=5338164340&amp;customid=&amp;icep_uq=sony+70-200+g+4&amp;icep_sellerId=&amp;icep_ex_kw=&amp;icep_sortBy=12&amp;icep_catId=&amp;icep_minPrice=&amp;icep_maxPrice=&amp;ipn=psmain&amp;icep_vectorid=229466&amp;kwid=902099&amp;mtid=824&amp;kw=lg" TargetMode="External"/><Relationship Id="rId179" Type="http://schemas.openxmlformats.org/officeDocument/2006/relationships/hyperlink" Target="https://amzn.to/2Zhl3FI" TargetMode="External"/><Relationship Id="rId178" Type="http://schemas.openxmlformats.org/officeDocument/2006/relationships/hyperlink" Target="https://www.bhphotovideo.com/c/product/1373698-REG/samyang_syio3514_e_35mm_f1_4_auto_focus.html/BI/19619/KBID/12129/DFF/d10-v21-t1-x858016/SID/EZ" TargetMode="External"/><Relationship Id="rId299" Type="http://schemas.openxmlformats.org/officeDocument/2006/relationships/hyperlink" Target="https://phillipreeve.net/blog/review-sony-fe-85mm-1-4-gm/" TargetMode="External"/><Relationship Id="rId177" Type="http://schemas.openxmlformats.org/officeDocument/2006/relationships/hyperlink" Target="https://amzn.to/2K8DDXH" TargetMode="External"/><Relationship Id="rId298" Type="http://schemas.openxmlformats.org/officeDocument/2006/relationships/hyperlink" Target="http://rover.ebay.com/rover/1/711-53200-19255-0/1?icep_ff3=9&amp;pub=5575076376&amp;toolid=10001&amp;campid=5338164340&amp;customid=&amp;icep_uq=samyang+75+1.8+sony+af&amp;icep_sellerId=&amp;icep_ex_kw=&amp;icep_sortBy=12&amp;icep_catId=3323&amp;icep_minPrice=&amp;icep_maxPrice=&amp;ipn=psmain&amp;icep_vectorid=229466&amp;kwid=902099&amp;mtid=824&amp;kw=lg" TargetMode="External"/><Relationship Id="rId20" Type="http://schemas.openxmlformats.org/officeDocument/2006/relationships/hyperlink" Target="https://amzn.to/2zt8rMC" TargetMode="External"/><Relationship Id="rId22" Type="http://schemas.openxmlformats.org/officeDocument/2006/relationships/hyperlink" Target="http://rover.ebay.com/rover/1/711-53200-19255-0/1?icep_ff3=9&amp;pub=5575076376&amp;toolid=10001&amp;campid=5338573609&amp;customid=&amp;icep_uq=sigma+14-24+2.8+sony&amp;icep_sellerId=&amp;icep_ex_kw=&amp;icep_sortBy=12&amp;icep_catId=3323&amp;icep_minPrice=&amp;icep_maxPrice=&amp;ipn=psmain&amp;icep_vectorid=229466&amp;kwid=902099&amp;mtid=824&amp;kw=lg" TargetMode="External"/><Relationship Id="rId21" Type="http://schemas.openxmlformats.org/officeDocument/2006/relationships/hyperlink" Target="https://www.bhphotovideo.com/c/product/1492972-REG/sigma_213965_14_24mm_f_2_8_dg_dn.html/BI/19619/KBID/12129/DFF/d10-v21-t1-x976041/SID/EZ" TargetMode="External"/><Relationship Id="rId24" Type="http://schemas.openxmlformats.org/officeDocument/2006/relationships/hyperlink" Target="https://www.bhphotovideo.com/c/product/1352863-REG/samyang_syio14af_e_14mm_f_2_8_f_f_wide.html/BI/19619/KBID/12129/DFF/d10-v21-t1-x837928/SID/EZ" TargetMode="External"/><Relationship Id="rId23" Type="http://schemas.openxmlformats.org/officeDocument/2006/relationships/hyperlink" Target="https://amzn.to/2SX2HUi" TargetMode="External"/><Relationship Id="rId26" Type="http://schemas.openxmlformats.org/officeDocument/2006/relationships/hyperlink" Target="http://rover.ebay.com/rover/1/711-53200-19255-0/1?icep_ff3=9&amp;pub=5575076376&amp;toolid=10001&amp;campid=5338573609&amp;customid=&amp;icep_uq=samyang+af+14+2.8+sony&amp;icep_sellerId=&amp;icep_ex_kw=&amp;icep_sortBy=12&amp;icep_catId=3323&amp;icep_minPrice=&amp;icep_maxPrice=&amp;ipn=psmain&amp;icep_vectorid=229466&amp;kwid=902099&amp;mtid=824&amp;kw=lg" TargetMode="External"/><Relationship Id="rId25" Type="http://schemas.openxmlformats.org/officeDocument/2006/relationships/hyperlink" Target="https://amzn.to/31hwSIL" TargetMode="External"/><Relationship Id="rId28" Type="http://schemas.openxmlformats.org/officeDocument/2006/relationships/hyperlink" Target="https://amzn.to/2YwplrQ" TargetMode="External"/><Relationship Id="rId27" Type="http://schemas.openxmlformats.org/officeDocument/2006/relationships/hyperlink" Target="https://phillipreeve.net/blog/review-voigtlander-15mm-4-5-e-super-wide-heliar/" TargetMode="External"/><Relationship Id="rId29" Type="http://schemas.openxmlformats.org/officeDocument/2006/relationships/hyperlink" Target="https://www.bhphotovideo.com/c/product/1219549-REG/voigtlander_ba329b_super_wide_heliar_15mm_f_4_5.html/BI/19619/KBID/12129/DFF/d10-v21-t1-x618202/SID/EZ" TargetMode="External"/><Relationship Id="rId11" Type="http://schemas.openxmlformats.org/officeDocument/2006/relationships/hyperlink" Target="http://rover.ebay.com/rover/1/711-53200-19255-0/1?icep_ff3=9&amp;pub=5575076376&amp;toolid=10001&amp;campid=5338573609&amp;customid=&amp;icep_uq=sony+12-24+g&amp;icep_sellerId=&amp;icep_ex_kw=&amp;icep_sortBy=12&amp;icep_catId=3323&amp;icep_minPrice=&amp;icep_maxPrice=&amp;ipn=psmain&amp;icep_vectorid=229466&amp;kwid=902099&amp;mtid=824&amp;kw=lg" TargetMode="External"/><Relationship Id="rId10" Type="http://schemas.openxmlformats.org/officeDocument/2006/relationships/hyperlink" Target="https://amzn.to/2Kg94zb" TargetMode="External"/><Relationship Id="rId13" Type="http://schemas.openxmlformats.org/officeDocument/2006/relationships/hyperlink" Target="http://rover.ebay.com/rover/1/711-53200-19255-0/1?icep_ff3=9&amp;pub=5575076376&amp;toolid=10001&amp;campid=5338573609&amp;customid=&amp;icep_uq=sony+12-24+gm&amp;icep_sellerId=&amp;icep_ex_kw=&amp;icep_sortBy=12&amp;icep_catId=3323&amp;icep_minPrice=&amp;icep_maxPrice=&amp;ipn=psmain&amp;icep_vectorid=229466&amp;kwid=902099&amp;mtid=824&amp;kw=lg" TargetMode="External"/><Relationship Id="rId12" Type="http://schemas.openxmlformats.org/officeDocument/2006/relationships/hyperlink" Target="https://www.bhphotovideo.com/c/product/1573884-REG/sony_sel1224gm_12_24mm_f_2_8_gm_lens.html/BI/19619/KBID/12129/DFF/d10-v21-t1-x1055422/SID/EZ" TargetMode="External"/><Relationship Id="rId15" Type="http://schemas.openxmlformats.org/officeDocument/2006/relationships/hyperlink" Target="http://rover.ebay.com/rover/1/711-53200-19255-0/1?icep_ff3=9&amp;pub=5575076376&amp;toolid=10001&amp;campid=5338573609&amp;customid=&amp;icep_uq=Voigtlander+Sony+12mm+5.6+&amp;icep_sellerId=&amp;icep_ex_kw=&amp;icep_sortBy=12&amp;icep_catId=3323&amp;icep_minPrice=&amp;icep_maxPrice=&amp;ipn=psmain&amp;icep_vectorid=229466&amp;kwid=902099&amp;mtid=824&amp;kw=lg" TargetMode="External"/><Relationship Id="rId198" Type="http://schemas.openxmlformats.org/officeDocument/2006/relationships/hyperlink" Target="https://amzn.to/2T2sJWe" TargetMode="External"/><Relationship Id="rId14" Type="http://schemas.openxmlformats.org/officeDocument/2006/relationships/hyperlink" Target="https://phillipreeve.net/blog/review-voigtlander-12mm-5-6-aspherical-ultra-wide-heliar/" TargetMode="External"/><Relationship Id="rId197" Type="http://schemas.openxmlformats.org/officeDocument/2006/relationships/hyperlink" Target="https://phillipreeve.net/blog/review-zeiss-loxia-35mm-2-0/" TargetMode="External"/><Relationship Id="rId17" Type="http://schemas.openxmlformats.org/officeDocument/2006/relationships/hyperlink" Target="https://www.bhphotovideo.com/c/product/1393489-REG/sigma_14mm_f_1_8_dg_hsm.html/BI/19619/KBID/12129/DFF/d10-v21-t1-x881154/SID/EZ" TargetMode="External"/><Relationship Id="rId196" Type="http://schemas.openxmlformats.org/officeDocument/2006/relationships/hyperlink" Target="https://www.bhphotovideo.com/c/product/1593677-REG/rokinon_io3518_e_af_35mm_f_1_8_fe.html/BI/19619/KBID/12129/DFF/d10-v21-t1-x1071430/SID/EZ" TargetMode="External"/><Relationship Id="rId16" Type="http://schemas.openxmlformats.org/officeDocument/2006/relationships/hyperlink" Target="https://amzn.to/2SOWTvV" TargetMode="External"/><Relationship Id="rId195" Type="http://schemas.openxmlformats.org/officeDocument/2006/relationships/hyperlink" Target="http://rover.ebay.com/rover/1/711-53200-19255-0/1?icep_ff3=9&amp;pub=5575076376&amp;toolid=10001&amp;campid=5338573609&amp;customid=&amp;icep_uq=sony+fe+35+1.8&amp;icep_sellerId=&amp;icep_ex_kw=&amp;icep_sortBy=12&amp;icep_catId=3323&amp;icep_minPrice=&amp;icep_maxPrice=&amp;ipn=psmain&amp;icep_vectorid=229466&amp;kwid=902099&amp;mtid=824&amp;kw=lg" TargetMode="External"/><Relationship Id="rId19" Type="http://schemas.openxmlformats.org/officeDocument/2006/relationships/hyperlink" Target="http://rover.ebay.com/rover/1/711-53200-19255-0/1?icep_ff3=9&amp;pub=5575076376&amp;toolid=10001&amp;campid=5338573609&amp;customid=&amp;icep_uq=sigma+14+1.8+sony&amp;icep_sellerId=&amp;icep_ex_kw=&amp;icep_sortBy=12&amp;icep_catId=3323&amp;icep_minPrice=&amp;icep_maxPrice=&amp;ipn=psmain&amp;icep_vectorid=229466&amp;kwid=902099&amp;mtid=824&amp;kw=lg" TargetMode="External"/><Relationship Id="rId18" Type="http://schemas.openxmlformats.org/officeDocument/2006/relationships/hyperlink" Target="https://amzn.to/2ZDl4QJ" TargetMode="External"/><Relationship Id="rId199" Type="http://schemas.openxmlformats.org/officeDocument/2006/relationships/hyperlink" Target="https://www.bhphotovideo.com/c/product/1080388-REG/zeiss_2103_749_loxia_35mm_f_2_biogon.html/BI/19619/KBID/12129/DFF/d10-v21-t1-x553792/SID/EZ" TargetMode="External"/><Relationship Id="rId84" Type="http://schemas.openxmlformats.org/officeDocument/2006/relationships/hyperlink" Target="https://amzn.to/2GHSOoA" TargetMode="External"/><Relationship Id="rId83" Type="http://schemas.openxmlformats.org/officeDocument/2006/relationships/hyperlink" Target="https://www.bhphotovideo.com/c/product/1189220-REG/zeiss_2131_999_loxia_21mm_f_2_8_lens.html/BI/19619/KBID/12129/DFF/d10-v21-t1-x677077/SID/EZ" TargetMode="External"/><Relationship Id="rId86" Type="http://schemas.openxmlformats.org/officeDocument/2006/relationships/hyperlink" Target="https://phillipreeve.net/blog/voigtlander-21mm-f35-review/" TargetMode="External"/><Relationship Id="rId85" Type="http://schemas.openxmlformats.org/officeDocument/2006/relationships/hyperlink" Target="http://rover.ebay.com/rover/1/711-53200-19255-0/1?icep_ff3=9&amp;pub=5575076376&amp;toolid=10001&amp;campid=5338573609&amp;customid=&amp;icep_uq=Loxia+21mm&amp;icep_sellerId=&amp;icep_ex_kw=&amp;icep_sortBy=12&amp;icep_catId=3323&amp;icep_minPrice=&amp;icep_maxPrice=&amp;ipn=psmain&amp;icep_vectorid=229466&amp;kwid=902099&amp;mtid=824&amp;kw=lg" TargetMode="External"/><Relationship Id="rId88" Type="http://schemas.openxmlformats.org/officeDocument/2006/relationships/hyperlink" Target="https://www.bhphotovideo.com/c/product/1437613-REG/voigtlander_color_skopar_21mm_f_3_5_aspherical.html/BI/19619/KBID/12129/kw/VO2135E/DFF/d10-v2-t1-xVO2135E" TargetMode="External"/><Relationship Id="rId150" Type="http://schemas.openxmlformats.org/officeDocument/2006/relationships/hyperlink" Target="https://phillipreeve.net/blog/review-tamron-28-75mm-f-2-8-di-iii-rxd-sony-e-mount/" TargetMode="External"/><Relationship Id="rId271" Type="http://schemas.openxmlformats.org/officeDocument/2006/relationships/hyperlink" Target="https://www.bhphotovideo.com/c/product/1008124-REG/sony_sel55f18z_sonnar_t_fe_55mm.html/BI/19619/KBID/12129/DFF/d10-v21-t1-x466841/SID/EZ" TargetMode="External"/><Relationship Id="rId87" Type="http://schemas.openxmlformats.org/officeDocument/2006/relationships/hyperlink" Target="https://amzn.to/2JCie75" TargetMode="External"/><Relationship Id="rId270" Type="http://schemas.openxmlformats.org/officeDocument/2006/relationships/hyperlink" Target="https://amzn.to/2ywdgEk" TargetMode="External"/><Relationship Id="rId89" Type="http://schemas.openxmlformats.org/officeDocument/2006/relationships/hyperlink" Target="https://amzn.to/2ZoERan" TargetMode="External"/><Relationship Id="rId80" Type="http://schemas.openxmlformats.org/officeDocument/2006/relationships/hyperlink" Target="http://rover.ebay.com/rover/1/711-53200-19255-0/1?icep_ff3=9&amp;pub=5575076376&amp;toolid=10001&amp;campid=5338573609&amp;customid=&amp;icep_uq=Voigtlander+Sony+21mm+1.4&amp;icep_sellerId=&amp;icep_ex_kw=&amp;icep_sortBy=12&amp;icep_catId=3323&amp;icep_minPrice=&amp;icep_maxPrice=&amp;ipn=psmain&amp;icep_vectorid=229466&amp;kwid=902099&amp;mtid=824&amp;kw=lg" TargetMode="External"/><Relationship Id="rId82" Type="http://schemas.openxmlformats.org/officeDocument/2006/relationships/hyperlink" Target="https://amzn.to/2yspzBm" TargetMode="External"/><Relationship Id="rId81" Type="http://schemas.openxmlformats.org/officeDocument/2006/relationships/hyperlink" Target="https://phillipreeve.net/blog/rolling-review-zeiss-loxia-distagon-2-821mm-t/https://phillipreeve.net/blog/rolling-review-zeiss-loxia-distagon-2-821mm-t/" TargetMode="External"/><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149" Type="http://schemas.openxmlformats.org/officeDocument/2006/relationships/hyperlink" Target="http://rover.ebay.com/rover/1/711-53200-19255-0/1?icep_ff3=10&amp;pub=5575076376&amp;toolid=10001&amp;campid=5338164340&amp;customid=&amp;icep_uq=sony+28+f2&amp;icep_sellerId=&amp;icep_ex_kw=&amp;icep_sortBy=12&amp;icep_catId=&amp;icep_minPrice=&amp;icep_maxPrice=&amp;ipn=psmain&amp;icep_vectorid=229466&amp;kwid=902099&amp;mtid=824&amp;kw=lg" TargetMode="External"/><Relationship Id="rId4" Type="http://schemas.openxmlformats.org/officeDocument/2006/relationships/hyperlink" Target="https://amzn.to/2jJ8WxH" TargetMode="External"/><Relationship Id="rId148" Type="http://schemas.openxmlformats.org/officeDocument/2006/relationships/hyperlink" Target="http://amzn.to/2wyLOCO" TargetMode="External"/><Relationship Id="rId269" Type="http://schemas.openxmlformats.org/officeDocument/2006/relationships/hyperlink" Target="https://phillipreeve.net/blog/sony-fe-1-855-za-sonnar-t-review/" TargetMode="External"/><Relationship Id="rId9" Type="http://schemas.openxmlformats.org/officeDocument/2006/relationships/hyperlink" Target="https://www.bhphotovideo.com/c/product/1338517-REG/sony_sel1224g_fe_12_24mm_f_4_g.html/BI/19619/KBID/12129/DFF/d10-v21-t1-x822838/SID/EZ" TargetMode="External"/><Relationship Id="rId143" Type="http://schemas.openxmlformats.org/officeDocument/2006/relationships/hyperlink" Target="https://amzn.to/2WzVkHd" TargetMode="External"/><Relationship Id="rId264" Type="http://schemas.openxmlformats.org/officeDocument/2006/relationships/hyperlink" Target="https://phillipreeve.net/blog/rolling-review-sony-fe-2-850-macro/" TargetMode="External"/><Relationship Id="rId142" Type="http://schemas.openxmlformats.org/officeDocument/2006/relationships/hyperlink" Target="https://www.bhphotovideo.com/c/product/1436285-REG/sigma_28mm_f_1_4_dg_hsm.html/BI/19619/KBID/12129/kw/SI2814DGSE/DFF/d10-v2-t1-xSI2814DGSE" TargetMode="External"/><Relationship Id="rId263" Type="http://schemas.openxmlformats.org/officeDocument/2006/relationships/hyperlink" Target="http://rover.ebay.com/rover/1/711-53200-19255-0/1?icep_ff3=9&amp;pub=5575076376&amp;toolid=10001&amp;campid=5338164340&amp;customid=&amp;icep_uq=loxia++50+sony&amp;icep_sellerId=&amp;icep_ex_kw=&amp;icep_sortBy=12&amp;icep_catId=3323&amp;icep_minPrice=&amp;icep_maxPrice=&amp;ipn=psmain&amp;icep_vectorid=229466&amp;kwid=902099&amp;mtid=824&amp;kw=lg" TargetMode="External"/><Relationship Id="rId141" Type="http://schemas.openxmlformats.org/officeDocument/2006/relationships/hyperlink" Target="https://amzn.to/2Wn0pxO" TargetMode="External"/><Relationship Id="rId262" Type="http://schemas.openxmlformats.org/officeDocument/2006/relationships/hyperlink" Target="http://amzn.to/2wyJAU4" TargetMode="External"/><Relationship Id="rId140" Type="http://schemas.openxmlformats.org/officeDocument/2006/relationships/hyperlink" Target="http://rover.ebay.com/rover/1/711-53200-19255-0/1?icep_ff3=9&amp;pub=5575076376&amp;toolid=10001&amp;campid=5338573609&amp;customid=&amp;icep_uq=Zeiss+loxia+25mm&amp;icep_sellerId=&amp;icep_ex_kw=&amp;icep_sortBy=12&amp;icep_catId=3323&amp;icep_minPrice=&amp;icep_maxPrice=&amp;ipn=psmain&amp;icep_vectorid=229466&amp;kwid=902099&amp;mtid=824&amp;kw=lg" TargetMode="External"/><Relationship Id="rId261" Type="http://schemas.openxmlformats.org/officeDocument/2006/relationships/hyperlink" Target="https://www.bhphotovideo.com/c/product/1080387-REG/zeiss_2103_748_loxia_50mm_f_2_planar.html/BI/19619/KBID/12129/kw/ZE502LFE/DFF/d10-v2-t1-xZE502LFE" TargetMode="External"/><Relationship Id="rId5" Type="http://schemas.openxmlformats.org/officeDocument/2006/relationships/hyperlink" Target="https://www.bhphotovideo.com/c/product/1219550-REG/voigtlander_ba334b_heliar_hyper_wide_10mm_f_5_6.html/BI/19619/KBID/12129/DFF/d10-v21-t1-x732282/SID/EZ" TargetMode="External"/><Relationship Id="rId147" Type="http://schemas.openxmlformats.org/officeDocument/2006/relationships/hyperlink" Target="https://www.bhphotovideo.com/c/product/1402637-REG/sony_fe_28mm_f_2_lens.html/BI/19619/KBID/12129/kw/SO2820F/DFF/d10-v2-t1-xSO2820F" TargetMode="External"/><Relationship Id="rId268" Type="http://schemas.openxmlformats.org/officeDocument/2006/relationships/hyperlink" Target="http://rover.ebay.com/rover/1/711-53200-19255-0/1?icep_ff3=10&amp;pub=5575076376&amp;toolid=10001&amp;campid=5338164340&amp;customid=&amp;icep_uq=sony+50+macro+fe&amp;icep_sellerId=&amp;icep_ex_kw=&amp;icep_sortBy=12&amp;icep_catId=&amp;icep_minPrice=&amp;icep_maxPrice=&amp;ipn=psmain&amp;icep_vectorid=229466&amp;kwid=902099&amp;mtid=824&amp;kw=lg" TargetMode="External"/><Relationship Id="rId6" Type="http://schemas.openxmlformats.org/officeDocument/2006/relationships/hyperlink" Target="https://amzn.to/2jG72hr" TargetMode="External"/><Relationship Id="rId146" Type="http://schemas.openxmlformats.org/officeDocument/2006/relationships/hyperlink" Target="https://amzn.to/2GXJWdo" TargetMode="External"/><Relationship Id="rId267" Type="http://schemas.openxmlformats.org/officeDocument/2006/relationships/hyperlink" Target="http://amzn.to/2vbknRN" TargetMode="External"/><Relationship Id="rId7" Type="http://schemas.openxmlformats.org/officeDocument/2006/relationships/hyperlink" Target="http://rover.ebay.com/rover/1/711-53200-19255-0/1?icep_ff3=9&amp;pub=5575076376&amp;toolid=10001&amp;campid=5338573609&amp;customid=&amp;icep_uq=Voigtlander+Sony+10mm+5.6+&amp;icep_sellerId=&amp;icep_ex_kw=&amp;icep_sortBy=12&amp;icep_catId=3323&amp;icep_minPrice=&amp;icep_maxPrice=&amp;ipn=psmain&amp;icep_vectorid=229466&amp;kwid=902099&amp;mtid=824&amp;kw=lg" TargetMode="External"/><Relationship Id="rId145" Type="http://schemas.openxmlformats.org/officeDocument/2006/relationships/hyperlink" Target="https://www.systemkamera-forum.de/blog/2015/05/sony-fe-28mm-f2-test-und-erfahrungsbericht/" TargetMode="External"/><Relationship Id="rId266" Type="http://schemas.openxmlformats.org/officeDocument/2006/relationships/hyperlink" Target="https://www.bhphotovideo.com/c/product/1277527-REG/sony_sel50m28_fe_50mm_f_2_8_macro.html/BI/19619/KBID/12129/kw/SO5028FF/DFF/d10-v2-t1-xSO5028FF" TargetMode="External"/><Relationship Id="rId8" Type="http://schemas.openxmlformats.org/officeDocument/2006/relationships/hyperlink" Target="https://amzn.to/2SSzKc4" TargetMode="External"/><Relationship Id="rId144" Type="http://schemas.openxmlformats.org/officeDocument/2006/relationships/hyperlink" Target="http://rover.ebay.com/rover/1/711-53200-19255-0/1?icep_ff3=9&amp;pub=5575076376&amp;toolid=10001&amp;campid=5338573609&amp;customid=&amp;icep_uq=sigma+art+28mm+e-mount&amp;icep_sellerId=&amp;icep_ex_kw=&amp;icep_sortBy=12&amp;icep_catId=3323&amp;icep_minPrice=&amp;icep_maxPrice=&amp;ipn=psmain&amp;icep_vectorid=229466&amp;kwid=902099&amp;mtid=824&amp;kw=lg" TargetMode="External"/><Relationship Id="rId265" Type="http://schemas.openxmlformats.org/officeDocument/2006/relationships/hyperlink" Target="http://amzn.to/2v2g0qz" TargetMode="External"/><Relationship Id="rId73" Type="http://schemas.openxmlformats.org/officeDocument/2006/relationships/hyperlink" Target="http://rover.ebay.com/rover/1/711-53200-19255-0/1?icep_ff3=9&amp;pub=5575076376&amp;toolid=10001&amp;campid=5338573609&amp;customid=&amp;icep_uq=tokina+firin+20mm+af&amp;icep_sellerId=&amp;icep_ex_kw=&amp;icep_sortBy=12&amp;icep_catId=3323&amp;icep_minPrice=&amp;icep_maxPrice=&amp;ipn=psmain&amp;icep_vectorid=229466&amp;kwid=902099&amp;mtid=824&amp;kw=lg" TargetMode="External"/><Relationship Id="rId72" Type="http://schemas.openxmlformats.org/officeDocument/2006/relationships/hyperlink" Target="https://amzn.to/2GJYCxw" TargetMode="External"/><Relationship Id="rId75" Type="http://schemas.openxmlformats.org/officeDocument/2006/relationships/hyperlink" Target="https://www.bhphotovideo.com/c/product/1512041-REG/tamron_f050_20mm_f_2_8_di_iii.html/BI/19619/KBID/12129/DFF/d10-v21-t1-x994970/SID/EZ" TargetMode="External"/><Relationship Id="rId74" Type="http://schemas.openxmlformats.org/officeDocument/2006/relationships/hyperlink" Target="https://amzn.to/38zcYOc" TargetMode="External"/><Relationship Id="rId77" Type="http://schemas.openxmlformats.org/officeDocument/2006/relationships/hyperlink" Target="https://phillipreeve.net/blog/review_voigtlander_21mm_f14_e/" TargetMode="External"/><Relationship Id="rId260" Type="http://schemas.openxmlformats.org/officeDocument/2006/relationships/hyperlink" Target="http://amzn.to/2faVsIu" TargetMode="External"/><Relationship Id="rId381" Type="http://schemas.openxmlformats.org/officeDocument/2006/relationships/drawing" Target="../drawings/drawing6.xml"/><Relationship Id="rId76" Type="http://schemas.openxmlformats.org/officeDocument/2006/relationships/hyperlink" Target="http://rover.ebay.com/rover/1/711-53200-19255-0/1?icep_ff3=9&amp;pub=5575076376&amp;toolid=10001&amp;campid=5338573609&amp;customid=&amp;icep_uq=tamron+20+2.8+osd+&amp;icep_sellerId=&amp;icep_ex_kw=&amp;icep_sortBy=12&amp;icep_catId=3323&amp;icep_minPrice=&amp;icep_maxPrice=&amp;ipn=psmain&amp;icep_vectorid=229466&amp;kwid=902099&amp;mtid=824&amp;kw=lg" TargetMode="External"/><Relationship Id="rId380" Type="http://schemas.openxmlformats.org/officeDocument/2006/relationships/hyperlink" Target="http://rover.ebay.com/rover/1/711-53200-19255-0/1?icep_ff3=9&amp;pub=5575076376&amp;toolid=10001&amp;campid=5338164340&amp;customid=&amp;icep_uq=sony+600+gm&amp;icep_sellerId=&amp;icep_ex_kw=&amp;icep_sortBy=12&amp;icep_catId=3323&amp;icep_minPrice=&amp;icep_maxPrice=&amp;ipn=psmain&amp;icep_vectorid=229466&amp;kwid=902099&amp;mtid=824&amp;kw=lg" TargetMode="External"/><Relationship Id="rId79" Type="http://schemas.openxmlformats.org/officeDocument/2006/relationships/hyperlink" Target="https://www.bhphotovideo.com/c/product/1480269-REG/voigtlander_ba352a_nokton_21mm_f_1_4_aspherical.html/BI/19619/KBID/12129/DFF/d10-v21-t1-x963269/SID/EZ" TargetMode="External"/><Relationship Id="rId78" Type="http://schemas.openxmlformats.org/officeDocument/2006/relationships/hyperlink" Target="https://amzn.to/2K7gHrC" TargetMode="External"/><Relationship Id="rId71" Type="http://schemas.openxmlformats.org/officeDocument/2006/relationships/hyperlink" Target="https://www.bhphotovideo.com/c/product/1393327-REG/tokina_firin_20mm_f_2_fe.html/BI/19619/KBID/12129/DFF/d10-v21-t1-x880327/SID/EZ" TargetMode="External"/><Relationship Id="rId70" Type="http://schemas.openxmlformats.org/officeDocument/2006/relationships/hyperlink" Target="https://amzn.to/2GDurZb" TargetMode="External"/><Relationship Id="rId139" Type="http://schemas.openxmlformats.org/officeDocument/2006/relationships/hyperlink" Target="https://amzn.to/2OlyeAf" TargetMode="External"/><Relationship Id="rId138" Type="http://schemas.openxmlformats.org/officeDocument/2006/relationships/hyperlink" Target="https://www.bhphotovideo.com/c/product/1389169-REG/zeiss_000000_2218_783_loxia_25mm_f_2_4_lens.html/BI/19619/KBID/12129/kw/ZE2524L/DFF/d10-v2-t1-xZE2524L" TargetMode="External"/><Relationship Id="rId259" Type="http://schemas.openxmlformats.org/officeDocument/2006/relationships/hyperlink" Target="https://phillipreeve.net/blog/review-zeiss-loxia-planar-250-t/" TargetMode="External"/><Relationship Id="rId137" Type="http://schemas.openxmlformats.org/officeDocument/2006/relationships/hyperlink" Target="https://amzn.to/2OlyeAf" TargetMode="External"/><Relationship Id="rId258" Type="http://schemas.openxmlformats.org/officeDocument/2006/relationships/hyperlink" Target="https://www.bhphotovideo.com/c/product/1526146-REG/voigtlander_apo_lanthar50_apo_lanthar_50mm_f_2_aspherical.html/BI/19619/KBID/12129/DFF/d10-v21-t1-x1008376/SID/EZ" TargetMode="External"/><Relationship Id="rId379" Type="http://schemas.openxmlformats.org/officeDocument/2006/relationships/hyperlink" Target="https://www.bhphotovideo.com/c/product/1485539-REG/sony_sel600f40gm_fe_600mm_f_4_gm.html/BI/19619/KBID/12129/DFF/d10-v21-t1-x968881/SID/EZ" TargetMode="External"/><Relationship Id="rId132" Type="http://schemas.openxmlformats.org/officeDocument/2006/relationships/hyperlink" Target="https://amzn.to/2ypHQiT" TargetMode="External"/><Relationship Id="rId253" Type="http://schemas.openxmlformats.org/officeDocument/2006/relationships/hyperlink" Target="https://www.bhphotovideo.com/c/product/1242613-REG/sony_sel50f18f_fe_50mm_f_1_8_lens.html/BI/19619/KBID/12129/kw/SO5018F/DFF/d10-v2-t1-xSO5018F" TargetMode="External"/><Relationship Id="rId374" Type="http://schemas.openxmlformats.org/officeDocument/2006/relationships/hyperlink" Target="https://amzn.to/3iQmhOg" TargetMode="External"/><Relationship Id="rId131" Type="http://schemas.openxmlformats.org/officeDocument/2006/relationships/hyperlink" Target="https://phillipreeve.net/blog/review-zeiss-batis-distagon-t-25mm-f2/" TargetMode="External"/><Relationship Id="rId252" Type="http://schemas.openxmlformats.org/officeDocument/2006/relationships/hyperlink" Target="http://amzn.to/2v2F5Se" TargetMode="External"/><Relationship Id="rId373" Type="http://schemas.openxmlformats.org/officeDocument/2006/relationships/hyperlink" Target="http://rover.ebay.com/rover/1/711-53200-19255-0/1?icep_ff3=9&amp;pub=5575076376&amp;toolid=10001&amp;campid=5338164340&amp;customid=&amp;icep_uq=zeiss+batis+135+2.8&amp;icep_sellerId=&amp;icep_ex_kw=&amp;icep_sortBy=12&amp;icep_catId=3323&amp;icep_minPrice=&amp;icep_maxPrice=&amp;ipn=psmain&amp;icep_vectorid=229466&amp;kwid=902099&amp;mtid=824&amp;kw=lg" TargetMode="External"/><Relationship Id="rId130" Type="http://schemas.openxmlformats.org/officeDocument/2006/relationships/hyperlink" Target="http://rover.ebay.com/rover/1/711-53200-19255-0/1?icep_ff3=10&amp;pub=5575076376&amp;toolid=10001&amp;campid=5338164340&amp;customid=&amp;icep_uq=sony+24-70+za&amp;icep_sellerId=&amp;icep_ex_kw=&amp;icep_sortBy=12&amp;icep_catId=&amp;icep_minPrice=&amp;icep_maxPrice=&amp;ipn=psmain&amp;icep_vectorid=229466&amp;kwid=902099&amp;mtid=824&amp;kw=lg" TargetMode="External"/><Relationship Id="rId251" Type="http://schemas.openxmlformats.org/officeDocument/2006/relationships/hyperlink" Target="https://phillipreeve.net/blog/review-sony-fe-1-850/" TargetMode="External"/><Relationship Id="rId372" Type="http://schemas.openxmlformats.org/officeDocument/2006/relationships/hyperlink" Target="https://www.bhphotovideo.com/c/product/1330083-REG/zeiss_2136_695_batis_135mm_f_2_8_lens.html/BI/19619/KBID/12129/DFF/d10-v21-t1-x814884/SID/EZ" TargetMode="External"/><Relationship Id="rId250" Type="http://schemas.openxmlformats.org/officeDocument/2006/relationships/hyperlink" Target="http://rover.ebay.com/rover/1/711-53200-19255-0/1?icep_ff3=9&amp;pub=5575076376&amp;toolid=10001&amp;campid=5338164340&amp;customid=&amp;icep_uq=samyang+50+1.4+sony+af&amp;icep_sellerId=&amp;icep_ex_kw=&amp;icep_sortBy=12&amp;icep_catId=3323&amp;icep_minPrice=&amp;icep_maxPrice=&amp;ipn=psmain&amp;icep_vectorid=229466&amp;kwid=902099&amp;mtid=824&amp;kw=lg" TargetMode="External"/><Relationship Id="rId371" Type="http://schemas.openxmlformats.org/officeDocument/2006/relationships/hyperlink" Target="https://amzn.to/319GJA4" TargetMode="External"/><Relationship Id="rId136" Type="http://schemas.openxmlformats.org/officeDocument/2006/relationships/hyperlink" Target="https://phillipreeve.net/blog/review-zeiss-loxia-2-4-25mm-distagon/" TargetMode="External"/><Relationship Id="rId257" Type="http://schemas.openxmlformats.org/officeDocument/2006/relationships/hyperlink" Target="https://amzn.to/2uCNQ9n" TargetMode="External"/><Relationship Id="rId378" Type="http://schemas.openxmlformats.org/officeDocument/2006/relationships/hyperlink" Target="http://rover.ebay.com/rover/1/711-53200-19255-0/1?icep_ff3=9&amp;pub=5575076376&amp;toolid=10001&amp;campid=5338164340&amp;customid=&amp;icep_uq=sony+400+gm&amp;icep_sellerId=&amp;icep_ex_kw=&amp;icep_sortBy=12&amp;icep_catId=3323&amp;icep_minPrice=&amp;icep_maxPrice=&amp;ipn=psmain&amp;icep_vectorid=229466&amp;kwid=902099&amp;mtid=824&amp;kw=lg" TargetMode="External"/><Relationship Id="rId135" Type="http://schemas.openxmlformats.org/officeDocument/2006/relationships/hyperlink" Target="http://rover.ebay.com/rover/1/711-53200-19255-0/1?icep_ff3=9&amp;pub=5575076376&amp;toolid=10001&amp;campid=5338573609&amp;customid=&amp;icep_uq=Zeiss+batis+25mm&amp;icep_sellerId=&amp;icep_ex_kw=&amp;icep_sortBy=12&amp;icep_catId=3323&amp;icep_minPrice=&amp;icep_maxPrice=&amp;ipn=psmain&amp;icep_vectorid=229466&amp;kwid=902099&amp;mtid=824&amp;kw=lg" TargetMode="External"/><Relationship Id="rId256" Type="http://schemas.openxmlformats.org/officeDocument/2006/relationships/hyperlink" Target="https://docs.google.com/document/d/115s6JHR9S4pBUesKJEkgWeoP8rcGbT31p6fQSg5SFQM/edit?usp=sharing" TargetMode="External"/><Relationship Id="rId377" Type="http://schemas.openxmlformats.org/officeDocument/2006/relationships/hyperlink" Target="https://www.bhphotovideo.com/c/product/1369634-REG/sony_fe_400mm_f_2_8_gm.html/BI/19619/KBID/12129/DFF/d10-v21-t1-x905722/SID/EZ" TargetMode="External"/><Relationship Id="rId134" Type="http://schemas.openxmlformats.org/officeDocument/2006/relationships/hyperlink" Target="https://amzn.to/2L20DIj" TargetMode="External"/><Relationship Id="rId255" Type="http://schemas.openxmlformats.org/officeDocument/2006/relationships/hyperlink" Target="http://rover.ebay.com/rover/1/711-53200-19255-0/1?icep_ff3=10&amp;pub=5575076376&amp;toolid=10001&amp;campid=5338164340&amp;customid=&amp;icep_uq=sony+50+1.8+fe+-oss&amp;icep_sellerId=&amp;icep_ex_kw=&amp;icep_sortBy=12&amp;icep_catId=&amp;icep_minPrice=&amp;icep_maxPrice=&amp;ipn=psmain&amp;icep_vectorid=229466&amp;kwid=902099&amp;mtid=824&amp;kw=lg" TargetMode="External"/><Relationship Id="rId376" Type="http://schemas.openxmlformats.org/officeDocument/2006/relationships/hyperlink" Target="http://rover.ebay.com/rover/1/711-53200-19255-0/1?icep_ff3=9&amp;pub=5575076376&amp;toolid=10001&amp;campid=5338164340&amp;customid=&amp;icep_uq=sony+200-600&amp;icep_sellerId=&amp;icep_ex_kw=&amp;icep_sortBy=12&amp;icep_catId=3323&amp;icep_minPrice=&amp;icep_maxPrice=&amp;ipn=psmain&amp;icep_vectorid=229466&amp;kwid=902099&amp;mtid=824&amp;kw=lg" TargetMode="External"/><Relationship Id="rId133" Type="http://schemas.openxmlformats.org/officeDocument/2006/relationships/hyperlink" Target="https://www.bhphotovideo.com/c/product/1140832-REG/zeiss_2103_750_25mm_f_2_0_batis_wide.html/BI/19619/KBID/12129/DFF/d10-v21-t1-x627141/SID/EZ" TargetMode="External"/><Relationship Id="rId254" Type="http://schemas.openxmlformats.org/officeDocument/2006/relationships/hyperlink" Target="http://amzn.to/2wyHB25" TargetMode="External"/><Relationship Id="rId375" Type="http://schemas.openxmlformats.org/officeDocument/2006/relationships/hyperlink" Target="https://www.bhphotovideo.com/c/product/1485540-REG/sony_sel200600g_fe_200_600mm_f_5_6_6_3_g.html/BI/19619/KBID/12129/DFF/d10-v21-t1-x968882/SID/EZ" TargetMode="External"/><Relationship Id="rId62" Type="http://schemas.openxmlformats.org/officeDocument/2006/relationships/hyperlink" Target="https://amzn.to/2wBkbOW" TargetMode="External"/><Relationship Id="rId61" Type="http://schemas.openxmlformats.org/officeDocument/2006/relationships/hyperlink" Target="http://rover.ebay.com/rover/1/711-53200-19255-0/1?icep_ff3=9&amp;pub=5575076376&amp;toolid=10001&amp;campid=5338573609&amp;customid=&amp;icep_uq=viltrox+20+1.8+sony&amp;icep_sellerId=&amp;icep_ex_kw=&amp;icep_sortBy=12&amp;icep_catId=3323&amp;icep_minPrice=&amp;icep_maxPrice=&amp;ipn=psmain&amp;icep_vectorid=229466&amp;kwid=902099&amp;mtid=824&amp;kw=lg" TargetMode="External"/><Relationship Id="rId64" Type="http://schemas.openxmlformats.org/officeDocument/2006/relationships/hyperlink" Target="http://rover.ebay.com/rover/1/711-53200-19255-0/1?icep_ff3=9&amp;pub=5575076376&amp;toolid=10001&amp;campid=5338573609&amp;customid=&amp;icep_uq=sony+g+20mm&amp;icep_sellerId=&amp;icep_ex_kw=&amp;icep_sortBy=12&amp;icep_catId=3323&amp;icep_minPrice=&amp;icep_maxPrice=&amp;ipn=psmain&amp;icep_vectorid=229466&amp;kwid=902099&amp;mtid=824&amp;kw=lg" TargetMode="External"/><Relationship Id="rId63" Type="http://schemas.openxmlformats.org/officeDocument/2006/relationships/hyperlink" Target="https://www.bhphotovideo.com/c/product/1549627-REG/sony_sel20f18g_fe_20mm_f_1_8_g.html/BI/19619/KBID/12129/DFF/d10-v21-t1-x1029561/SID/EZ" TargetMode="External"/><Relationship Id="rId66" Type="http://schemas.openxmlformats.org/officeDocument/2006/relationships/hyperlink" Target="http://amzn.to/2vlG2Yq" TargetMode="External"/><Relationship Id="rId172" Type="http://schemas.openxmlformats.org/officeDocument/2006/relationships/hyperlink" Target="https://amzn.to/2LRSMOS" TargetMode="External"/><Relationship Id="rId293" Type="http://schemas.openxmlformats.org/officeDocument/2006/relationships/hyperlink" Target="http://amzn.to/2vbFQKj" TargetMode="External"/><Relationship Id="rId65" Type="http://schemas.openxmlformats.org/officeDocument/2006/relationships/hyperlink" Target="https://phillipreeve.net/blog/tokina-firin-20mm-f2-fe-review-a-good-deal/" TargetMode="External"/><Relationship Id="rId171" Type="http://schemas.openxmlformats.org/officeDocument/2006/relationships/hyperlink" Target="https://phillipreeve.net/blog/review-sony-fe-35mm-1-4-za/" TargetMode="External"/><Relationship Id="rId292" Type="http://schemas.openxmlformats.org/officeDocument/2006/relationships/hyperlink" Target="https://www.bhphotovideo.com/c/product/1380865-REG/sony_fe_70_200mm_f_4_g.html/BI/19619/KBID/12129/kw/SO702004F/DFF/d10-v2-t1-xSO702004F" TargetMode="External"/><Relationship Id="rId68" Type="http://schemas.openxmlformats.org/officeDocument/2006/relationships/hyperlink" Target="http://amzn.to/2vvtDkM" TargetMode="External"/><Relationship Id="rId170" Type="http://schemas.openxmlformats.org/officeDocument/2006/relationships/hyperlink" Target="http://rover.ebay.com/rover/1/711-53200-19255-0/1?icep_ff3=9&amp;pub=5575076376&amp;toolid=10001&amp;campid=5338573609&amp;customid=&amp;icep_uq=Voigtlander+Sony+35mm+1.2&amp;icep_sellerId=&amp;icep_ex_kw=&amp;icep_sortBy=12&amp;icep_catId=3323&amp;icep_minPrice=&amp;icep_maxPrice=&amp;ipn=psmain&amp;icep_vectorid=229466&amp;kwid=902099&amp;mtid=824&amp;kw=lg" TargetMode="External"/><Relationship Id="rId291" Type="http://schemas.openxmlformats.org/officeDocument/2006/relationships/hyperlink" Target="http://amzn.to/2fbeX3x" TargetMode="External"/><Relationship Id="rId67" Type="http://schemas.openxmlformats.org/officeDocument/2006/relationships/hyperlink" Target="https://www.bhphotovideo.com/c/product/1281299-REG/tokina_firin_20mm_f_2_fe.html/BI/19619/KBID/12129/kw/TO202E/DFF/d10-v2-t1-xTO202E" TargetMode="External"/><Relationship Id="rId290" Type="http://schemas.openxmlformats.org/officeDocument/2006/relationships/hyperlink" Target="https://phillipreeve.net/blog/review-sony-fe-470-200-g-oss/https://phillipreeve.net/blog/review-sony-fe-470-200-g-oss/" TargetMode="External"/><Relationship Id="rId60" Type="http://schemas.openxmlformats.org/officeDocument/2006/relationships/hyperlink" Target="https://amzn.to/2GL8iYV" TargetMode="External"/><Relationship Id="rId165" Type="http://schemas.openxmlformats.org/officeDocument/2006/relationships/hyperlink" Target="https://amzn.to/2LiHhxc" TargetMode="External"/><Relationship Id="rId286" Type="http://schemas.openxmlformats.org/officeDocument/2006/relationships/hyperlink" Target="https://amzn.to/2SVN1Ao" TargetMode="External"/><Relationship Id="rId69" Type="http://schemas.openxmlformats.org/officeDocument/2006/relationships/hyperlink" Target="http://rover.ebay.com/rover/1/711-53200-19255-0/1?icep_ff3=10&amp;pub=5575076376&amp;toolid=10001&amp;campid=5338164340&amp;customid=&amp;icep_uq=tokina+firin+20&amp;icep_sellerId=&amp;icep_ex_kw=&amp;icep_sortBy=12&amp;icep_catId=&amp;icep_minPrice=&amp;icep_maxPrice=&amp;ipn=psmain&amp;icep_vectorid=229466&amp;kwid=902099&amp;mtid=824&amp;kw=lg" TargetMode="External"/><Relationship Id="rId164" Type="http://schemas.openxmlformats.org/officeDocument/2006/relationships/hyperlink" Target="https://phillipreeve.net/blog/review-sigma-35mm-1-2-art-dg-dn/" TargetMode="External"/><Relationship Id="rId285" Type="http://schemas.openxmlformats.org/officeDocument/2006/relationships/hyperlink" Target="http://rover.ebay.com/rover/1/711-53200-19255-0/1?icep_ff3=9&amp;pub=5575076376&amp;toolid=10001&amp;campid=5338573609&amp;customid=&amp;icep_uq=tamron+70-180+sony&amp;icep_sellerId=&amp;icep_ex_kw=&amp;icep_sortBy=12&amp;icep_catId=3323&amp;icep_minPrice=&amp;icep_maxPrice=&amp;ipn=psmain&amp;icep_vectorid=229466&amp;kwid=902099&amp;mtid=824&amp;kw=lg" TargetMode="External"/><Relationship Id="rId163" Type="http://schemas.openxmlformats.org/officeDocument/2006/relationships/hyperlink" Target="http://rover.ebay.com/rover/1/711-53200-19255-0/1?icep_ff3=10&amp;pub=5575076376&amp;toolid=10001&amp;campid=5338164340&amp;customid=&amp;icep_uq=sony+28-135&amp;icep_sellerId=&amp;icep_ex_kw=&amp;icep_sortBy=12&amp;icep_catId=&amp;icep_minPrice=&amp;icep_maxPrice=&amp;ipn=psmain&amp;icep_vectorid=229466&amp;kwid=902099&amp;mtid=824&amp;kw=lg" TargetMode="External"/><Relationship Id="rId284" Type="http://schemas.openxmlformats.org/officeDocument/2006/relationships/hyperlink" Target="https://www.bhphotovideo.com/c/product/1556769-REG/tamron_afa056s_700_70_180mm_f_2_8_di_iii.html/BI/19619/KBID/12129/DFF/d10-v21-t1-x1038251/SID/EZ" TargetMode="External"/><Relationship Id="rId162" Type="http://schemas.openxmlformats.org/officeDocument/2006/relationships/hyperlink" Target="http://amzn.to/2wlpg9b" TargetMode="External"/><Relationship Id="rId283" Type="http://schemas.openxmlformats.org/officeDocument/2006/relationships/hyperlink" Target="http://rover.ebay.com/rover/1/711-53200-19255-0/1?icep_ff3=9&amp;pub=5575076376&amp;toolid=10001&amp;campid=5338164340&amp;customid=&amp;icep_uq=sony+gm+70-200&amp;icep_sellerId=&amp;icep_ex_kw=&amp;icep_sortBy=12&amp;icep_catId=3323&amp;icep_minPrice=&amp;icep_maxPrice=&amp;ipn=psmain&amp;icep_vectorid=229466&amp;kwid=902099&amp;mtid=824&amp;kw=lg" TargetMode="External"/><Relationship Id="rId169" Type="http://schemas.openxmlformats.org/officeDocument/2006/relationships/hyperlink" Target="https://www.bhphotovideo.com/c/product/1576544-REG/voigtlander_ba355c_nokton_35mm_f_1_2_aspherical.html/BI/19619/KBID/12129/DFF/d10-v21-t1-x1056288/SID/EZ" TargetMode="External"/><Relationship Id="rId168" Type="http://schemas.openxmlformats.org/officeDocument/2006/relationships/hyperlink" Target="https://amzn.to/2Zc0AR8" TargetMode="External"/><Relationship Id="rId289" Type="http://schemas.openxmlformats.org/officeDocument/2006/relationships/hyperlink" Target="https://www.bhphotovideo.com/c/product/1582345-REG/tamron_a047_70_300mm_f_4_5_6_3_di_iii.html/BI/19619/KBID/12129/DFF/d10-v21-t1-x1073545/SID/EZ" TargetMode="External"/><Relationship Id="rId167" Type="http://schemas.openxmlformats.org/officeDocument/2006/relationships/hyperlink" Target="http://rover.ebay.com/rover/1/711-53200-19255-0/1?icep_ff3=9&amp;pub=5575076376&amp;toolid=10001&amp;campid=5338573609&amp;customid=&amp;icep_uq=sigma+art+35+1.2+-1.4+sony&amp;icep_sellerId=&amp;icep_ex_kw=&amp;icep_sortBy=12&amp;icep_catId=3323&amp;icep_minPrice=&amp;icep_maxPrice=&amp;ipn=psmain&amp;icep_vectorid=229466&amp;kwid=902099&amp;mtid=824&amp;kw=lg" TargetMode="External"/><Relationship Id="rId288" Type="http://schemas.openxmlformats.org/officeDocument/2006/relationships/hyperlink" Target="http://rover.ebay.com/rover/1/711-53200-19255-0/1?icep_ff3=9&amp;pub=5575076376&amp;toolid=10001&amp;campid=5338164340&amp;customid=&amp;icep_uq=sony+70-300+g+oss+-ssm&amp;icep_sellerId=&amp;icep_ex_kw=&amp;icep_sortBy=12&amp;icep_catId=3323&amp;icep_minPrice=&amp;icep_maxPrice=&amp;ipn=psmain&amp;icep_vectorid=229466&amp;kwid=902099&amp;mtid=824&amp;kw=lg" TargetMode="External"/><Relationship Id="rId166" Type="http://schemas.openxmlformats.org/officeDocument/2006/relationships/hyperlink" Target="https://www.bhphotovideo.com/c/product/1492967-REG/sigma_341969_35mm_f_1_2_dg_dn.html/BI/19619/KBID/12129/DFF/d10-v21-t1-x976038/SID/EZ" TargetMode="External"/><Relationship Id="rId287" Type="http://schemas.openxmlformats.org/officeDocument/2006/relationships/hyperlink" Target="https://www.bhphotovideo.com/c/product/1242614-REG/sony_sel70300g_fe_70_300mm_f_4_5_5_6_g.html/BI/19619/KBID/12129/DFF/d10-v21-t1-x722726/SID/EZ" TargetMode="External"/><Relationship Id="rId51" Type="http://schemas.openxmlformats.org/officeDocument/2006/relationships/hyperlink" Target="https://www.bhphotovideo.com/c/product/1503295-REG/samyang_syio18af_e_af_18mm_f_2_8_fe.html/BI/19619/KBID/12129/DFF/d10-v21-t1-x985623/SID/EZ" TargetMode="External"/><Relationship Id="rId50" Type="http://schemas.openxmlformats.org/officeDocument/2006/relationships/hyperlink" Target="http://rover.ebay.com/rover/1/711-53200-19255-0/1?icep_ff3=9&amp;pub=5575076376&amp;toolid=10001&amp;campid=5338573609&amp;customid=&amp;icep_uq=batis+18+2.8&amp;icep_sellerId=&amp;icep_ex_kw=&amp;icep_sortBy=12&amp;icep_catId=3323&amp;icep_minPrice=&amp;icep_maxPrice=&amp;ipn=psmain&amp;icep_vectorid=229466&amp;kwid=902099&amp;mtid=824&amp;kw=lg" TargetMode="External"/><Relationship Id="rId53" Type="http://schemas.openxmlformats.org/officeDocument/2006/relationships/hyperlink" Target="http://rover.ebay.com/rover/1/711-53200-19255-0/1?icep_ff3=9&amp;pub=5575076376&amp;toolid=10001&amp;campid=5338573609&amp;customid=&amp;icep_uq=samyang+18+2.8+sony&amp;icep_sellerId=&amp;icep_ex_kw=&amp;icep_sortBy=12&amp;icep_catId=3323&amp;icep_minPrice=&amp;icep_maxPrice=&amp;ipn=psmain&amp;icep_vectorid=229466&amp;kwid=902099&amp;mtid=824&amp;kw=lg" TargetMode="External"/><Relationship Id="rId52" Type="http://schemas.openxmlformats.org/officeDocument/2006/relationships/hyperlink" Target="https://www.bhphotovideo.com/c/product/1503295-REG/samyang_syio18af_e_af_18mm_f_2_8_fe.html/BI/19619/KBID/12129/DFF/d10-v21-t1-x985623/SID/EZ" TargetMode="External"/><Relationship Id="rId55" Type="http://schemas.openxmlformats.org/officeDocument/2006/relationships/hyperlink" Target="https://www.bhphotovideo.com/c/product/1393490-REG/sigma_20mm_f_1_4_dg_hsm.html/BI/19619/KBID/12129/DFF/d10-v21-t1-x881155/SID/EZ" TargetMode="External"/><Relationship Id="rId161" Type="http://schemas.openxmlformats.org/officeDocument/2006/relationships/hyperlink" Target="https://www.bhphotovideo.com/c/product/1082051-REG/sony_selp28135g_e_pz_28_135mm_f_4.html/BI/19619/KBID/12129/DFF/d10-v21-t1-x556056/SID/EZ" TargetMode="External"/><Relationship Id="rId282" Type="http://schemas.openxmlformats.org/officeDocument/2006/relationships/hyperlink" Target="https://www.bhphotovideo.com/c/product/1222776-REG/sony_sel70200gm_fe_70_200mm_f_2_8_gm.html/BI/19619/KBID/12129/DFF/d10-v21-t1-x746807/SID/EZ" TargetMode="External"/><Relationship Id="rId54" Type="http://schemas.openxmlformats.org/officeDocument/2006/relationships/hyperlink" Target="https://amzn.to/2K4J7nh" TargetMode="External"/><Relationship Id="rId160" Type="http://schemas.openxmlformats.org/officeDocument/2006/relationships/hyperlink" Target="http://amzn.to/2v2kiy9" TargetMode="External"/><Relationship Id="rId281" Type="http://schemas.openxmlformats.org/officeDocument/2006/relationships/hyperlink" Target="https://amzn.to/2KbaJGn" TargetMode="External"/><Relationship Id="rId57" Type="http://schemas.openxmlformats.org/officeDocument/2006/relationships/hyperlink" Target="http://rover.ebay.com/rover/1/711-53200-19255-0/1?icep_ff3=9&amp;pub=5575076376&amp;toolid=10001&amp;campid=5338573609&amp;customid=&amp;icep_uq=sigma+art+20+1.4+sony&amp;icep_sellerId=&amp;icep_ex_kw=&amp;icep_sortBy=12&amp;icep_catId=3323&amp;icep_minPrice=&amp;icep_maxPrice=&amp;ipn=psmain&amp;icep_vectorid=229466&amp;kwid=902099&amp;mtid=824&amp;kw=lg" TargetMode="External"/><Relationship Id="rId280" Type="http://schemas.openxmlformats.org/officeDocument/2006/relationships/hyperlink" Target="http://rover.ebay.com/rover/1/711-53200-19255-0/1?icep_ff3=9&amp;pub=5575076376&amp;toolid=10001&amp;campid=5338164340&amp;customid=&amp;icep_uq=sigma+70+2.8+macro+sony&amp;icep_sellerId=&amp;icep_ex_kw=&amp;icep_sortBy=12&amp;icep_catId=3323&amp;icep_minPrice=&amp;icep_maxPrice=&amp;ipn=psmain&amp;icep_vectorid=229466&amp;kwid=902099&amp;mtid=824&amp;kw=lg" TargetMode="External"/><Relationship Id="rId56" Type="http://schemas.openxmlformats.org/officeDocument/2006/relationships/hyperlink" Target="https://amzn.to/2Wy0d3F" TargetMode="External"/><Relationship Id="rId159" Type="http://schemas.openxmlformats.org/officeDocument/2006/relationships/hyperlink" Target="http://rover.ebay.com/rover/1/711-53200-19255-0/1?icep_ff3=10&amp;pub=5575153444&amp;toolid=10001&amp;campid=5338162593&amp;customid=&amp;icep_uq=Sony+28-70+FE&amp;icep_sellerId=&amp;icep_ex_kw=&amp;icep_sortBy=12&amp;icep_catId=&amp;icep_minPrice=&amp;icep_maxPrice=&amp;ipn=psmain&amp;icep_vectorid=229466&amp;kwid=902099&amp;mtid=824&amp;kw=lg" TargetMode="External"/><Relationship Id="rId59" Type="http://schemas.openxmlformats.org/officeDocument/2006/relationships/hyperlink" Target="https://www.bhphotovideo.com/c/product/1469187-REG/viltrox_pfu_rbmh_20mm_f1_8_asph_e_mount_20mm_f_1_8_for_sony.html/BI/19619/KBID/12129/DFF/d10-v21-t1-x954299/SID/EZ" TargetMode="External"/><Relationship Id="rId154" Type="http://schemas.openxmlformats.org/officeDocument/2006/relationships/hyperlink" Target="http://rover.ebay.com/rover/1/711-53200-19255-0/1?icep_ff3=9&amp;pub=5575076376&amp;toolid=10001&amp;campid=5338573609&amp;customid=&amp;icep_uq=tamron+28-75+sony&amp;icep_sellerId=&amp;icep_ex_kw=&amp;icep_sortBy=12&amp;icep_catId=3323&amp;icep_minPrice=&amp;icep_maxPrice=&amp;ipn=psmain&amp;icep_vectorid=229466&amp;kwid=902099&amp;mtid=824&amp;kw=lg" TargetMode="External"/><Relationship Id="rId275" Type="http://schemas.openxmlformats.org/officeDocument/2006/relationships/hyperlink" Target="https://www.bhphotovideo.com/c/product/1350400-REG/voigtlander_macro_apo_lanthar_65mm_f2.html/BI/19619/KBID/12129/DFF/d10-v21-t1-x835677/SID/EZ" TargetMode="External"/><Relationship Id="rId58" Type="http://schemas.openxmlformats.org/officeDocument/2006/relationships/hyperlink" Target="https://amzn.to/2LRRbJ5" TargetMode="External"/><Relationship Id="rId153" Type="http://schemas.openxmlformats.org/officeDocument/2006/relationships/hyperlink" Target="https://amzn.to/2ZmSzdU" TargetMode="External"/><Relationship Id="rId274" Type="http://schemas.openxmlformats.org/officeDocument/2006/relationships/hyperlink" Target="https://amzn.to/2LU48SI" TargetMode="External"/><Relationship Id="rId152" Type="http://schemas.openxmlformats.org/officeDocument/2006/relationships/hyperlink" Target="https://www.bhphotovideo.com/c/product/1393332-REG/tamron_a036_28_75mm_f_2_8_di_iii.html/BI/19619/KBID/12129/DFF/d10-v21-t1-x892059/SID/EZ" TargetMode="External"/><Relationship Id="rId273" Type="http://schemas.openxmlformats.org/officeDocument/2006/relationships/hyperlink" Target="https://phillipreeve.net/blog/voigtlander-65-f2-apo-macro-review/" TargetMode="External"/><Relationship Id="rId151" Type="http://schemas.openxmlformats.org/officeDocument/2006/relationships/hyperlink" Target="https://amzn.to/2ST5uxq" TargetMode="External"/><Relationship Id="rId272" Type="http://schemas.openxmlformats.org/officeDocument/2006/relationships/hyperlink" Target="http://rover.ebay.com/rover/1/711-53200-19255-0/1?icep_ff3=9&amp;pub=5575076376&amp;toolid=10001&amp;campid=5338164340&amp;customid=&amp;icep_uq=sony+55+1.8&amp;icep_sellerId=&amp;icep_ex_kw=&amp;icep_sortBy=12&amp;icep_catId=3323&amp;icep_minPrice=&amp;icep_maxPrice=&amp;ipn=psmain&amp;icep_vectorid=229466&amp;kwid=902099&amp;mtid=824&amp;kw=lg" TargetMode="External"/><Relationship Id="rId158" Type="http://schemas.openxmlformats.org/officeDocument/2006/relationships/hyperlink" Target="https://www.amazon.de/gp/product/B00HSHFPD0/ref=as_li_tl?ie=UTF8&amp;tag=wwwphillipree-21&amp;camp=1638&amp;creative=6742&amp;linkCode=as2&amp;creativeASIN=B00HSHFPD0&amp;linkId=6701f30673f8a4071232ca85e1953506" TargetMode="External"/><Relationship Id="rId279" Type="http://schemas.openxmlformats.org/officeDocument/2006/relationships/hyperlink" Target="https://amzn.to/3jckrYw" TargetMode="External"/><Relationship Id="rId157" Type="http://schemas.openxmlformats.org/officeDocument/2006/relationships/hyperlink" Target="https://www.bhphotovideo.com/c/product/1015472-REG/sony_sel2870_fe_28_70mm_f_3_5_5_6_oss.html/BI/19619/KBID/12129/DFF/d10-v21-t1-x473993/SID/EZ" TargetMode="External"/><Relationship Id="rId278" Type="http://schemas.openxmlformats.org/officeDocument/2006/relationships/hyperlink" Target="https://www.bhphotovideo.com/c/product/1393483-REG/sigma_70mm_f_2_8_dg_macro.html/BI/19619/KBID/12129/DFF/d10-v21-t1-x895111/SID/EZ" TargetMode="External"/><Relationship Id="rId156" Type="http://schemas.openxmlformats.org/officeDocument/2006/relationships/hyperlink" Target="https://www.amazon.com/gp/product/B00FYOFADE/ref=as_li_tl?ie=UTF8&amp;tag=wwwphillipree-20&amp;camp=1789&amp;creative=9325&amp;linkCode=as2&amp;creativeASIN=B00FYOFADE&amp;linkId=96720b245156eae53bb1a672d4453d3f" TargetMode="External"/><Relationship Id="rId277" Type="http://schemas.openxmlformats.org/officeDocument/2006/relationships/hyperlink" Target="https://amzn.to/2YGO9te" TargetMode="External"/><Relationship Id="rId155" Type="http://schemas.openxmlformats.org/officeDocument/2006/relationships/hyperlink" Target="http://rover.ebay.com/rover/1/711-53200-19255-0/1?icep_ff3=9&amp;pub=5575076376&amp;toolid=10001&amp;campid=5338573609&amp;customid=&amp;icep_uq=tamron+28-200+sony&amp;icep_sellerId=&amp;icep_ex_kw=&amp;icep_sortBy=12&amp;icep_catId=3323&amp;icep_minPrice=&amp;icep_maxPrice=&amp;ipn=psmain&amp;icep_vectorid=229466&amp;kwid=902099&amp;mtid=824&amp;kw=lg" TargetMode="External"/><Relationship Id="rId276" Type="http://schemas.openxmlformats.org/officeDocument/2006/relationships/hyperlink" Target="http://rover.ebay.com/rover/1/711-53200-19255-0/1?icep_ff3=9&amp;pub=5575076376&amp;toolid=10001&amp;campid=5338164340&amp;customid=&amp;icep_uq=voigtlander+65+apo+sony&amp;icep_sellerId=&amp;icep_ex_kw=&amp;icep_sortBy=12&amp;icep_catId=3323&amp;icep_minPrice=&amp;icep_maxPrice=&amp;ipn=psmain&amp;icep_vectorid=229466&amp;kwid=902099&amp;mtid=824&amp;kw=lg" TargetMode="External"/><Relationship Id="rId107" Type="http://schemas.openxmlformats.org/officeDocument/2006/relationships/hyperlink" Target="https://www.bhphotovideo.com/c/product/1512042-REG/tamron_f051_24mm_f_2_8_di_iii.html/BI/19619/KBID/12129/DFF/d10-v21-t1-x994971/SID/EZ" TargetMode="External"/><Relationship Id="rId228" Type="http://schemas.openxmlformats.org/officeDocument/2006/relationships/hyperlink" Target="https://www.bhphotovideo.com/c/product/1436738-REG/zeiss_000000_2239_137_batis_40mm_f_2_cf.html/BI/19619/KBID/12129/DFF/d10-v21-t1-x915694/SID/EZ" TargetMode="External"/><Relationship Id="rId349" Type="http://schemas.openxmlformats.org/officeDocument/2006/relationships/hyperlink" Target="http://rover.ebay.com/rover/1/711-53200-19255-0/1?icep_ff3=9&amp;pub=5575076376&amp;toolid=10001&amp;campid=5338164340&amp;customid=&amp;icep_uq=sigma+sony+gm+100-400&amp;icep_sellerId=&amp;icep_ex_kw=&amp;icep_sortBy=12&amp;icep_catId=3323&amp;icep_minPrice=&amp;icep_maxPrice=&amp;ipn=psmain&amp;icep_vectorid=229466&amp;kwid=902099&amp;mtid=824&amp;kw=lg" TargetMode="External"/><Relationship Id="rId106" Type="http://schemas.openxmlformats.org/officeDocument/2006/relationships/hyperlink" Target="https://amzn.to/34hgYPr" TargetMode="External"/><Relationship Id="rId227" Type="http://schemas.openxmlformats.org/officeDocument/2006/relationships/hyperlink" Target="https://amzn.to/2LUN0MF" TargetMode="External"/><Relationship Id="rId348" Type="http://schemas.openxmlformats.org/officeDocument/2006/relationships/hyperlink" Target="https://www.bhphotovideo.com/c/product/1568623-REG/sigma_100_400mm_f_5_6_3_dg_dn.html/BI/19619/KBID/12129/DFF/d10-v21-t1-x1050655/SID/EZ" TargetMode="External"/><Relationship Id="rId105" Type="http://schemas.openxmlformats.org/officeDocument/2006/relationships/hyperlink" Target="https://phillipreeve.net/blog/review-tamron-24mm-f-2-8-di-iii-osd-m12/" TargetMode="External"/><Relationship Id="rId226" Type="http://schemas.openxmlformats.org/officeDocument/2006/relationships/hyperlink" Target="https://phillipreeve.net/blog/review-zeiss-batis-2-40-cf/" TargetMode="External"/><Relationship Id="rId347" Type="http://schemas.openxmlformats.org/officeDocument/2006/relationships/hyperlink" Target="http://rover.ebay.com/rover/1/711-53200-19255-0/1?icep_ff3=10&amp;pub=5575076376&amp;toolid=10001&amp;campid=5338164340&amp;customid=&amp;icep_uq=tokina+firin+macro&amp;icep_sellerId=&amp;icep_ex_kw=&amp;icep_sortBy=12&amp;icep_catId=&amp;icep_minPrice=&amp;icep_maxPrice=&amp;ipn=psmain&amp;icep_vectorid=229466&amp;kwid=902099&amp;mtid=824&amp;kw=lg" TargetMode="External"/><Relationship Id="rId104" Type="http://schemas.openxmlformats.org/officeDocument/2006/relationships/hyperlink" Target="http://rover.ebay.com/rover/1/711-53200-19255-0/1?icep_ff3=9&amp;pub=5575076376&amp;toolid=10001&amp;campid=5338573609&amp;customid=&amp;icep_uq=samyang+af+24mm+2.8+sony&amp;icep_sellerId=&amp;icep_ex_kw=&amp;icep_sortBy=12&amp;icep_catId=3323&amp;icep_minPrice=&amp;icep_maxPrice=&amp;ipn=psmain&amp;icep_vectorid=229466&amp;kwid=902099&amp;mtid=824&amp;kw=lg" TargetMode="External"/><Relationship Id="rId225" Type="http://schemas.openxmlformats.org/officeDocument/2006/relationships/hyperlink" Target="http://rover.ebay.com/rover/1/711-53200-19255-0/1?icep_ff3=9&amp;pub=5575076376&amp;toolid=10001&amp;campid=5338164340&amp;customid=&amp;icep_uq=sigma+40+1.4+art+sony&amp;icep_sellerId=&amp;icep_ex_kw=&amp;icep_sortBy=12&amp;icep_catId=3323&amp;icep_minPrice=&amp;icep_maxPrice=&amp;ipn=psmain&amp;icep_vectorid=229466&amp;kwid=902099&amp;mtid=824&amp;kw=lg" TargetMode="External"/><Relationship Id="rId346" Type="http://schemas.openxmlformats.org/officeDocument/2006/relationships/hyperlink" Target="https://www.amazon.de/Tokina-FiRIN-Makroobjektiv-Vollformatobjektiv-Mount/dp/B07R1KVZT9/ref=as_li_ss_tl?__mk_de_DE=%C3%85M%C3%85%C5%BD%C3%95%C3%91&amp;crid=27PITEVDHE0QD&amp;keywords=tokina+firin+100mm+f2.8+fe&amp;qid=1559375443&amp;s=ce-de&amp;sprefix=tokina+firin+100,electronics,147&amp;sr=1-1&amp;linkCode=sl1&amp;tag=phillipreevede-21&amp;linkId=4c09b31d0be3bd64b2efe254f502e267&amp;language=de_DE" TargetMode="External"/><Relationship Id="rId109" Type="http://schemas.openxmlformats.org/officeDocument/2006/relationships/hyperlink" Target="http://rover.ebay.com/rover/1/711-53200-19255-0/1?icep_ff3=9&amp;pub=5575076376&amp;toolid=10001&amp;campid=5338573609&amp;customid=&amp;icep_uq=tamron+24+2.8+osd+&amp;icep_sellerId=&amp;icep_ex_kw=&amp;icep_sortBy=12&amp;icep_catId=3323&amp;icep_minPrice=&amp;icep_maxPrice=&amp;ipn=psmain&amp;icep_vectorid=229466&amp;kwid=902099&amp;mtid=824&amp;kw=lg" TargetMode="External"/><Relationship Id="rId108" Type="http://schemas.openxmlformats.org/officeDocument/2006/relationships/hyperlink" Target="https://amzn.to/38yg1G1" TargetMode="External"/><Relationship Id="rId229" Type="http://schemas.openxmlformats.org/officeDocument/2006/relationships/hyperlink" Target="https://amzn.to/2ZVMlPn" TargetMode="External"/><Relationship Id="rId220" Type="http://schemas.openxmlformats.org/officeDocument/2006/relationships/hyperlink" Target="http://rover.ebay.com/rover/1/711-53200-19255-0/1?icep_ff3=9&amp;pub=5575076376&amp;toolid=10001&amp;campid=5338573609&amp;customid=&amp;icep_uq=Voigtlander+Sony+40mm+1.2&amp;icep_sellerId=&amp;icep_ex_kw=&amp;icep_sortBy=12&amp;icep_catId=3323&amp;icep_minPrice=&amp;icep_maxPrice=&amp;ipn=psmain&amp;icep_vectorid=229466&amp;kwid=902099&amp;mtid=824&amp;kw=lg" TargetMode="External"/><Relationship Id="rId341" Type="http://schemas.openxmlformats.org/officeDocument/2006/relationships/hyperlink" Target="https://www.bhphotovideo.com/c/product/1317561-REG/sony_sel100f28gm_fe_100mm_f_2_8_stf.html/BI/19619/KBID/12129/DFF/d10-v21-t1-x795192/SID/EZ" TargetMode="External"/><Relationship Id="rId340" Type="http://schemas.openxmlformats.org/officeDocument/2006/relationships/hyperlink" Target="https://amzn.to/2YD8rn4" TargetMode="External"/><Relationship Id="rId103" Type="http://schemas.openxmlformats.org/officeDocument/2006/relationships/hyperlink" Target="https://amzn.to/2Onv1QE" TargetMode="External"/><Relationship Id="rId224" Type="http://schemas.openxmlformats.org/officeDocument/2006/relationships/hyperlink" Target="https://amzn.to/2BYY8o6" TargetMode="External"/><Relationship Id="rId345" Type="http://schemas.openxmlformats.org/officeDocument/2006/relationships/hyperlink" Target="https://www.bhphotovideo.com/c/product/1473390-REG/tokina_frn_afm100fxse_firin_100mm_f_2_8_fe.html/BI/19619/KBID/12129/kw/TO100AF/DFF/d10-v2-t1-xTO100AF" TargetMode="External"/><Relationship Id="rId102" Type="http://schemas.openxmlformats.org/officeDocument/2006/relationships/hyperlink" Target="https://www.bhphotovideo.com/c/product/1413350-REG/samyang_syio24af_e_af_24mm_f_2_8_fe.html/BI/19619/KBID/12129/kw/SASYIO24AFE/DFF/d10-v2-t1-xSASYIO24AFE" TargetMode="External"/><Relationship Id="rId223" Type="http://schemas.openxmlformats.org/officeDocument/2006/relationships/hyperlink" Target="https://www.bhphotovideo.com/c/product/1436292-REG/sigma_40mm_f_1_4_dg_hsm.html/BI/19619/KBID/12129/DFF/d10-v21-t1-x925196/SID/EZ" TargetMode="External"/><Relationship Id="rId344" Type="http://schemas.openxmlformats.org/officeDocument/2006/relationships/hyperlink" Target="http://amzn.to/2fbeX3x" TargetMode="External"/><Relationship Id="rId101" Type="http://schemas.openxmlformats.org/officeDocument/2006/relationships/hyperlink" Target="https://amzn.to/2NEHZ7c" TargetMode="External"/><Relationship Id="rId222" Type="http://schemas.openxmlformats.org/officeDocument/2006/relationships/hyperlink" Target="https://amzn.to/2SYXFXq" TargetMode="External"/><Relationship Id="rId343" Type="http://schemas.openxmlformats.org/officeDocument/2006/relationships/hyperlink" Target="https://phillipreeve.net/blog/review-tokina-firin-100mm-f2-8-fe-macro/" TargetMode="External"/><Relationship Id="rId100" Type="http://schemas.openxmlformats.org/officeDocument/2006/relationships/hyperlink" Target="https://phillipreeve.net/blog/review-samyang-af-2-4-28-fe-at-least-its-small/" TargetMode="External"/><Relationship Id="rId221" Type="http://schemas.openxmlformats.org/officeDocument/2006/relationships/hyperlink" Target="https://phillipreeve.net/blog/review-sigma-40mm-1-4-art/" TargetMode="External"/><Relationship Id="rId342" Type="http://schemas.openxmlformats.org/officeDocument/2006/relationships/hyperlink" Target="http://rover.ebay.com/rover/1/711-53200-19255-0/1?icep_ff3=9&amp;pub=5575076376&amp;toolid=10001&amp;campid=5338164340&amp;customid=&amp;icep_uq=sony+gm+stf+100&amp;icep_sellerId=&amp;icep_ex_kw=&amp;icep_sortBy=12&amp;icep_catId=3323&amp;icep_minPrice=&amp;icep_maxPrice=&amp;ipn=psmain&amp;icep_vectorid=229466&amp;kwid=902099&amp;mtid=824&amp;kw=lg" TargetMode="External"/><Relationship Id="rId217" Type="http://schemas.openxmlformats.org/officeDocument/2006/relationships/hyperlink" Target="https://www.bhphotovideo.com/c/product/1362557-REG/voigtlander_nokton_40mm_f_1_2_aspherical.html/BI/19619/KBID/12129/DFF/d10-v21-t1-x851241/SID/EZ" TargetMode="External"/><Relationship Id="rId338" Type="http://schemas.openxmlformats.org/officeDocument/2006/relationships/hyperlink" Target="http://rover.ebay.com/rover/1/711-53200-19255-0/1?icep_ff3=10&amp;pub=5575076376&amp;toolid=10001&amp;campid=5338164340&amp;customid=&amp;icep_uq=sony+90+macro+oss&amp;icep_sellerId=&amp;icep_ex_kw=&amp;icep_sortBy=12&amp;icep_catId=&amp;icep_minPrice=&amp;icep_maxPrice=&amp;ipn=psmain&amp;icep_vectorid=229466&amp;kwid=902099&amp;mtid=824&amp;kw=lg" TargetMode="External"/><Relationship Id="rId216" Type="http://schemas.openxmlformats.org/officeDocument/2006/relationships/hyperlink" Target="https://amzn.to/2A412DK" TargetMode="External"/><Relationship Id="rId337" Type="http://schemas.openxmlformats.org/officeDocument/2006/relationships/hyperlink" Target="http://amzn.to/2vvvHcw" TargetMode="External"/><Relationship Id="rId215" Type="http://schemas.openxmlformats.org/officeDocument/2006/relationships/hyperlink" Target="https://phillipreeve.net/blog/voigtlander-40mm-f1-2-nokton-aspherical-rolling-review/" TargetMode="External"/><Relationship Id="rId336" Type="http://schemas.openxmlformats.org/officeDocument/2006/relationships/hyperlink" Target="https://www.bhphotovideo.com/c/product/1380868-REG/sony_fe_90mm_f_2_8_macro.html/BI/19619/KBID/12129/kw/SO9028F/DFF/d10-v2-t1-xSO9028F" TargetMode="External"/><Relationship Id="rId214" Type="http://schemas.openxmlformats.org/officeDocument/2006/relationships/hyperlink" Target="http://rover.ebay.com/rover/1/711-53200-19255-0/1?icep_ff3=9&amp;pub=5575076376&amp;toolid=10001&amp;campid=5338573609&amp;customid=&amp;icep_uq=samyang+35+2.8+&amp;icep_sellerId=&amp;icep_ex_kw=&amp;icep_sortBy=12&amp;icep_catId=3323&amp;icep_minPrice=&amp;icep_maxPrice=&amp;ipn=psmain&amp;icep_vectorid=229466&amp;kwid=902099&amp;mtid=824&amp;kw=lg" TargetMode="External"/><Relationship Id="rId335" Type="http://schemas.openxmlformats.org/officeDocument/2006/relationships/hyperlink" Target="http://amzn.to/2fbeX3x" TargetMode="External"/><Relationship Id="rId219" Type="http://schemas.openxmlformats.org/officeDocument/2006/relationships/hyperlink" Target="https://amzn.to/31VSLRa" TargetMode="External"/><Relationship Id="rId218" Type="http://schemas.openxmlformats.org/officeDocument/2006/relationships/hyperlink" Target="http://rover.ebay.com/rover/1/711-53200-19255-0/1?icep_ff3=9&amp;pub=5575076376&amp;toolid=10001&amp;campid=5338573609&amp;customid=&amp;icep_uq=Voigtlander+Sony+40mm+1.2&amp;icep_sellerId=&amp;icep_ex_kw=&amp;icep_sortBy=12&amp;icep_catId=3323&amp;icep_minPrice=&amp;icep_maxPrice=&amp;ipn=psmain&amp;icep_vectorid=229466&amp;kwid=902099&amp;mtid=824&amp;kw=lg" TargetMode="External"/><Relationship Id="rId339" Type="http://schemas.openxmlformats.org/officeDocument/2006/relationships/hyperlink" Target="https://phillipreeve.net/blog/review-sony-fe-100-f-2-8-stf-gm-oss-lens/" TargetMode="External"/><Relationship Id="rId330" Type="http://schemas.openxmlformats.org/officeDocument/2006/relationships/hyperlink" Target="https://phillipreeve.net/blog/rolling-review-zeiss-loxia-85mm-2-4/" TargetMode="External"/><Relationship Id="rId213" Type="http://schemas.openxmlformats.org/officeDocument/2006/relationships/hyperlink" Target="https://amzn.to/2rM4SRk" TargetMode="External"/><Relationship Id="rId334" Type="http://schemas.openxmlformats.org/officeDocument/2006/relationships/hyperlink" Target="https://phillipreeve.net/blog/review-sony-fe-90mm-f2-8-macro-oss-one-of-sonys-finest/" TargetMode="External"/><Relationship Id="rId212" Type="http://schemas.openxmlformats.org/officeDocument/2006/relationships/hyperlink" Target="https://www.bhphotovideo.com/c/product/1348365-REG/samyang_syio35af_e_35mm_f2_8_compact_wide.html/BI/19619/KBID/12129/DFF/d10-v21-t1-x832776/SID/EZ" TargetMode="External"/><Relationship Id="rId333" Type="http://schemas.openxmlformats.org/officeDocument/2006/relationships/hyperlink" Target="http://rover.ebay.com/rover/1/711-53200-19255-0/1?icep_ff3=9&amp;pub=5575076376&amp;toolid=10001&amp;campid=5338164340&amp;customid=&amp;icep_uq=loxia+85+sony&amp;icep_sellerId=&amp;icep_ex_kw=&amp;icep_sortBy=12&amp;icep_catId=3323&amp;icep_minPrice=&amp;icep_maxPrice=&amp;ipn=psmain&amp;icep_vectorid=229466&amp;kwid=902099&amp;mtid=824&amp;kw=lg" TargetMode="External"/><Relationship Id="rId211" Type="http://schemas.openxmlformats.org/officeDocument/2006/relationships/hyperlink" Target="https://amzn.to/2MGKrxp" TargetMode="External"/><Relationship Id="rId332" Type="http://schemas.openxmlformats.org/officeDocument/2006/relationships/hyperlink" Target="https://www.bhphotovideo.com/c/product/1282150-REG/zeiss_2162_636_loxia_85mm_f_2_4_lens.html/BI/19619/KBID/12129/DFF/d10-v21-t1-x762761/SID/EZ" TargetMode="External"/><Relationship Id="rId210" Type="http://schemas.openxmlformats.org/officeDocument/2006/relationships/hyperlink" Target="http://rover.ebay.com/rover/1/711-53200-19255-0/1?icep_ff3=9&amp;pub=5575076376&amp;toolid=10001&amp;campid=5338573609&amp;customid=&amp;icep_uq=tamron+35+2.8+osd+&amp;icep_sellerId=&amp;icep_ex_kw=&amp;icep_sortBy=12&amp;icep_catId=3323&amp;icep_minPrice=&amp;icep_maxPrice=&amp;ipn=psmain&amp;icep_vectorid=229466&amp;kwid=902099&amp;mtid=824&amp;kw=lg" TargetMode="External"/><Relationship Id="rId331" Type="http://schemas.openxmlformats.org/officeDocument/2006/relationships/hyperlink" Target="https://amzn.to/2SY4PLd" TargetMode="External"/><Relationship Id="rId370" Type="http://schemas.openxmlformats.org/officeDocument/2006/relationships/hyperlink" Target="https://phillipreeve.net/blog/zeiss-batis-apo-sonnar-t-135mm-f2-8/" TargetMode="External"/><Relationship Id="rId129" Type="http://schemas.openxmlformats.org/officeDocument/2006/relationships/hyperlink" Target="http://amzn.to/2fl1XZk" TargetMode="External"/><Relationship Id="rId128" Type="http://schemas.openxmlformats.org/officeDocument/2006/relationships/hyperlink" Target="https://www.bhphotovideo.com/c/product/1008126-REG/sony_sel2470z_vario_tessar_t_fe_24_70mm.html/BI/19619/KBID/12129/DFF/d10-v21-t1-x466842/SID/EZ" TargetMode="External"/><Relationship Id="rId249" Type="http://schemas.openxmlformats.org/officeDocument/2006/relationships/hyperlink" Target="https://www.bhphotovideo.com/c/product/1352862-REG/samyang_syio50af_e_50mm_f_1_4_auto_focus.html/BI/19619/KBID/12129/DFF/d10-v21-t1-x837927/SID/EZ" TargetMode="External"/><Relationship Id="rId127" Type="http://schemas.openxmlformats.org/officeDocument/2006/relationships/hyperlink" Target="http://amzn.to/2vlG2Yq" TargetMode="External"/><Relationship Id="rId248" Type="http://schemas.openxmlformats.org/officeDocument/2006/relationships/hyperlink" Target="https://amzn.to/2SY1Pyr" TargetMode="External"/><Relationship Id="rId369" Type="http://schemas.openxmlformats.org/officeDocument/2006/relationships/hyperlink" Target="http://rover.ebay.com/rover/1/711-53200-19255-0/1?icep_ff3=9&amp;pub=5575076376&amp;toolid=10001&amp;campid=5338164340&amp;customid=&amp;icep_uq=sigma+art+135+sony&amp;icep_sellerId=&amp;icep_ex_kw=&amp;icep_sortBy=12&amp;icep_catId=3323&amp;icep_minPrice=&amp;icep_maxPrice=&amp;ipn=psmain&amp;icep_vectorid=229466&amp;kwid=902099&amp;mtid=824&amp;kw=lg" TargetMode="External"/><Relationship Id="rId126" Type="http://schemas.openxmlformats.org/officeDocument/2006/relationships/hyperlink" Target="https://phillipreeve.net/blog/rolling-review-carl-zeiss-vario-tessar-t-fe-424-70-za/" TargetMode="External"/><Relationship Id="rId247" Type="http://schemas.openxmlformats.org/officeDocument/2006/relationships/hyperlink" Target="http://rover.ebay.com/rover/1/711-53200-19255-0/1?icep_ff3=9&amp;pub=5575076376&amp;toolid=10001&amp;campid=5338164340&amp;customid=&amp;icep_uq=sigma+sony+art+50+1.4&amp;icep_sellerId=&amp;icep_ex_kw=&amp;icep_sortBy=12&amp;icep_catId=3323&amp;icep_minPrice=&amp;icep_maxPrice=&amp;ipn=psmain&amp;icep_vectorid=229466&amp;kwid=902099&amp;mtid=824&amp;kw=lg" TargetMode="External"/><Relationship Id="rId368" Type="http://schemas.openxmlformats.org/officeDocument/2006/relationships/hyperlink" Target="https://www.bhphotovideo.com/c/product/1393495-REG/sigma_135mm_f_1_8_dg_hsm.html/BI/19619/KBID/12129/DFF/d10-v21-t1-x881160/SID/EZ" TargetMode="External"/><Relationship Id="rId121" Type="http://schemas.openxmlformats.org/officeDocument/2006/relationships/hyperlink" Target="http://rover.ebay.com/rover/1/711-53200-19255-0/1?icep_ff3=10&amp;pub=5575076376&amp;toolid=10001&amp;campid=5338164340&amp;customid=&amp;icep_uq=sony+24-240&amp;icep_sellerId=&amp;icep_ex_kw=&amp;icep_sortBy=12&amp;icep_catId=&amp;icep_minPrice=&amp;icep_maxPrice=&amp;ipn=psmain&amp;icep_vectorid=229466&amp;kwid=902099&amp;mtid=824&amp;kw=lg" TargetMode="External"/><Relationship Id="rId242" Type="http://schemas.openxmlformats.org/officeDocument/2006/relationships/hyperlink" Target="https://www.bhphotovideo.com/c/product/1264965-REG/sony_sel50f14z_planar_t_fe_50mm.html/BI/19619/KBID/12129/DFF/d10-v21-t1-x746806/SID/EZ" TargetMode="External"/><Relationship Id="rId363" Type="http://schemas.openxmlformats.org/officeDocument/2006/relationships/hyperlink" Target="https://amzn.to/2WtonMJ" TargetMode="External"/><Relationship Id="rId120" Type="http://schemas.openxmlformats.org/officeDocument/2006/relationships/hyperlink" Target="http://amzn.to/2wyrL7A" TargetMode="External"/><Relationship Id="rId241" Type="http://schemas.openxmlformats.org/officeDocument/2006/relationships/hyperlink" Target="https://amzn.to/2K88EL7" TargetMode="External"/><Relationship Id="rId362" Type="http://schemas.openxmlformats.org/officeDocument/2006/relationships/hyperlink" Target="https://phillipreeve.net/blog/review-sony-fe-135mm-f1-8-gm/" TargetMode="External"/><Relationship Id="rId240" Type="http://schemas.openxmlformats.org/officeDocument/2006/relationships/hyperlink" Target="http://rover.ebay.com/rover/1/711-53200-19255-0/1?icep_ff3=9&amp;pub=5575076376&amp;toolid=10001&amp;campid=5338164340&amp;customid=&amp;icep_uq=voigtlander+sony+50+1.2&amp;icep_sellerId=&amp;icep_ex_kw=&amp;icep_sortBy=12&amp;icep_catId=3323&amp;icep_minPrice=&amp;icep_maxPrice=&amp;ipn=psmain&amp;icep_vectorid=229466&amp;kwid=902099&amp;mtid=824&amp;kw=lg" TargetMode="External"/><Relationship Id="rId361" Type="http://schemas.openxmlformats.org/officeDocument/2006/relationships/hyperlink" Target="http://rover.ebay.com/rover/1/711-53200-19255-0/1?icep_ff3=9&amp;pub=5575076376&amp;toolid=10001&amp;campid=5338164340&amp;customid=&amp;icep_uq=voigtlander+110mm+apo+sony&amp;icep_sellerId=&amp;icep_ex_kw=&amp;icep_sortBy=12&amp;icep_catId=3323&amp;icep_minPrice=&amp;icep_maxPrice=&amp;ipn=psmain&amp;icep_vectorid=229466&amp;kwid=902099&amp;mtid=824&amp;kw=lg" TargetMode="External"/><Relationship Id="rId360" Type="http://schemas.openxmlformats.org/officeDocument/2006/relationships/hyperlink" Target="https://www.bhphotovideo.com/c/product/1418780-REG/voigtlander_ba349a_macro_apo_lanthar_110mm_f_2_5.html/BI/19619/KBID/12129/kw/VO11025/DFF/d10-v2-t1-xVO11025" TargetMode="External"/><Relationship Id="rId125" Type="http://schemas.openxmlformats.org/officeDocument/2006/relationships/hyperlink" Target="http://rover.ebay.com/rover/1/711-53200-19255-0/1?icep_ff3=9&amp;pub=5575076376&amp;toolid=10001&amp;campid=5338573609&amp;customid=&amp;icep_uq=sony+g+24-105&amp;icep_sellerId=&amp;icep_ex_kw=&amp;icep_sortBy=12&amp;icep_catId=3323&amp;icep_minPrice=&amp;icep_maxPrice=&amp;ipn=psmain&amp;icep_vectorid=229466&amp;kwid=902099&amp;mtid=824&amp;kw=lg" TargetMode="External"/><Relationship Id="rId246" Type="http://schemas.openxmlformats.org/officeDocument/2006/relationships/hyperlink" Target="https://amzn.to/2Wpdoz5" TargetMode="External"/><Relationship Id="rId367" Type="http://schemas.openxmlformats.org/officeDocument/2006/relationships/hyperlink" Target="https://amzn.to/2yxIM4R" TargetMode="External"/><Relationship Id="rId124" Type="http://schemas.openxmlformats.org/officeDocument/2006/relationships/hyperlink" Target="https://amzn.to/2Ld8hOS" TargetMode="External"/><Relationship Id="rId245" Type="http://schemas.openxmlformats.org/officeDocument/2006/relationships/hyperlink" Target="https://www.bhphotovideo.com/c/product/1393493-REG/sigma_50mm_f_1_4_dg_hsm.html/BI/19619/KBID/12129/kw/SI5014SO/DFF/d10-v2-t1-xSI5014SO" TargetMode="External"/><Relationship Id="rId366" Type="http://schemas.openxmlformats.org/officeDocument/2006/relationships/hyperlink" Target="http://rover.ebay.com/rover/1/711-53200-19255-0/1?icep_ff3=9&amp;pub=5575076376&amp;toolid=10001&amp;campid=5338164340&amp;customid=&amp;icep_uq=sony+gm+135+&amp;icep_sellerId=&amp;icep_ex_kw=&amp;icep_sortBy=12&amp;icep_catId=3323&amp;icep_minPrice=&amp;icep_maxPrice=&amp;ipn=psmain&amp;icep_vectorid=229466&amp;kwid=902099&amp;mtid=824&amp;kw=lg" TargetMode="External"/><Relationship Id="rId123" Type="http://schemas.openxmlformats.org/officeDocument/2006/relationships/hyperlink" Target="https://www.bhphotovideo.com/c/search?Ntt=sony%2024-105&amp;N=0&amp;InitialSearch=yes&amp;sts=ma&amp;Top+Nav-Search=&amp;BI=19619&amp;KBID=12129&amp;KWID=EZ" TargetMode="External"/><Relationship Id="rId244" Type="http://schemas.openxmlformats.org/officeDocument/2006/relationships/hyperlink" Target="https://amzn.to/2K4JmyT" TargetMode="External"/><Relationship Id="rId365" Type="http://schemas.openxmlformats.org/officeDocument/2006/relationships/hyperlink" Target="https://amzn.to/2Z9KKDE" TargetMode="External"/><Relationship Id="rId122" Type="http://schemas.openxmlformats.org/officeDocument/2006/relationships/hyperlink" Target="https://amzn.to/2K7LwMR" TargetMode="External"/><Relationship Id="rId243" Type="http://schemas.openxmlformats.org/officeDocument/2006/relationships/hyperlink" Target="http://rover.ebay.com/rover/1/711-53200-19255-0/1?icep_ff3=9&amp;pub=5575076376&amp;toolid=10001&amp;campid=5338164340&amp;customid=&amp;icep_uq=sony+50+1.4+za&amp;icep_sellerId=&amp;icep_ex_kw=&amp;icep_sortBy=12&amp;icep_catId=3323&amp;icep_minPrice=&amp;icep_maxPrice=&amp;ipn=psmain&amp;icep_vectorid=229466&amp;kwid=902099&amp;mtid=824&amp;kw=lg" TargetMode="External"/><Relationship Id="rId364" Type="http://schemas.openxmlformats.org/officeDocument/2006/relationships/hyperlink" Target="https://www.bhphotovideo.com/c/product/1393495-REG/sigma_135mm_f_1_8_dg_hsm.html/BI/19619/KBID/12129/kw/SI13518SO/DFF/d10-v2-t1-xSI13518SO" TargetMode="External"/><Relationship Id="rId95" Type="http://schemas.openxmlformats.org/officeDocument/2006/relationships/hyperlink" Target="http://rover.ebay.com/rover/1/711-53200-19255-0/1?icep_ff3=9&amp;pub=5575076376&amp;toolid=10001&amp;campid=5338573609&amp;customid=&amp;icep_uq=sony+gm+24mm&amp;icep_sellerId=&amp;icep_ex_kw=&amp;icep_sortBy=12&amp;icep_catId=3323&amp;icep_minPrice=&amp;icep_maxPrice=&amp;ipn=psmain&amp;icep_vectorid=229466&amp;kwid=902099&amp;mtid=824&amp;kw=lg" TargetMode="External"/><Relationship Id="rId94" Type="http://schemas.openxmlformats.org/officeDocument/2006/relationships/hyperlink" Target="https://amzn.to/2L2tV9y" TargetMode="External"/><Relationship Id="rId97" Type="http://schemas.openxmlformats.org/officeDocument/2006/relationships/hyperlink" Target="https://www.bhphotovideo.com/c/product/1393491-REG/sigma_24mm_f_1_4_dg_hsm.html/BI/19619/KBID/12129/kw/SI2414SO/DFF/d10-v2-t1-xSI2414SO" TargetMode="External"/><Relationship Id="rId96" Type="http://schemas.openxmlformats.org/officeDocument/2006/relationships/hyperlink" Target="https://amzn.to/2Isw2Rv" TargetMode="External"/><Relationship Id="rId99" Type="http://schemas.openxmlformats.org/officeDocument/2006/relationships/hyperlink" Target="http://rover.ebay.com/rover/1/711-53200-19255-0/1?icep_ff3=9&amp;pub=5575076376&amp;toolid=10001&amp;campid=5338573609&amp;customid=&amp;icep_uq=sigma+art+24mm+e-mount&amp;icep_sellerId=&amp;icep_ex_kw=&amp;icep_sortBy=12&amp;icep_catId=3323&amp;icep_minPrice=&amp;icep_maxPrice=&amp;ipn=psmain&amp;icep_vectorid=229466&amp;kwid=902099&amp;mtid=824&amp;kw=lg" TargetMode="External"/><Relationship Id="rId98" Type="http://schemas.openxmlformats.org/officeDocument/2006/relationships/hyperlink" Target="https://amzn.to/2K7sIP4" TargetMode="External"/><Relationship Id="rId91" Type="http://schemas.openxmlformats.org/officeDocument/2006/relationships/hyperlink" Target="https://phillipreeve.net/blog/review-sony-fe-24mm-1-4-gm/" TargetMode="External"/><Relationship Id="rId90" Type="http://schemas.openxmlformats.org/officeDocument/2006/relationships/hyperlink" Target="http://rover.ebay.com/rover/1/707-53477-19255-0/1?icep_ff3=9&amp;pub=5575076376&amp;toolid=10001&amp;campid=5338423810&amp;customid=&amp;icep_uq=voigtlander+21mm+3.5&amp;icep_sellerId=&amp;icep_ex_kw=&amp;icep_sortBy=12&amp;icep_catId=3323&amp;icep_minPrice=&amp;icep_maxPrice=&amp;ipn=psmain&amp;icep_vectorid=229487&amp;kwid=902099&amp;mtid=824&amp;kw=lg" TargetMode="External"/><Relationship Id="rId93" Type="http://schemas.openxmlformats.org/officeDocument/2006/relationships/hyperlink" Target="https://www.bhphotovideo.com/c/product/1435887-REG/sony_fe_24mm_f_1_4_gm.html/BI/19619/KBID/12129/DFF/d10-v21-t1-x915647/SID/EZ" TargetMode="External"/><Relationship Id="rId92" Type="http://schemas.openxmlformats.org/officeDocument/2006/relationships/hyperlink" Target="https://amzn.to/2ywcbw1" TargetMode="External"/><Relationship Id="rId118" Type="http://schemas.openxmlformats.org/officeDocument/2006/relationships/hyperlink" Target="http://amzn.to/2fbX5FU" TargetMode="External"/><Relationship Id="rId239" Type="http://schemas.openxmlformats.org/officeDocument/2006/relationships/hyperlink" Target="https://www.bhphotovideo.com/c/product/1433349-REG/voigtlander_ba348a_nokton_50mm_f_1_2_aspherical.html/BI/19619/KBID/12129/DFF/d10-v21-t1-x915623/SID/EZ" TargetMode="External"/><Relationship Id="rId117" Type="http://schemas.openxmlformats.org/officeDocument/2006/relationships/hyperlink" Target="http://rover.ebay.com/rover/1/711-53200-19255-0/1?icep_ff3=9&amp;pub=5575076376&amp;toolid=10001&amp;campid=5338573609&amp;customid=&amp;icep_uq=sony+sigma+art+24-70+2.8&amp;icep_sellerId=&amp;icep_ex_kw=&amp;icep_sortBy=12&amp;icep_catId=3323&amp;icep_minPrice=&amp;icep_maxPrice=&amp;ipn=psmain&amp;icep_vectorid=229466&amp;kwid=902099&amp;mtid=824&amp;kw=lg" TargetMode="External"/><Relationship Id="rId238" Type="http://schemas.openxmlformats.org/officeDocument/2006/relationships/hyperlink" Target="https://amzn.to/2OAfE7N" TargetMode="External"/><Relationship Id="rId359" Type="http://schemas.openxmlformats.org/officeDocument/2006/relationships/hyperlink" Target="https://amzn.to/2SXYsrm" TargetMode="External"/><Relationship Id="rId116" Type="http://schemas.openxmlformats.org/officeDocument/2006/relationships/hyperlink" Target="https://www.bhphotovideo.com/c/product/1516303-REG/sigma_24_70mm_f_2_8_dg_dn.html/BI/19619/KBID/12129/DFF/d10-v21-t1-x999330/SID/EZ" TargetMode="External"/><Relationship Id="rId237" Type="http://schemas.openxmlformats.org/officeDocument/2006/relationships/hyperlink" Target="https://phillipreeve.net/blog/review-voigtlander-50mm-1-2-nokton-e/" TargetMode="External"/><Relationship Id="rId358" Type="http://schemas.openxmlformats.org/officeDocument/2006/relationships/hyperlink" Target="https://phillipreeve.net/blog/voigtlander-110mm-f2-5-apo-review/" TargetMode="External"/><Relationship Id="rId115" Type="http://schemas.openxmlformats.org/officeDocument/2006/relationships/hyperlink" Target="https://amzn.to/2YPjpb1" TargetMode="External"/><Relationship Id="rId236" Type="http://schemas.openxmlformats.org/officeDocument/2006/relationships/hyperlink" Target="http://rover.ebay.com/rover/1/711-53200-19255-0/1?icep_ff3=9&amp;pub=5575076376&amp;toolid=10001&amp;campid=5338164340&amp;customid=&amp;icep_uq=sigma+45+2.8+sony&amp;icep_sellerId=&amp;icep_ex_kw=&amp;icep_sortBy=12&amp;icep_catId=3323&amp;icep_minPrice=&amp;icep_maxPrice=&amp;ipn=psmain&amp;icep_vectorid=229466&amp;kwid=902099&amp;mtid=824&amp;kw=lg" TargetMode="External"/><Relationship Id="rId357" Type="http://schemas.openxmlformats.org/officeDocument/2006/relationships/hyperlink" Target="http://rover.ebay.com/rover/1/711-53200-19255-0/1?icep_ff3=9&amp;pub=5575076376&amp;toolid=10001&amp;campid=5338164340&amp;customid=&amp;icep_uq=sigma+art+105+1.4+sony&amp;icep_sellerId=&amp;icep_ex_kw=&amp;icep_sortBy=12&amp;icep_catId=3323&amp;icep_minPrice=&amp;icep_maxPrice=&amp;ipn=psmain&amp;icep_vectorid=229466&amp;kwid=902099&amp;mtid=824&amp;kw=lg" TargetMode="External"/><Relationship Id="rId119" Type="http://schemas.openxmlformats.org/officeDocument/2006/relationships/hyperlink" Target="https://www.bhphotovideo.com/c/search?Ntt=sony%2024-240&amp;N=0&amp;InitialSearch=yes&amp;sts=ma&amp;Top+Nav-Search=&amp;BI=19619&amp;KBID=12129&amp;KWID=EZ" TargetMode="External"/><Relationship Id="rId110" Type="http://schemas.openxmlformats.org/officeDocument/2006/relationships/hyperlink" Target="https://phillipreeve.net/blog/review-sony-fe-2-824-70mm-gm/" TargetMode="External"/><Relationship Id="rId231" Type="http://schemas.openxmlformats.org/officeDocument/2006/relationships/hyperlink" Target="https://amzn.to/2YC6MST" TargetMode="External"/><Relationship Id="rId352" Type="http://schemas.openxmlformats.org/officeDocument/2006/relationships/hyperlink" Target="https://www.bhphotovideo.com/c/product/1333230-REG/sony_sel100400gm_fe_100_400mm_f_4_5_5_6_gm.html/BI/19619/KBID/12129/DFF/d10-v21-t1-x817745/SID/EZ" TargetMode="External"/><Relationship Id="rId230" Type="http://schemas.openxmlformats.org/officeDocument/2006/relationships/hyperlink" Target="http://rover.ebay.com/rover/1/711-53200-19255-0/1?icep_ff3=9&amp;pub=5575076376&amp;toolid=10001&amp;campid=5338164340&amp;customid=&amp;icep_uq=batis+40&amp;icep_sellerId=&amp;icep_ex_kw=&amp;icep_sortBy=12&amp;icep_catId=3323&amp;icep_minPrice=&amp;icep_maxPrice=&amp;ipn=psmain&amp;icep_vectorid=229466&amp;kwid=902099&amp;mtid=824&amp;kw=lg" TargetMode="External"/><Relationship Id="rId351" Type="http://schemas.openxmlformats.org/officeDocument/2006/relationships/hyperlink" Target="https://amzn.to/2SZ0aZO" TargetMode="External"/><Relationship Id="rId350" Type="http://schemas.openxmlformats.org/officeDocument/2006/relationships/hyperlink" Target="https://phillipreeve.net/blog/sony-gm-100-400-f-4-5-5-6/" TargetMode="External"/><Relationship Id="rId114" Type="http://schemas.openxmlformats.org/officeDocument/2006/relationships/hyperlink" Target="http://rover.ebay.com/rover/1/711-53200-19255-0/1?icep_ff3=9&amp;pub=5575076376&amp;toolid=10001&amp;campid=5338573609&amp;customid=&amp;icep_uq=sony+gm+24-70+2.8&amp;icep_sellerId=&amp;icep_ex_kw=&amp;icep_sortBy=12&amp;icep_catId=3323&amp;icep_minPrice=&amp;icep_maxPrice=&amp;ipn=psmain&amp;icep_vectorid=229466&amp;kwid=902099&amp;mtid=824&amp;kw=lg" TargetMode="External"/><Relationship Id="rId235" Type="http://schemas.openxmlformats.org/officeDocument/2006/relationships/hyperlink" Target="https://www.bhphotovideo.com/c/product/1492966-REG/sigma_360965_45mm_f_2_8_dg_dn.html/BI/19619/KBID/12129/DFF/d10-v21-t1-x976020/SID/EZ" TargetMode="External"/><Relationship Id="rId356" Type="http://schemas.openxmlformats.org/officeDocument/2006/relationships/hyperlink" Target="https://amzn.to/2WpOvTy" TargetMode="External"/><Relationship Id="rId113" Type="http://schemas.openxmlformats.org/officeDocument/2006/relationships/hyperlink" Target="https://amzn.to/2ZwoyU7" TargetMode="External"/><Relationship Id="rId234" Type="http://schemas.openxmlformats.org/officeDocument/2006/relationships/hyperlink" Target="https://amzn.to/2SYEvAX" TargetMode="External"/><Relationship Id="rId355" Type="http://schemas.openxmlformats.org/officeDocument/2006/relationships/hyperlink" Target="https://www.bhphotovideo.com/c/product/1393488-REG/sigma_105mm_f_1_4_dg_hsm.html/BI/19619/KBID/12129/kw/SI10514SO/DFF/d10-v2-t1-xSI10514SO" TargetMode="External"/><Relationship Id="rId112" Type="http://schemas.openxmlformats.org/officeDocument/2006/relationships/hyperlink" Target="https://www.bhphotovideo.com/c/search?Ntt=gm%2024-70&amp;N=0&amp;InitialSearch=yes&amp;sts=ma&amp;Top+Nav-Search=&amp;BI=19619&amp;KBID=12129&amp;KWID=EZ" TargetMode="External"/><Relationship Id="rId233" Type="http://schemas.openxmlformats.org/officeDocument/2006/relationships/hyperlink" Target="http://rover.ebay.com/rover/1/711-53200-19255-0/1?icep_ff3=9&amp;pub=5575076376&amp;toolid=10001&amp;campid=5338164340&amp;customid=&amp;icep_uq=samyang+45mm+sony&amp;icep_sellerId=&amp;icep_ex_kw=&amp;icep_sortBy=12&amp;icep_catId=3323&amp;icep_minPrice=&amp;icep_maxPrice=&amp;ipn=psmain&amp;icep_vectorid=229466&amp;kwid=902099&amp;mtid=824&amp;kw=lg" TargetMode="External"/><Relationship Id="rId354" Type="http://schemas.openxmlformats.org/officeDocument/2006/relationships/hyperlink" Target="https://amzn.to/2EWeThZ" TargetMode="External"/><Relationship Id="rId111" Type="http://schemas.openxmlformats.org/officeDocument/2006/relationships/hyperlink" Target="https://amzn.to/2STHavK" TargetMode="External"/><Relationship Id="rId232" Type="http://schemas.openxmlformats.org/officeDocument/2006/relationships/hyperlink" Target="https://www.bhphotovideo.com/c/product/1478738-REG/samyang_af_45mm_f_1_8_fe.html/BI/19619/KBID/12129/DFF/d10-v21-t1-x964329/SID/EZ" TargetMode="External"/><Relationship Id="rId353" Type="http://schemas.openxmlformats.org/officeDocument/2006/relationships/hyperlink" Target="http://rover.ebay.com/rover/1/711-53200-19255-0/1?icep_ff3=9&amp;pub=5575076376&amp;toolid=10001&amp;campid=5338164340&amp;customid=&amp;icep_uq=sony+gm+100-400&amp;icep_sellerId=&amp;icep_ex_kw=&amp;icep_sortBy=12&amp;icep_catId=3323&amp;icep_minPrice=&amp;icep_maxPrice=&amp;ipn=psmain&amp;icep_vectorid=229466&amp;kwid=902099&amp;mtid=824&amp;kw=lg" TargetMode="External"/><Relationship Id="rId305" Type="http://schemas.openxmlformats.org/officeDocument/2006/relationships/hyperlink" Target="https://amzn.to/2Wto6JH" TargetMode="External"/><Relationship Id="rId304" Type="http://schemas.openxmlformats.org/officeDocument/2006/relationships/hyperlink" Target="https://www.bhphotovideo.com/c/product/1393494-REG/sigma_85mm_f_1_4_dg_hsm.html/BI/19619/KBID/12129/kw/SI8514SO/DFF/d10-v2-t1-xSI8514SO" TargetMode="External"/><Relationship Id="rId303" Type="http://schemas.openxmlformats.org/officeDocument/2006/relationships/hyperlink" Target="https://amzn.to/2MBd68k" TargetMode="External"/><Relationship Id="rId302" Type="http://schemas.openxmlformats.org/officeDocument/2006/relationships/hyperlink" Target="http://rover.ebay.com/rover/1/711-53200-19255-0/1?icep_ff3=9&amp;pub=5575076376&amp;toolid=10001&amp;campid=5338164340&amp;customid=&amp;icep_uq=sony+gm+85+1.4&amp;icep_sellerId=&amp;icep_ex_kw=&amp;icep_sortBy=12&amp;icep_catId=3323&amp;icep_minPrice=&amp;icep_maxPrice=&amp;ipn=psmain&amp;icep_vectorid=229466&amp;kwid=902099&amp;mtid=824&amp;kw=lg" TargetMode="External"/><Relationship Id="rId309" Type="http://schemas.openxmlformats.org/officeDocument/2006/relationships/hyperlink" Target="http://rover.ebay.com/rover/1/711-53200-19255-0/1?icep_ff3=9&amp;pub=5575076376&amp;toolid=10001&amp;campid=5338164340&amp;customid=&amp;icep_uq=samyang+85+1.4+sony+af&amp;icep_sellerId=&amp;icep_ex_kw=&amp;icep_sortBy=12&amp;icep_catId=3323&amp;icep_minPrice=&amp;icep_maxPrice=&amp;ipn=psmain&amp;icep_vectorid=229466&amp;kwid=902099&amp;mtid=824&amp;kw=lg" TargetMode="External"/><Relationship Id="rId308" Type="http://schemas.openxmlformats.org/officeDocument/2006/relationships/hyperlink" Target="https://www.bhphotovideo.com/c/product/1470654-REG/samyang_syio85af_e_af_85mm_f_1_4_lens.html/BI/19619/KBID/12129/DFF/d10-v21-t1-x955078/SID/EZ" TargetMode="External"/><Relationship Id="rId307" Type="http://schemas.openxmlformats.org/officeDocument/2006/relationships/hyperlink" Target="https://amzn.to/2T0yJ1A" TargetMode="External"/><Relationship Id="rId306" Type="http://schemas.openxmlformats.org/officeDocument/2006/relationships/hyperlink" Target="http://rover.ebay.com/rover/1/711-53200-19255-0/1?icep_ff3=9&amp;pub=5575076376&amp;toolid=10001&amp;campid=5338164340&amp;customid=&amp;icep_uq=sigma+85+1.4+sony&amp;icep_sellerId=&amp;icep_ex_kw=&amp;icep_sortBy=12&amp;icep_catId=3323&amp;icep_minPrice=&amp;icep_maxPrice=&amp;ipn=psmain&amp;icep_vectorid=229466&amp;kwid=902099&amp;mtid=824&amp;kw=lg" TargetMode="External"/><Relationship Id="rId301" Type="http://schemas.openxmlformats.org/officeDocument/2006/relationships/hyperlink" Target="https://www.bhphotovideo.com/c/product/1222775-REG/sony_sel85f14gm_fe_85mm_f_1_4_gm.html/BI/19619/KBID/12129/DFF/d10-v21-t1-x707644/SID/EZ" TargetMode="External"/><Relationship Id="rId300" Type="http://schemas.openxmlformats.org/officeDocument/2006/relationships/hyperlink" Target="https://amzn.to/2SZeKAh" TargetMode="External"/><Relationship Id="rId206" Type="http://schemas.openxmlformats.org/officeDocument/2006/relationships/hyperlink" Target="https://phillipreeve.net/blog/review-tamron-35mm-f-2-8-di-iii-osd-m12/" TargetMode="External"/><Relationship Id="rId327" Type="http://schemas.openxmlformats.org/officeDocument/2006/relationships/hyperlink" Target="https://amzn.to/2SZfd5v" TargetMode="External"/><Relationship Id="rId205" Type="http://schemas.openxmlformats.org/officeDocument/2006/relationships/hyperlink" Target="http://rover.ebay.com/rover/1/711-53200-19255-0/1?icep_ff3=9&amp;pub=5575076376&amp;toolid=10001&amp;campid=5338573609&amp;customid=&amp;icep_uq=sony+35+2.8+&amp;icep_sellerId=&amp;icep_ex_kw=&amp;icep_sortBy=12&amp;icep_catId=3323&amp;icep_minPrice=&amp;icep_maxPrice=&amp;ipn=psmain&amp;icep_vectorid=229466&amp;kwid=902099&amp;mtid=824&amp;kw=lg" TargetMode="External"/><Relationship Id="rId326" Type="http://schemas.openxmlformats.org/officeDocument/2006/relationships/hyperlink" Target="https://phillipreeve.net/blog/review-viltrox-85-mm-f-1-8-stm-af-pfu-rbmh/" TargetMode="External"/><Relationship Id="rId204" Type="http://schemas.openxmlformats.org/officeDocument/2006/relationships/hyperlink" Target="https://amzn.to/2ZQ8Sx8" TargetMode="External"/><Relationship Id="rId325" Type="http://schemas.openxmlformats.org/officeDocument/2006/relationships/hyperlink" Target="http://rover.ebay.com/rover/1/711-53200-19255-0/1?icep_ff3=9&amp;pub=5575076376&amp;toolid=10001&amp;campid=5338164340&amp;customid=&amp;icep_uq=viltrox+85mm+1.8+sony+stm&amp;icep_sellerId=&amp;icep_ex_kw=&amp;icep_sortBy=12&amp;icep_catId=3323&amp;icep_minPrice=&amp;icep_maxPrice=&amp;ipn=psmain&amp;icep_vectorid=229466&amp;kwid=902099&amp;mtid=824&amp;kw=lg" TargetMode="External"/><Relationship Id="rId203" Type="http://schemas.openxmlformats.org/officeDocument/2006/relationships/hyperlink" Target="https://www.bhphotovideo.com/c/product/1008123-REG/sony_sel35f28z_sonnar_t_fe_35mm.html/BI/19619/KBID/12129/DFF/d10-v21-t1-x466840/SID/EZ" TargetMode="External"/><Relationship Id="rId324" Type="http://schemas.openxmlformats.org/officeDocument/2006/relationships/hyperlink" Target="https://www.bhphotovideo.com/c/product/1470585-REG/viltrox_pfu_rbmh_85mm_f1_8_stm_e_mount_85mm_f_1_8_lens_for.html/BI/19619/KBID/12129/DFF/d10-v21-t1-x955239/SID/EZ" TargetMode="External"/><Relationship Id="rId209" Type="http://schemas.openxmlformats.org/officeDocument/2006/relationships/hyperlink" Target="https://amzn.to/36BcBQO" TargetMode="External"/><Relationship Id="rId208" Type="http://schemas.openxmlformats.org/officeDocument/2006/relationships/hyperlink" Target="https://www.bhphotovideo.com/c/product/1512043-REG/tamron_f035_35mm_f_2_8_di_iii.html/BI/19619/KBID/12129/DFF/d10-v21-t1-x994972/SID/EZ" TargetMode="External"/><Relationship Id="rId329" Type="http://schemas.openxmlformats.org/officeDocument/2006/relationships/hyperlink" Target="http://rover.ebay.com/rover/1/711-53200-19255-0/1?icep_ff3=9&amp;pub=5575076376&amp;toolid=10001&amp;campid=5338164340&amp;customid=&amp;icep_uq=viltrox+85mm+1.8+sony+stm&amp;icep_sellerId=&amp;icep_ex_kw=&amp;icep_sortBy=12&amp;icep_catId=3323&amp;icep_minPrice=&amp;icep_maxPrice=&amp;ipn=psmain&amp;icep_vectorid=229466&amp;kwid=902099&amp;mtid=824&amp;kw=lg" TargetMode="External"/><Relationship Id="rId207" Type="http://schemas.openxmlformats.org/officeDocument/2006/relationships/hyperlink" Target="https://amzn.to/2LUF8sR" TargetMode="External"/><Relationship Id="rId328" Type="http://schemas.openxmlformats.org/officeDocument/2006/relationships/hyperlink" Target="https://www.bhphotovideo.com/c/product/1470585-REG/viltrox_pfu_rbmh_85mm_f1_8_stm_e_mount_85mm_f_1_8_lens_for.html/BI/19619/KBID/12129/DFF/d10-v21-t1-x955239/SID/EZ" TargetMode="External"/><Relationship Id="rId202" Type="http://schemas.openxmlformats.org/officeDocument/2006/relationships/hyperlink" Target="https://amzn.to/2yvhL24" TargetMode="External"/><Relationship Id="rId323" Type="http://schemas.openxmlformats.org/officeDocument/2006/relationships/hyperlink" Target="https://amzn.to/2SZfd5v" TargetMode="External"/><Relationship Id="rId201" Type="http://schemas.openxmlformats.org/officeDocument/2006/relationships/hyperlink" Target="http://www.photozone.de/sonyalphaff/865-zeiss35f28ff" TargetMode="External"/><Relationship Id="rId322" Type="http://schemas.openxmlformats.org/officeDocument/2006/relationships/hyperlink" Target="https://phillipreeve.net/blog/review-viltrox-85-mm-f-1-8-stm-af-pfu-rbmh/" TargetMode="External"/><Relationship Id="rId200" Type="http://schemas.openxmlformats.org/officeDocument/2006/relationships/hyperlink" Target="http://rover.ebay.com/rover/1/711-53200-19255-0/1?icep_ff3=9&amp;pub=5575076376&amp;toolid=10001&amp;campid=5338573609&amp;customid=&amp;icep_uq=loxia+35&amp;icep_sellerId=&amp;icep_ex_kw=&amp;icep_sortBy=12&amp;icep_catId=3323&amp;icep_minPrice=&amp;icep_maxPrice=&amp;ipn=psmain&amp;icep_vectorid=229466&amp;kwid=902099&amp;mtid=824&amp;kw=lg" TargetMode="External"/><Relationship Id="rId321" Type="http://schemas.openxmlformats.org/officeDocument/2006/relationships/hyperlink" Target="http://rover.ebay.com/rover/1/711-53200-19255-0/1?icep_ff3=9&amp;pub=5575076376&amp;toolid=10001&amp;campid=5338164340&amp;customid=&amp;icep_uq=viltrox+85mm+1.8+sony+-stm&amp;icep_sellerId=&amp;icep_ex_kw=&amp;icep_sortBy=12&amp;icep_catId=3323&amp;icep_minPrice=&amp;icep_maxPrice=&amp;ipn=psmain&amp;icep_vectorid=229466&amp;kwid=902099&amp;mtid=824&amp;kw=lg" TargetMode="External"/><Relationship Id="rId320" Type="http://schemas.openxmlformats.org/officeDocument/2006/relationships/hyperlink" Target="https://amzn.to/2LVVOBV" TargetMode="External"/><Relationship Id="rId316" Type="http://schemas.openxmlformats.org/officeDocument/2006/relationships/hyperlink" Target="https://phillipreeve.net/blog/zeiss-batis-sonnar-t-85mm-f1-8-a-review/" TargetMode="External"/><Relationship Id="rId315" Type="http://schemas.openxmlformats.org/officeDocument/2006/relationships/hyperlink" Target="http://rover.ebay.com/rover/1/711-53200-19255-0/1?icep_ff3=9&amp;pub=5575076376&amp;toolid=10001&amp;campid=5338164340&amp;customid=&amp;icep_uq=tokina+85mm+1.8+sony+-stm&amp;icep_sellerId=&amp;icep_ex_kw=&amp;icep_sortBy=12&amp;icep_catId=3323&amp;icep_minPrice=&amp;icep_maxPrice=&amp;ipn=psmain&amp;icep_vectorid=229466&amp;kwid=902099&amp;mtid=824&amp;kw=lg" TargetMode="External"/><Relationship Id="rId314" Type="http://schemas.openxmlformats.org/officeDocument/2006/relationships/hyperlink" Target="https://www.bhphotovideo.com/c/product/1538410-REG/tokina_atx_m_af85fe_atx_m_85mm_f_1_8_fe.html/BI/19619/KBID/12129/DFF/d10-v21-t1-x1022449/SID/EZ" TargetMode="External"/><Relationship Id="rId313" Type="http://schemas.openxmlformats.org/officeDocument/2006/relationships/hyperlink" Target="http://rover.ebay.com/rover/1/711-53200-19255-0/1?icep_ff3=9&amp;pub=5575076376&amp;toolid=10001&amp;campid=5338164340&amp;customid=&amp;icep_uq=sony+85mm+1.8+fe&amp;icep_sellerId=&amp;icep_ex_kw=&amp;icep_sortBy=12&amp;icep_catId=3323&amp;icep_minPrice=&amp;icep_maxPrice=&amp;ipn=psmain&amp;icep_vectorid=229466&amp;kwid=902099&amp;mtid=824&amp;kw=lg" TargetMode="External"/><Relationship Id="rId319" Type="http://schemas.openxmlformats.org/officeDocument/2006/relationships/hyperlink" Target="http://rover.ebay.com/rover/1/711-53200-19255-0/1?icep_ff3=9&amp;pub=5575076376&amp;toolid=10001&amp;campid=5338164340&amp;customid=&amp;icep_uq=batis+85mm+1.8+sony&amp;icep_sellerId=&amp;icep_ex_kw=&amp;icep_sortBy=12&amp;icep_catId=3323&amp;icep_minPrice=&amp;icep_maxPrice=&amp;ipn=psmain&amp;icep_vectorid=229466&amp;kwid=902099&amp;mtid=824&amp;kw=lg" TargetMode="External"/><Relationship Id="rId318" Type="http://schemas.openxmlformats.org/officeDocument/2006/relationships/hyperlink" Target="https://www.bhphotovideo.com/c/product/1140833-REG/zeiss_2103_751_85mm_f_1_8_batis_short.html/BI/19619/KBID/12129/DFF/d10-v21-t1-x627139/SID/EZ" TargetMode="External"/><Relationship Id="rId317" Type="http://schemas.openxmlformats.org/officeDocument/2006/relationships/hyperlink" Target="https://amzn.to/2T8oWqt" TargetMode="External"/><Relationship Id="rId312" Type="http://schemas.openxmlformats.org/officeDocument/2006/relationships/hyperlink" Target="https://www.bhphotovideo.com/c/product/1140833-REG/zeiss_2103_751_85mm_f_1_8_batis_short.html/BI/19619/KBID/12129/DFF/d10-v21-t1-x627139/SID/EZ" TargetMode="External"/><Relationship Id="rId311" Type="http://schemas.openxmlformats.org/officeDocument/2006/relationships/hyperlink" Target="https://amzn.to/2YB4RxU" TargetMode="External"/><Relationship Id="rId310" Type="http://schemas.openxmlformats.org/officeDocument/2006/relationships/hyperlink" Target="https://phillipreeve.net/blog/review-sony-fe-85-mm-1-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de" TargetMode="External"/><Relationship Id="rId3" Type="http://schemas.openxmlformats.org/officeDocument/2006/relationships/hyperlink" Target="http://ebay.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ebay.com" TargetMode="External"/><Relationship Id="rId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57"/>
    <col customWidth="1" min="11" max="11" width="5.43"/>
    <col customWidth="1" min="12" max="12" width="5.0"/>
    <col customWidth="1" min="13" max="13" width="6.14"/>
    <col customWidth="1" min="14" max="14" width="13.29"/>
    <col customWidth="1" min="15" max="15" width="7.43"/>
    <col customWidth="1" min="16" max="17" width="7.71"/>
    <col customWidth="1" min="18" max="21" width="4.0"/>
  </cols>
  <sheetData>
    <row r="1" ht="76.5" customHeight="1">
      <c r="A1" s="1" t="s">
        <v>0</v>
      </c>
      <c r="B1" s="2" t="s">
        <v>1</v>
      </c>
      <c r="C1" s="3" t="s">
        <v>2</v>
      </c>
      <c r="D1" s="4" t="s">
        <v>3</v>
      </c>
      <c r="E1" s="5" t="s">
        <v>4</v>
      </c>
      <c r="F1" s="6" t="s">
        <v>5</v>
      </c>
      <c r="G1" s="7" t="s">
        <v>6</v>
      </c>
      <c r="H1" s="8" t="s">
        <v>7</v>
      </c>
      <c r="I1" s="3" t="s">
        <v>8</v>
      </c>
      <c r="J1" s="9" t="s">
        <v>9</v>
      </c>
      <c r="K1" s="5" t="s">
        <v>10</v>
      </c>
      <c r="L1" s="3" t="s">
        <v>11</v>
      </c>
      <c r="M1" s="7" t="s">
        <v>12</v>
      </c>
      <c r="N1" s="10" t="s">
        <v>13</v>
      </c>
      <c r="O1" s="3" t="s">
        <v>14</v>
      </c>
      <c r="P1" s="11" t="s">
        <v>15</v>
      </c>
      <c r="Q1" s="12" t="s">
        <v>16</v>
      </c>
      <c r="R1" s="13" t="s">
        <v>17</v>
      </c>
      <c r="S1" s="14" t="s">
        <v>18</v>
      </c>
      <c r="T1" s="13" t="s">
        <v>19</v>
      </c>
      <c r="U1" s="15" t="s">
        <v>20</v>
      </c>
      <c r="V1" s="16" t="s">
        <v>21</v>
      </c>
    </row>
    <row r="2" ht="18.0" customHeight="1">
      <c r="A2" s="17" t="s">
        <v>22</v>
      </c>
      <c r="B2" s="18"/>
      <c r="C2" s="18"/>
      <c r="D2" s="18"/>
      <c r="E2" s="18"/>
      <c r="F2" s="18"/>
      <c r="G2" s="19"/>
      <c r="H2" s="20"/>
      <c r="I2" s="18"/>
      <c r="J2" s="18"/>
      <c r="K2" s="19"/>
      <c r="L2" s="18"/>
      <c r="M2" s="19"/>
      <c r="N2" s="21"/>
      <c r="O2" s="19"/>
      <c r="P2" s="18"/>
      <c r="Q2" s="18"/>
      <c r="R2" s="18"/>
      <c r="S2" s="18"/>
      <c r="T2" s="18"/>
      <c r="U2" s="18"/>
    </row>
    <row r="3">
      <c r="A3" s="22" t="str">
        <f>HYPERLINK("https://phillipreeve.net/blog/review-voigtlander-10mm-5-6-e-hyper-wide-heliar/","Voigtlander 10mm F5.6 Hyper Wide ")</f>
        <v>Voigtlander 10mm F5.6 Hyper Wide </v>
      </c>
      <c r="B3" s="23">
        <v>375.0</v>
      </c>
      <c r="C3" s="24">
        <v>10.0</v>
      </c>
      <c r="D3" s="25">
        <v>5.6</v>
      </c>
      <c r="E3" s="26">
        <v>67.0</v>
      </c>
      <c r="F3" s="27" t="s">
        <v>23</v>
      </c>
      <c r="G3" s="28" t="s">
        <v>24</v>
      </c>
      <c r="H3" s="29" t="s">
        <v>25</v>
      </c>
      <c r="I3" s="30">
        <v>0.067</v>
      </c>
      <c r="J3" s="31">
        <v>30.0</v>
      </c>
      <c r="K3" s="32" t="s">
        <v>26</v>
      </c>
      <c r="L3" s="30">
        <v>10.0</v>
      </c>
      <c r="M3" s="33" t="s">
        <v>27</v>
      </c>
      <c r="N3" s="30" t="s">
        <v>28</v>
      </c>
      <c r="O3" s="34">
        <v>42552.0</v>
      </c>
      <c r="P3" s="35">
        <v>1099.0</v>
      </c>
      <c r="Q3" s="35">
        <v>750.0</v>
      </c>
      <c r="R3" s="36" t="str">
        <f>HYPERLINK("https://amzn.to/2jJ8WxH","link*")</f>
        <v>link*</v>
      </c>
      <c r="S3" s="36" t="str">
        <f>HYPERLINK("https://www.bhphotovideo.com/c/product/1219550-REG/voigtlander_ba334b_heliar_hyper_wide_10mm_f_5_6.html/BI/19619/KBID/12129/DFF/d10-v21-t1-x732282/SID/EZ","link*")</f>
        <v>link*</v>
      </c>
      <c r="T3" s="36" t="str">
        <f>HYPERLINK("https://amzn.to/2jG72hr","link*")</f>
        <v>link*</v>
      </c>
      <c r="U3" s="36"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V3" s="37"/>
    </row>
    <row r="4">
      <c r="A4" s="38" t="s">
        <v>29</v>
      </c>
      <c r="B4" s="39">
        <v>565.0</v>
      </c>
      <c r="C4" s="40">
        <v>12.0</v>
      </c>
      <c r="D4" s="41">
        <v>4.0</v>
      </c>
      <c r="E4" s="42">
        <v>87.0</v>
      </c>
      <c r="F4" s="43">
        <v>117.0</v>
      </c>
      <c r="G4" s="44" t="s">
        <v>30</v>
      </c>
      <c r="H4" s="45" t="s">
        <v>25</v>
      </c>
      <c r="I4" s="46">
        <v>0.14</v>
      </c>
      <c r="J4" s="47">
        <v>24.0</v>
      </c>
      <c r="K4" s="44" t="s">
        <v>26</v>
      </c>
      <c r="L4" s="46">
        <v>7.0</v>
      </c>
      <c r="M4" s="48" t="s">
        <v>31</v>
      </c>
      <c r="N4" s="46" t="s">
        <v>32</v>
      </c>
      <c r="O4" s="49">
        <v>42856.0</v>
      </c>
      <c r="P4" s="50">
        <v>1699.0</v>
      </c>
      <c r="Q4" s="50">
        <v>1125.0</v>
      </c>
      <c r="R4" s="51" t="str">
        <f>HYPERLINK("https://amzn.to/2SSzKc4","link*")</f>
        <v>link*</v>
      </c>
      <c r="S4" s="51" t="str">
        <f>HYPERLINK("https://www.bhphotovideo.com/c/product/1338517-REG/sony_sel1224g_fe_12_24mm_f_4_g.html/BI/19619/KBID/12129/DFF/d10-v21-t1-x822838/SID/EZ","link*")</f>
        <v>link*</v>
      </c>
      <c r="T4" s="51" t="str">
        <f>HYPERLINK("https://amzn.to/2Kg94zb","link*")</f>
        <v>link*</v>
      </c>
      <c r="U4" s="52" t="s">
        <v>33</v>
      </c>
    </row>
    <row r="5">
      <c r="A5" s="53" t="s">
        <v>34</v>
      </c>
      <c r="B5" s="54">
        <v>847.0</v>
      </c>
      <c r="C5" s="55">
        <v>12.0</v>
      </c>
      <c r="D5" s="56">
        <v>2.8</v>
      </c>
      <c r="E5" s="57">
        <v>97.6</v>
      </c>
      <c r="F5" s="58">
        <v>137.0</v>
      </c>
      <c r="G5" s="59" t="s">
        <v>30</v>
      </c>
      <c r="H5" s="60" t="s">
        <v>25</v>
      </c>
      <c r="I5" s="61">
        <v>0.14</v>
      </c>
      <c r="J5" s="62">
        <v>28.0</v>
      </c>
      <c r="K5" s="59" t="s">
        <v>26</v>
      </c>
      <c r="L5" s="61">
        <v>9.0</v>
      </c>
      <c r="M5" s="63" t="s">
        <v>35</v>
      </c>
      <c r="N5" s="61" t="s">
        <v>32</v>
      </c>
      <c r="O5" s="64">
        <v>44056.0</v>
      </c>
      <c r="P5" s="65">
        <v>2999.0</v>
      </c>
      <c r="Q5" s="65" t="s">
        <v>36</v>
      </c>
      <c r="R5" s="66"/>
      <c r="S5" s="67" t="s">
        <v>33</v>
      </c>
      <c r="T5" s="66"/>
      <c r="U5" s="52" t="s">
        <v>33</v>
      </c>
      <c r="V5" s="68" t="s">
        <v>37</v>
      </c>
    </row>
    <row r="6">
      <c r="A6" s="22" t="str">
        <f>HYPERLINK("https://phillipreeve.net/blog/review-voigtlander-12mm-5-6-aspherical-ultra-wide-heliar/","Voigtlander 12mm F5.6 Ultra Wide-Heliar Aspherical")</f>
        <v>Voigtlander 12mm F5.6 Ultra Wide-Heliar Aspherical</v>
      </c>
      <c r="B6" s="23">
        <v>350.0</v>
      </c>
      <c r="C6" s="24">
        <v>12.0</v>
      </c>
      <c r="D6" s="25">
        <v>5.6</v>
      </c>
      <c r="E6" s="69">
        <v>67.0</v>
      </c>
      <c r="F6" s="27">
        <v>68.0</v>
      </c>
      <c r="G6" s="32" t="s">
        <v>24</v>
      </c>
      <c r="H6" s="29" t="s">
        <v>25</v>
      </c>
      <c r="I6" s="30"/>
      <c r="J6" s="31">
        <v>30.0</v>
      </c>
      <c r="K6" s="32" t="s">
        <v>26</v>
      </c>
      <c r="L6" s="30">
        <v>10.0</v>
      </c>
      <c r="M6" s="33" t="s">
        <v>38</v>
      </c>
      <c r="N6" s="30" t="s">
        <v>28</v>
      </c>
      <c r="O6" s="34">
        <v>42583.0</v>
      </c>
      <c r="P6" s="35">
        <v>749.0</v>
      </c>
      <c r="Q6" s="35" t="s">
        <v>36</v>
      </c>
      <c r="R6" s="70"/>
      <c r="S6" s="70"/>
      <c r="T6" s="70"/>
      <c r="U6" s="36"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V6" s="37" t="s">
        <v>39</v>
      </c>
    </row>
    <row r="7">
      <c r="A7" s="38" t="s">
        <v>40</v>
      </c>
      <c r="B7" s="39">
        <v>1220.0</v>
      </c>
      <c r="C7" s="40">
        <v>14.0</v>
      </c>
      <c r="D7" s="71">
        <v>1.8</v>
      </c>
      <c r="E7" s="72">
        <v>95.0</v>
      </c>
      <c r="F7" s="73">
        <v>152.0</v>
      </c>
      <c r="G7" s="46" t="s">
        <v>30</v>
      </c>
      <c r="H7" s="45" t="s">
        <v>25</v>
      </c>
      <c r="I7" s="46">
        <v>0.1</v>
      </c>
      <c r="J7" s="47">
        <v>27.0</v>
      </c>
      <c r="K7" s="44" t="s">
        <v>26</v>
      </c>
      <c r="L7" s="46">
        <v>9.0</v>
      </c>
      <c r="M7" s="74">
        <v>43785.0</v>
      </c>
      <c r="N7" s="46" t="s">
        <v>41</v>
      </c>
      <c r="O7" s="49">
        <v>43221.0</v>
      </c>
      <c r="P7" s="50">
        <v>1599.0</v>
      </c>
      <c r="Q7" s="50">
        <v>950.0</v>
      </c>
      <c r="R7" s="51" t="str">
        <f>HYPERLINK("https://amzn.to/2SOWTvV","link*")</f>
        <v>link*</v>
      </c>
      <c r="S7" s="51" t="str">
        <f>HYPERLINK("https://www.bhphotovideo.com/c/product/1393489-REG/sigma_14mm_f_1_8_dg_hsm.html/BI/19619/KBID/12129/DFF/d10-v21-t1-x881154/SID/EZ","link*")</f>
        <v>link*</v>
      </c>
      <c r="T7" s="51" t="str">
        <f>HYPERLINK("https://amzn.to/2ZDl4QJ","link*")</f>
        <v>link*</v>
      </c>
      <c r="U7" s="51"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V7" s="68" t="s">
        <v>42</v>
      </c>
    </row>
    <row r="8">
      <c r="A8" s="75" t="s">
        <v>43</v>
      </c>
      <c r="B8" s="76">
        <v>795.0</v>
      </c>
      <c r="C8" s="77">
        <v>14.0</v>
      </c>
      <c r="D8" s="78">
        <v>2.8</v>
      </c>
      <c r="E8" s="79">
        <v>85.0</v>
      </c>
      <c r="F8" s="80">
        <v>131.0</v>
      </c>
      <c r="G8" s="81" t="s">
        <v>30</v>
      </c>
      <c r="H8" s="82" t="s">
        <v>25</v>
      </c>
      <c r="I8" s="81">
        <v>0.14</v>
      </c>
      <c r="J8" s="83">
        <v>28.0</v>
      </c>
      <c r="K8" s="84" t="s">
        <v>26</v>
      </c>
      <c r="L8" s="81">
        <v>11.0</v>
      </c>
      <c r="M8" s="85" t="s">
        <v>44</v>
      </c>
      <c r="N8" s="81" t="s">
        <v>41</v>
      </c>
      <c r="O8" s="86">
        <v>43693.0</v>
      </c>
      <c r="P8" s="87">
        <v>1399.0</v>
      </c>
      <c r="Q8" s="87">
        <v>1100.0</v>
      </c>
      <c r="R8" s="88" t="str">
        <f>HYPERLINK("https://amzn.to/2zt8rMC","link*")</f>
        <v>link*</v>
      </c>
      <c r="S8" s="88" t="str">
        <f>HYPERLINK("https://www.bhphotovideo.com/c/product/1492972-REG/sigma_213965_14_24mm_f_2_8_dg_dn.html/BI/19619/KBID/12129/DFF/d10-v21-t1-x976041/SID/EZ","link*")</f>
        <v>link*</v>
      </c>
      <c r="T8" s="89" t="s">
        <v>33</v>
      </c>
      <c r="U8"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V8" s="68" t="s">
        <v>37</v>
      </c>
    </row>
    <row r="9">
      <c r="A9" s="90" t="s">
        <v>45</v>
      </c>
      <c r="B9" s="23">
        <v>505.0</v>
      </c>
      <c r="C9" s="24">
        <v>14.0</v>
      </c>
      <c r="D9" s="25">
        <v>2.8</v>
      </c>
      <c r="E9" s="91">
        <v>86.0</v>
      </c>
      <c r="F9" s="92">
        <v>98.0</v>
      </c>
      <c r="G9" s="30" t="s">
        <v>30</v>
      </c>
      <c r="H9" s="29" t="s">
        <v>25</v>
      </c>
      <c r="I9" s="30">
        <v>0.12</v>
      </c>
      <c r="J9" s="31">
        <v>20.0</v>
      </c>
      <c r="K9" s="32" t="s">
        <v>26</v>
      </c>
      <c r="L9" s="30">
        <v>7.0</v>
      </c>
      <c r="M9" s="93">
        <v>43752.0</v>
      </c>
      <c r="N9" s="30" t="s">
        <v>46</v>
      </c>
      <c r="O9" s="34">
        <v>43221.0</v>
      </c>
      <c r="P9" s="35">
        <v>799.0</v>
      </c>
      <c r="Q9" s="35">
        <v>350.0</v>
      </c>
      <c r="R9" s="36" t="str">
        <f>HYPERLINK("https://amzn.to/2SX2HUi","link*")</f>
        <v>link*</v>
      </c>
      <c r="S9" s="36" t="str">
        <f>HYPERLINK("https://www.bhphotovideo.com/c/product/1352863-REG/samyang_syio14af_e_14mm_f_2_8_f_f_wide.html/BI/19619/KBID/12129/DFF/d10-v21-t1-x837928/SID/EZ","link*")</f>
        <v>link*</v>
      </c>
      <c r="T9" s="36" t="str">
        <f>HYPERLINK("https://amzn.to/31hwSIL","link*")</f>
        <v>link*</v>
      </c>
      <c r="U9" s="36"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V9" s="94"/>
    </row>
    <row r="10">
      <c r="A10" s="95" t="str">
        <f>HYPERLINK("https://phillipreeve.net/blog/review-voigtlander-15mm-4-5-e-super-wide-heliar/","Voigtlander 15mm F4.5 Super Wide Heliar")</f>
        <v>Voigtlander 15mm F4.5 Super Wide Heliar</v>
      </c>
      <c r="B10" s="96">
        <v>298.0</v>
      </c>
      <c r="C10" s="97">
        <v>15.0</v>
      </c>
      <c r="D10" s="98">
        <v>4.5</v>
      </c>
      <c r="E10" s="99">
        <v>67.0</v>
      </c>
      <c r="F10" s="100">
        <v>62.0</v>
      </c>
      <c r="G10" s="101" t="s">
        <v>24</v>
      </c>
      <c r="H10" s="102" t="s">
        <v>47</v>
      </c>
      <c r="I10" s="103">
        <v>0.083</v>
      </c>
      <c r="J10" s="104">
        <v>30.0</v>
      </c>
      <c r="K10" s="101" t="s">
        <v>26</v>
      </c>
      <c r="L10" s="103">
        <v>10.0</v>
      </c>
      <c r="M10" s="105" t="s">
        <v>38</v>
      </c>
      <c r="N10" s="103" t="s">
        <v>28</v>
      </c>
      <c r="O10" s="106">
        <v>42401.0</v>
      </c>
      <c r="P10" s="107">
        <v>799.0</v>
      </c>
      <c r="Q10" s="107">
        <v>500.0</v>
      </c>
      <c r="R10" s="108" t="str">
        <f>HYPERLINK("https://amzn.to/2YwplrQ","link*")</f>
        <v>link*</v>
      </c>
      <c r="S10" s="108" t="str">
        <f>HYPERLINK("https://www.bhphotovideo.com/c/product/1219549-REG/voigtlander_ba329b_super_wide_heliar_15mm_f_4_5.html/BI/19619/KBID/12129/DFF/d10-v21-t1-x618202/SID/EZ","link*")</f>
        <v>link*</v>
      </c>
      <c r="T10" s="108" t="str">
        <f>HYPERLINK("https://amzn.to/2ZpTKt5","link*")</f>
        <v>link*</v>
      </c>
      <c r="U10" s="10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V10" s="94"/>
    </row>
    <row r="11">
      <c r="A11" s="109" t="str">
        <f>HYPERLINK("https://phillipreeve.net/blog/sony-fe-16-35mm-f4-za-t-review/","Sony ZA 4/16-35 OSS ")</f>
        <v>Sony ZA 4/16-35 OSS </v>
      </c>
      <c r="B11" s="39">
        <v>523.0</v>
      </c>
      <c r="C11" s="40">
        <v>16.0</v>
      </c>
      <c r="D11" s="41">
        <v>4.0</v>
      </c>
      <c r="E11" s="42">
        <v>78.0</v>
      </c>
      <c r="F11" s="43">
        <v>98.0</v>
      </c>
      <c r="G11" s="44" t="s">
        <v>30</v>
      </c>
      <c r="H11" s="45" t="s">
        <v>48</v>
      </c>
      <c r="I11" s="46">
        <v>0.19</v>
      </c>
      <c r="J11" s="47">
        <v>28.0</v>
      </c>
      <c r="K11" s="110" t="s">
        <v>49</v>
      </c>
      <c r="L11" s="46">
        <v>7.0</v>
      </c>
      <c r="M11" s="111" t="s">
        <v>38</v>
      </c>
      <c r="N11" s="46" t="s">
        <v>32</v>
      </c>
      <c r="O11" s="49">
        <v>41883.0</v>
      </c>
      <c r="P11" s="50">
        <v>1349.0</v>
      </c>
      <c r="Q11" s="50">
        <v>750.0</v>
      </c>
      <c r="R11" s="51" t="str">
        <f>HYPERLINK("http://amzn.to/2v2sY7q","link*")</f>
        <v>link*</v>
      </c>
      <c r="S11" s="51" t="str">
        <f>HYPERLINK("https://www.bhphotovideo.com/c/product/1380866-REG/sony_16_35mm_f_4_vario_tsr.html/BI/19619/KBID/12129/kw/SO16354F/DFF/d10-v2-t1-xSO16354F","link*")</f>
        <v>link*</v>
      </c>
      <c r="T11" s="51" t="str">
        <f>HYPERLINK("http://amzn.to/2wyMLuP","link*")</f>
        <v>link*</v>
      </c>
      <c r="U11" s="51"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row>
    <row r="12">
      <c r="A12" s="90" t="s">
        <v>50</v>
      </c>
      <c r="B12" s="23">
        <v>680.0</v>
      </c>
      <c r="C12" s="24">
        <v>16.0</v>
      </c>
      <c r="D12" s="25">
        <v>2.8</v>
      </c>
      <c r="E12" s="91">
        <v>89.0</v>
      </c>
      <c r="F12" s="92">
        <v>122.0</v>
      </c>
      <c r="G12" s="32" t="s">
        <v>30</v>
      </c>
      <c r="H12" s="29" t="s">
        <v>51</v>
      </c>
      <c r="I12" s="30">
        <v>0.19</v>
      </c>
      <c r="J12" s="31">
        <v>28.0</v>
      </c>
      <c r="K12" s="32" t="s">
        <v>26</v>
      </c>
      <c r="L12" s="30">
        <v>11.0</v>
      </c>
      <c r="M12" s="112" t="s">
        <v>52</v>
      </c>
      <c r="N12" s="30" t="s">
        <v>32</v>
      </c>
      <c r="O12" s="34">
        <v>42856.0</v>
      </c>
      <c r="P12" s="35">
        <v>2199.0</v>
      </c>
      <c r="Q12" s="35">
        <v>1650.0</v>
      </c>
      <c r="R12" s="36" t="str">
        <f>HYPERLINK("https://amzn.to/2SR0IRl","link*")</f>
        <v>link*</v>
      </c>
      <c r="S12" s="36" t="str">
        <f>HYPERLINK("https://www.bhphotovideo.com/c/product/1338516-REG/sony_sel1635gm_fe_16_35mm_f_2_8_gm.html/BI/19619/KBID/12129/DFF/d10-v21-t1-x822837/SID/EZ","link*")</f>
        <v>link*</v>
      </c>
      <c r="T12" s="36" t="str">
        <f>HYPERLINK("https://amzn.to/2T1ZxOU","link*")</f>
        <v>link*</v>
      </c>
      <c r="U12" s="36"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V12" s="94"/>
    </row>
    <row r="13">
      <c r="A13" s="95" t="str">
        <f>HYPERLINK("https://phillipreeve.net/blog/review-tamron-17-28mm-f-2-8-di-iii-rxd/","Tamron 17-28mm f/2.8 Di III RXD")</f>
        <v>Tamron 17-28mm f/2.8 Di III RXD</v>
      </c>
      <c r="B13" s="96">
        <v>420.0</v>
      </c>
      <c r="C13" s="97">
        <v>17.0</v>
      </c>
      <c r="D13" s="98">
        <v>2.8</v>
      </c>
      <c r="E13" s="113">
        <v>73.0</v>
      </c>
      <c r="F13" s="114">
        <v>99.0</v>
      </c>
      <c r="G13" s="101" t="s">
        <v>30</v>
      </c>
      <c r="H13" s="102" t="s">
        <v>53</v>
      </c>
      <c r="I13" s="103">
        <v>0.19</v>
      </c>
      <c r="J13" s="104">
        <v>19.0</v>
      </c>
      <c r="K13" s="101" t="s">
        <v>26</v>
      </c>
      <c r="L13" s="103">
        <v>9.0</v>
      </c>
      <c r="M13" s="105" t="s">
        <v>54</v>
      </c>
      <c r="N13" s="103" t="s">
        <v>55</v>
      </c>
      <c r="O13" s="106">
        <v>43647.0</v>
      </c>
      <c r="P13" s="115">
        <v>899.0</v>
      </c>
      <c r="Q13" s="107">
        <v>740.0</v>
      </c>
      <c r="R13" s="108" t="str">
        <f>HYPERLINK("https://amzn.to/2Hv3AyB","link*")</f>
        <v>link*</v>
      </c>
      <c r="S13" s="108" t="str">
        <f>HYPERLINK("https://www.bhphotovideo.com/c/product/1461529-REG/tamron_a046_17_28mm_f_2_8_di_iii.html/BI/19619/KBID/12129/DFF/d10-v21-t1-x946694/SID/EZ","link*")</f>
        <v>link*</v>
      </c>
      <c r="T13" s="108" t="str">
        <f>HYPERLINK("https://amzn.to/2YkrkQB","link*")</f>
        <v>link*</v>
      </c>
      <c r="U13" s="10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V13" s="94"/>
      <c r="W13" s="116"/>
    </row>
    <row r="14">
      <c r="A14" s="109" t="str">
        <f>HYPERLINK("https://phillipreeve.net/blog/review-zeiss-batis-18mm-2-8/","Zeiss Batis 2.8/18")</f>
        <v>Zeiss Batis 2.8/18</v>
      </c>
      <c r="B14" s="39">
        <v>330.0</v>
      </c>
      <c r="C14" s="40">
        <v>18.0</v>
      </c>
      <c r="D14" s="41">
        <v>2.8</v>
      </c>
      <c r="E14" s="42">
        <v>100.0</v>
      </c>
      <c r="F14" s="43">
        <v>80.0</v>
      </c>
      <c r="G14" s="44" t="s">
        <v>30</v>
      </c>
      <c r="H14" s="45" t="s">
        <v>56</v>
      </c>
      <c r="I14" s="46">
        <v>0.1</v>
      </c>
      <c r="J14" s="47">
        <v>25.0</v>
      </c>
      <c r="K14" s="44" t="s">
        <v>26</v>
      </c>
      <c r="L14" s="46">
        <v>9.0</v>
      </c>
      <c r="M14" s="111" t="s">
        <v>57</v>
      </c>
      <c r="N14" s="46" t="s">
        <v>58</v>
      </c>
      <c r="O14" s="49">
        <v>42491.0</v>
      </c>
      <c r="P14" s="50">
        <v>1499.0</v>
      </c>
      <c r="Q14" s="50">
        <v>750.0</v>
      </c>
      <c r="R14" s="51" t="str">
        <f>HYPERLINK("https://amzn.to/2SRFBhL","link*")</f>
        <v>link*</v>
      </c>
      <c r="S14" s="51" t="str">
        <f>HYPERLINK("https://www.bhphotovideo.com/c/product/1243591-REG/zeiss_2136_691_batis_18mm_f_2_8_lens.html/BI/19619/KBID/12129/DFF/d10-v21-t1-x727488/SID/EZ","link*")</f>
        <v>link*</v>
      </c>
      <c r="T14" s="51" t="str">
        <f>HYPERLINK("https://amzn.to/334PqNT","link*")</f>
        <v>link*</v>
      </c>
      <c r="U14" s="51"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row>
    <row r="15">
      <c r="A15" s="117" t="s">
        <v>59</v>
      </c>
      <c r="B15" s="23">
        <v>145.0</v>
      </c>
      <c r="C15" s="24">
        <v>18.0</v>
      </c>
      <c r="D15" s="25">
        <v>2.8</v>
      </c>
      <c r="E15" s="91">
        <v>63.5</v>
      </c>
      <c r="F15" s="92">
        <v>60.5</v>
      </c>
      <c r="G15" s="32" t="s">
        <v>30</v>
      </c>
      <c r="H15" s="29" t="s">
        <v>47</v>
      </c>
      <c r="I15" s="30">
        <v>0.09</v>
      </c>
      <c r="J15" s="31">
        <v>25.0</v>
      </c>
      <c r="K15" s="32" t="s">
        <v>26</v>
      </c>
      <c r="L15" s="30">
        <v>7.0</v>
      </c>
      <c r="M15" s="112" t="s">
        <v>60</v>
      </c>
      <c r="N15" s="30" t="s">
        <v>46</v>
      </c>
      <c r="O15" s="34">
        <v>43723.0</v>
      </c>
      <c r="P15" s="35">
        <v>399.0</v>
      </c>
      <c r="Q15" s="35">
        <v>240.0</v>
      </c>
      <c r="R15" s="118" t="s">
        <v>33</v>
      </c>
      <c r="S15" s="36" t="str">
        <f>HYPERLINK("https://www.bhphotovideo.com/c/product/1503295-REG/samyang_syio18af_e_af_18mm_f_2_8_fe.html/BI/19619/KBID/12129/DFF/d10-v21-t1-x985623/SID/EZ","link*")</f>
        <v>link*</v>
      </c>
      <c r="T15" s="119"/>
      <c r="U15" s="51" t="str">
        <f>HYPERLINK("http://rover.ebay.com/rover/1/711-53200-19255-0/1?icep_ff3=9&amp;pub=5575076376&amp;toolid=10001&amp;campid=5338573609&amp;customid=&amp;icep_uq=samyang+18+2.8+sony&amp;icep_sellerId=&amp;icep_ex_kw=&amp;icep_sortBy=12&amp;icep_catId=3323&amp;icep_minPrice=&amp;icep_maxPrice=&amp;ipn=psmain&amp;icep_vector"&amp;"id=229466&amp;kwid=902099&amp;mtid=824&amp;kw=lg","link*")</f>
        <v>link*</v>
      </c>
      <c r="V15" s="94"/>
    </row>
    <row r="16" customHeight="1">
      <c r="A16" s="38" t="s">
        <v>61</v>
      </c>
      <c r="B16" s="39">
        <v>1050.0</v>
      </c>
      <c r="C16" s="40">
        <v>20.0</v>
      </c>
      <c r="D16" s="120">
        <v>1.4</v>
      </c>
      <c r="E16" s="42">
        <v>91.0</v>
      </c>
      <c r="F16" s="43">
        <v>155.8</v>
      </c>
      <c r="G16" s="46" t="s">
        <v>30</v>
      </c>
      <c r="H16" s="45" t="s">
        <v>25</v>
      </c>
      <c r="I16" s="46">
        <v>0.14</v>
      </c>
      <c r="J16" s="47">
        <v>28.0</v>
      </c>
      <c r="K16" s="44" t="s">
        <v>26</v>
      </c>
      <c r="L16" s="46">
        <v>9.0</v>
      </c>
      <c r="M16" s="74">
        <v>43784.0</v>
      </c>
      <c r="N16" s="46" t="s">
        <v>41</v>
      </c>
      <c r="O16" s="49">
        <v>43221.0</v>
      </c>
      <c r="P16" s="50">
        <v>899.0</v>
      </c>
      <c r="Q16" s="50">
        <v>550.0</v>
      </c>
      <c r="R16" s="51" t="str">
        <f>HYPERLINK("https://amzn.to/2K4J7nh","link*")</f>
        <v>link*</v>
      </c>
      <c r="S16" s="51" t="str">
        <f>HYPERLINK("https://www.bhphotovideo.com/c/product/1393490-REG/sigma_20mm_f_1_4_dg_hsm.html/BI/19619/KBID/12129/DFF/d10-v21-t1-x881155/SID/EZ","link*")</f>
        <v>link*</v>
      </c>
      <c r="T16" s="51" t="str">
        <f>HYPERLINK("https://amzn.to/2Wy0d3F","link*")</f>
        <v>link*</v>
      </c>
      <c r="U16" s="51"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V16" s="68" t="s">
        <v>42</v>
      </c>
    </row>
    <row r="17">
      <c r="A17" s="75" t="s">
        <v>62</v>
      </c>
      <c r="B17" s="76">
        <v>775.0</v>
      </c>
      <c r="C17" s="77">
        <v>20.0</v>
      </c>
      <c r="D17" s="121">
        <v>1.8</v>
      </c>
      <c r="E17" s="79">
        <v>77.0</v>
      </c>
      <c r="F17" s="122">
        <v>102.0</v>
      </c>
      <c r="G17" s="81" t="s">
        <v>24</v>
      </c>
      <c r="H17" s="82" t="s">
        <v>51</v>
      </c>
      <c r="I17" s="81">
        <v>0.12</v>
      </c>
      <c r="J17" s="83">
        <v>25.0</v>
      </c>
      <c r="K17" s="84" t="s">
        <v>26</v>
      </c>
      <c r="L17" s="81">
        <v>14.0</v>
      </c>
      <c r="M17" s="123">
        <v>43720.0</v>
      </c>
      <c r="N17" s="81" t="s">
        <v>63</v>
      </c>
      <c r="O17" s="86">
        <v>43586.0</v>
      </c>
      <c r="P17" s="87">
        <v>486.0</v>
      </c>
      <c r="Q17" s="87" t="s">
        <v>36</v>
      </c>
      <c r="R17" s="88" t="str">
        <f>HYPERLINK("https://amzn.to/2LRRbJ5","link*")</f>
        <v>link*</v>
      </c>
      <c r="S17" s="88" t="str">
        <f>HYPERLINK("https://www.bhphotovideo.com/c/product/1469187-REG/viltrox_pfu_rbmh_20mm_f1_8_asph_e_mount_20mm_f_1_8_for_sony.html/BI/19619/KBID/12129/DFF/d10-v21-t1-x954299/SID/EZ","link*")</f>
        <v>link*</v>
      </c>
      <c r="T17" s="88" t="str">
        <f>HYPERLINK("https://amzn.to/2GL8iYV","link*")</f>
        <v>link*</v>
      </c>
      <c r="U17"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row>
    <row r="18">
      <c r="A18" s="124" t="s">
        <v>64</v>
      </c>
      <c r="B18" s="76">
        <v>373.0</v>
      </c>
      <c r="C18" s="77">
        <v>20.0</v>
      </c>
      <c r="D18" s="125">
        <v>1.8</v>
      </c>
      <c r="E18" s="126">
        <v>73.5</v>
      </c>
      <c r="F18" s="127">
        <v>84.7</v>
      </c>
      <c r="G18" s="84" t="s">
        <v>30</v>
      </c>
      <c r="H18" s="82" t="s">
        <v>53</v>
      </c>
      <c r="I18" s="81">
        <v>0.2</v>
      </c>
      <c r="J18" s="83">
        <v>18.0</v>
      </c>
      <c r="K18" s="84" t="s">
        <v>26</v>
      </c>
      <c r="L18" s="81">
        <v>9.0</v>
      </c>
      <c r="M18" s="128" t="s">
        <v>65</v>
      </c>
      <c r="N18" s="81" t="s">
        <v>32</v>
      </c>
      <c r="O18" s="86">
        <v>43891.0</v>
      </c>
      <c r="P18" s="129">
        <v>899.0</v>
      </c>
      <c r="Q18" s="129">
        <v>800.0</v>
      </c>
      <c r="R18" s="88" t="str">
        <f>HYPERLINK("https://amzn.to/2wBkbOW","link*")</f>
        <v>link*</v>
      </c>
      <c r="S18" s="88" t="str">
        <f>HYPERLINK("https://www.bhphotovideo.com/c/product/1549627-REG/sony_sel20f18g_fe_20mm_f_1_8_g.html/BI/19619/KBID/12129/DFF/d10-v21-t1-x1029561/SID/EZ","link*")</f>
        <v>link*</v>
      </c>
      <c r="T18" s="130"/>
      <c r="U18" s="51" t="str">
        <f>HYPERLINK("http://rover.ebay.com/rover/1/711-53200-19255-0/1?icep_ff3=9&amp;pub=5575076376&amp;toolid=10001&amp;campid=5338573609&amp;customid=&amp;icep_uq=sony+g+20mm&amp;icep_sellerId=&amp;icep_ex_kw=&amp;icep_sortBy=12&amp;icep_catId=3323&amp;icep_minPrice=&amp;icep_maxPrice=&amp;ipn=psmain&amp;icep_vectorid=22946"&amp;"6&amp;kwid=902099&amp;mtid=824&amp;kw=lg","link*")</f>
        <v>link*</v>
      </c>
    </row>
    <row r="19">
      <c r="A19" s="131" t="str">
        <f>HYPERLINK("https://phillipreeve.net/blog/tokina-firin-20mm-f2-fe-review-a-good-deal/","Tokina Firin 2/20")</f>
        <v>Tokina Firin 2/20</v>
      </c>
      <c r="B19" s="76">
        <v>492.0</v>
      </c>
      <c r="C19" s="77">
        <v>20.0</v>
      </c>
      <c r="D19" s="125">
        <v>2.0</v>
      </c>
      <c r="E19" s="132">
        <v>69.0</v>
      </c>
      <c r="F19" s="133">
        <v>82.0</v>
      </c>
      <c r="G19" s="84" t="s">
        <v>24</v>
      </c>
      <c r="H19" s="82" t="s">
        <v>66</v>
      </c>
      <c r="I19" s="81">
        <v>0.1</v>
      </c>
      <c r="J19" s="83">
        <v>30.0</v>
      </c>
      <c r="K19" s="84" t="s">
        <v>26</v>
      </c>
      <c r="L19" s="81">
        <v>9.0</v>
      </c>
      <c r="M19" s="128" t="s">
        <v>54</v>
      </c>
      <c r="N19" s="81" t="s">
        <v>67</v>
      </c>
      <c r="O19" s="86">
        <v>42856.0</v>
      </c>
      <c r="P19" s="129">
        <v>799.0</v>
      </c>
      <c r="Q19" s="129">
        <v>300.0</v>
      </c>
      <c r="R19" s="88" t="str">
        <f>HYPERLINK("http://amzn.to/2vlG2Yq","link*")</f>
        <v>link*</v>
      </c>
      <c r="S19" s="88" t="str">
        <f>HYPERLINK("https://www.bhphotovideo.com/c/product/1281299-REG/tokina_firin_20mm_f_2_fe.html/BI/19619/KBID/12129/kw/TO202E/DFF/d10-v2-t1-xTO202E","link*")</f>
        <v>link*</v>
      </c>
      <c r="T19" s="88" t="str">
        <f>HYPERLINK("http://amzn.to/2vvtDkM","link*")</f>
        <v>link*</v>
      </c>
      <c r="U19"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row>
    <row r="20">
      <c r="A20" s="90" t="s">
        <v>68</v>
      </c>
      <c r="B20" s="23">
        <v>464.0</v>
      </c>
      <c r="C20" s="24">
        <v>20.0</v>
      </c>
      <c r="D20" s="134">
        <v>2.0</v>
      </c>
      <c r="E20" s="135">
        <v>73.0</v>
      </c>
      <c r="F20" s="136">
        <v>82.0</v>
      </c>
      <c r="G20" s="32" t="s">
        <v>30</v>
      </c>
      <c r="H20" s="29" t="s">
        <v>66</v>
      </c>
      <c r="I20" s="30">
        <v>0.1</v>
      </c>
      <c r="J20" s="31">
        <v>30.0</v>
      </c>
      <c r="K20" s="32" t="s">
        <v>26</v>
      </c>
      <c r="L20" s="30">
        <v>9.0</v>
      </c>
      <c r="M20" s="112" t="s">
        <v>54</v>
      </c>
      <c r="N20" s="30" t="s">
        <v>67</v>
      </c>
      <c r="O20" s="34">
        <v>43221.0</v>
      </c>
      <c r="P20" s="35">
        <v>949.0</v>
      </c>
      <c r="Q20" s="35">
        <v>600.0</v>
      </c>
      <c r="R20" s="36" t="str">
        <f>HYPERLINK("https://amzn.to/2GDurZb","link*")</f>
        <v>link*</v>
      </c>
      <c r="S20" s="36" t="str">
        <f>HYPERLINK("https://www.bhphotovideo.com/c/product/1393327-REG/tokina_firin_20mm_f_2_fe.html/BI/19619/KBID/12129/DFF/d10-v21-t1-x880327/SID/EZ","link*")</f>
        <v>link*</v>
      </c>
      <c r="T20" s="36" t="str">
        <f>HYPERLINK("https://amzn.to/2GJYCxw","link*")</f>
        <v>link*</v>
      </c>
      <c r="U20" s="36"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V20" s="94"/>
    </row>
    <row r="21">
      <c r="A21" s="137" t="s">
        <v>69</v>
      </c>
      <c r="B21" s="76">
        <v>220.0</v>
      </c>
      <c r="C21" s="77">
        <v>20.0</v>
      </c>
      <c r="D21" s="78">
        <v>2.8</v>
      </c>
      <c r="E21" s="138">
        <v>73.0</v>
      </c>
      <c r="F21" s="139">
        <v>64.0</v>
      </c>
      <c r="G21" s="84" t="s">
        <v>30</v>
      </c>
      <c r="H21" s="82" t="s">
        <v>53</v>
      </c>
      <c r="I21" s="140">
        <v>0.5</v>
      </c>
      <c r="J21" s="83">
        <v>11.0</v>
      </c>
      <c r="K21" s="84" t="s">
        <v>26</v>
      </c>
      <c r="L21" s="81">
        <v>7.0</v>
      </c>
      <c r="M21" s="128" t="s">
        <v>70</v>
      </c>
      <c r="N21" s="81" t="s">
        <v>55</v>
      </c>
      <c r="O21" s="86">
        <v>43860.0</v>
      </c>
      <c r="P21" s="141">
        <v>349.0</v>
      </c>
      <c r="Q21" s="141">
        <v>225.0</v>
      </c>
      <c r="R21" s="142" t="s">
        <v>33</v>
      </c>
      <c r="S21" s="88" t="str">
        <f>HYPERLINK("https://www.bhphotovideo.com/c/product/1512041-REG/tamron_f050_20mm_f_2_8_di_iii.html/BI/19619/KBID/12129/DFF/d10-v21-t1-x994970/SID/EZ","link*")</f>
        <v>link*</v>
      </c>
      <c r="T21" s="130"/>
      <c r="U21" s="88" t="str">
        <f>HYPERLINK("http://rover.ebay.com/rover/1/711-53200-19255-0/1?icep_ff3=9&amp;pub=5575076376&amp;toolid=10001&amp;campid=5338573609&amp;customid=&amp;icep_uq=tamron+20+2.8+osd+&amp;icep_sellerId=&amp;icep_ex_kw=&amp;icep_sortBy=12&amp;icep_catId=3323&amp;icep_minPrice=&amp;icep_maxPrice=&amp;ipn=psmain&amp;icep_vectori"&amp;"d=229466&amp;kwid=902099&amp;mtid=824&amp;kw=lg","link*")</f>
        <v>link*</v>
      </c>
    </row>
    <row r="22">
      <c r="A22" s="109" t="str">
        <f>HYPERLINK("https://phillipreeve.net/blog/review_voigtlander_21mm_f14_e/","Voigtlander 21mm F1.4 Nokton")</f>
        <v>Voigtlander 21mm F1.4 Nokton</v>
      </c>
      <c r="B22" s="39">
        <v>540.0</v>
      </c>
      <c r="C22" s="40">
        <v>21.0</v>
      </c>
      <c r="D22" s="143">
        <v>1.4</v>
      </c>
      <c r="E22" s="144">
        <v>70.0</v>
      </c>
      <c r="F22" s="145">
        <v>80.0</v>
      </c>
      <c r="G22" s="44" t="s">
        <v>24</v>
      </c>
      <c r="H22" s="45" t="s">
        <v>66</v>
      </c>
      <c r="I22" s="46"/>
      <c r="J22" s="47">
        <v>25.0</v>
      </c>
      <c r="K22" s="44" t="s">
        <v>26</v>
      </c>
      <c r="L22" s="46">
        <v>12.0</v>
      </c>
      <c r="M22" s="111" t="s">
        <v>54</v>
      </c>
      <c r="N22" s="46" t="s">
        <v>28</v>
      </c>
      <c r="O22" s="49">
        <v>43617.0</v>
      </c>
      <c r="P22" s="50">
        <v>1199.0</v>
      </c>
      <c r="Q22" s="50" t="s">
        <v>36</v>
      </c>
      <c r="R22" s="51" t="str">
        <f>HYPERLINK("https://amzn.to/2K7gHrC","link*")</f>
        <v>link*</v>
      </c>
      <c r="S22" s="51" t="str">
        <f>HYPERLINK("https://www.bhphotovideo.com/c/product/1480269-REG/voigtlander_ba352a_nokton_21mm_f_1_4_aspherical.html/BI/19619/KBID/12129/DFF/d10-v21-t1-x963269/SID/EZ","link*")</f>
        <v>link*</v>
      </c>
      <c r="T22" s="146"/>
      <c r="U22" s="51"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row>
    <row r="23">
      <c r="A23" s="131" t="str">
        <f>HYPERLINK("https://phillipreeve.net/blog/rolling-review-zeiss-loxia-distagon-2-821mm-t/https://phillipreeve.net/blog/rolling-review-zeiss-loxia-distagon-2-821mm-t/","Zeiss Loxia 2.8/21 Distagon T*")</f>
        <v>Zeiss Loxia 2.8/21 Distagon T*</v>
      </c>
      <c r="B23" s="76">
        <v>394.0</v>
      </c>
      <c r="C23" s="77">
        <v>21.0</v>
      </c>
      <c r="D23" s="78">
        <v>2.8</v>
      </c>
      <c r="E23" s="144">
        <v>62.0</v>
      </c>
      <c r="F23" s="145">
        <v>72.0</v>
      </c>
      <c r="G23" s="84" t="s">
        <v>24</v>
      </c>
      <c r="H23" s="82" t="s">
        <v>71</v>
      </c>
      <c r="I23" s="81">
        <v>0.13</v>
      </c>
      <c r="J23" s="83">
        <v>25.0</v>
      </c>
      <c r="K23" s="84" t="s">
        <v>26</v>
      </c>
      <c r="L23" s="81">
        <v>10.0</v>
      </c>
      <c r="M23" s="128" t="s">
        <v>72</v>
      </c>
      <c r="N23" s="81" t="s">
        <v>58</v>
      </c>
      <c r="O23" s="86">
        <v>42339.0</v>
      </c>
      <c r="P23" s="87">
        <v>1499.0</v>
      </c>
      <c r="Q23" s="87">
        <v>750.0</v>
      </c>
      <c r="R23" s="88" t="str">
        <f>HYPERLINK("https://amzn.to/2yspzBm","link*")</f>
        <v>link*</v>
      </c>
      <c r="S23" s="88" t="str">
        <f>HYPERLINK("https://www.bhphotovideo.com/c/product/1189220-REG/zeiss_2131_999_loxia_21mm_f_2_8_lens.html/BI/19619/KBID/12129/DFF/d10-v21-t1-x677077/SID/EZ","link*")</f>
        <v>link*</v>
      </c>
      <c r="T23" s="88" t="str">
        <f>HYPERLINK("https://amzn.to/2GHSOoA","link*")</f>
        <v>link*</v>
      </c>
      <c r="U23"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row>
    <row r="24">
      <c r="A24" s="22" t="str">
        <f>HYPERLINK("https://phillipreeve.net/blog/voigtlander-21mm-f35-review/","Voigtlander 21mm F3.5 Color-Skopar")</f>
        <v>Voigtlander 21mm F3.5 Color-Skopar</v>
      </c>
      <c r="B24" s="23">
        <v>230.0</v>
      </c>
      <c r="C24" s="24">
        <v>21.0</v>
      </c>
      <c r="D24" s="25">
        <v>3.5</v>
      </c>
      <c r="E24" s="147">
        <v>63.0</v>
      </c>
      <c r="F24" s="136">
        <v>40.0</v>
      </c>
      <c r="G24" s="32" t="s">
        <v>24</v>
      </c>
      <c r="H24" s="29" t="s">
        <v>71</v>
      </c>
      <c r="I24" s="148"/>
      <c r="J24" s="31">
        <v>20.0</v>
      </c>
      <c r="K24" s="32" t="s">
        <v>26</v>
      </c>
      <c r="L24" s="30">
        <v>10.0</v>
      </c>
      <c r="M24" s="112" t="s">
        <v>60</v>
      </c>
      <c r="N24" s="30" t="s">
        <v>28</v>
      </c>
      <c r="O24" s="34">
        <v>43374.0</v>
      </c>
      <c r="P24" s="35">
        <v>699.0</v>
      </c>
      <c r="Q24" s="35">
        <v>525.0</v>
      </c>
      <c r="R24" s="36" t="str">
        <f>HYPERLINK("https://amzn.to/2JCie75","link*")</f>
        <v>link*</v>
      </c>
      <c r="S24" s="36" t="str">
        <f>HYPERLINK("https://www.bhphotovideo.com/c/product/1437613-REG/voigtlander_color_skopar_21mm_f_3_5_aspherical.html/BI/19619/KBID/12129/kw/VO2135E/DFF/d10-v2-t1-xVO2135E","link*")</f>
        <v>link*</v>
      </c>
      <c r="T24" s="36" t="str">
        <f>HYPERLINK("https://amzn.to/2ZoERan","link*")</f>
        <v>link*</v>
      </c>
      <c r="U24" s="36"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V24" s="94"/>
    </row>
    <row r="25">
      <c r="A25" s="109" t="str">
        <f>HYPERLINK("https://phillipreeve.net/blog/review-sony-fe-24mm-1-4-gm/","Sony GM 1.4/24")</f>
        <v>Sony GM 1.4/24</v>
      </c>
      <c r="B25" s="39">
        <v>445.0</v>
      </c>
      <c r="C25" s="40">
        <v>24.0</v>
      </c>
      <c r="D25" s="143">
        <v>1.4</v>
      </c>
      <c r="E25" s="144">
        <v>75.0</v>
      </c>
      <c r="F25" s="145">
        <v>92.0</v>
      </c>
      <c r="G25" s="44" t="s">
        <v>30</v>
      </c>
      <c r="H25" s="45" t="s">
        <v>53</v>
      </c>
      <c r="I25" s="46">
        <v>0.17</v>
      </c>
      <c r="J25" s="47">
        <v>25.0</v>
      </c>
      <c r="K25" s="44" t="s">
        <v>26</v>
      </c>
      <c r="L25" s="46">
        <v>11.0</v>
      </c>
      <c r="M25" s="111" t="s">
        <v>27</v>
      </c>
      <c r="N25" s="46" t="s">
        <v>32</v>
      </c>
      <c r="O25" s="49">
        <v>43374.0</v>
      </c>
      <c r="P25" s="50">
        <v>1399.0</v>
      </c>
      <c r="Q25" s="50">
        <v>1150.0</v>
      </c>
      <c r="R25" s="51" t="str">
        <f>HYPERLINK("https://amzn.to/2ywcbw1","link*")</f>
        <v>link*</v>
      </c>
      <c r="S25" s="51" t="str">
        <f>HYPERLINK("https://www.bhphotovideo.com/c/product/1435887-REG/sony_fe_24mm_f_1_4_gm.html/BI/19619/KBID/12129/DFF/d10-v21-t1-x915647/SID/EZ","link*")</f>
        <v>link*</v>
      </c>
      <c r="T25" s="51" t="str">
        <f>HYPERLINK("https://amzn.to/2L2tV9y","link*")</f>
        <v>link*</v>
      </c>
      <c r="U25" s="51" t="str">
        <f>HYPERLINK("http://rover.ebay.com/rover/1/711-53200-19255-0/1?icep_ff3=9&amp;pub=5575076376&amp;toolid=10001&amp;campid=5338573609&amp;customid=&amp;icep_uq=sony+gm+24mm&amp;icep_sellerId=&amp;icep_ex_kw=&amp;icep_sortBy=12&amp;icep_catId=3323&amp;icep_minPrice=&amp;icep_maxPrice=&amp;ipn=psmain&amp;icep_vectorid=2294"&amp;"66&amp;kwid=902099&amp;mtid=824&amp;kw=lg","link*")</f>
        <v>link*</v>
      </c>
    </row>
    <row r="26">
      <c r="A26" s="75" t="s">
        <v>73</v>
      </c>
      <c r="B26" s="76">
        <v>760.0</v>
      </c>
      <c r="C26" s="77">
        <v>24.0</v>
      </c>
      <c r="D26" s="149">
        <v>1.4</v>
      </c>
      <c r="E26" s="144">
        <v>85.0</v>
      </c>
      <c r="F26" s="150">
        <v>116.0</v>
      </c>
      <c r="G26" s="81" t="s">
        <v>30</v>
      </c>
      <c r="H26" s="82" t="s">
        <v>56</v>
      </c>
      <c r="I26" s="81">
        <v>0.19</v>
      </c>
      <c r="J26" s="83">
        <v>25.0</v>
      </c>
      <c r="K26" s="84" t="s">
        <v>26</v>
      </c>
      <c r="L26" s="81">
        <v>9.0</v>
      </c>
      <c r="M26" s="123">
        <v>43784.0</v>
      </c>
      <c r="N26" s="81" t="s">
        <v>41</v>
      </c>
      <c r="O26" s="86">
        <v>43221.0</v>
      </c>
      <c r="P26" s="87">
        <v>849.0</v>
      </c>
      <c r="Q26" s="87">
        <v>600.0</v>
      </c>
      <c r="R26" s="88" t="str">
        <f>HYPERLINK("https://amzn.to/2Isw2Rv","link*")</f>
        <v>link*</v>
      </c>
      <c r="S26" s="88" t="str">
        <f>HYPERLINK("https://www.bhphotovideo.com/c/product/1393491-REG/sigma_24mm_f_1_4_dg_hsm.html/BI/19619/KBID/12129/kw/SI2414SO/DFF/d10-v2-t1-xSI2414SO","link*")</f>
        <v>link*</v>
      </c>
      <c r="T26" s="88" t="str">
        <f>HYPERLINK("https://amzn.to/2K7sIP4","link*")</f>
        <v>link*</v>
      </c>
      <c r="U26"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V26" s="68" t="s">
        <v>42</v>
      </c>
    </row>
    <row r="27">
      <c r="A27" s="131" t="str">
        <f>HYPERLINK("https://phillipreeve.net/blog/review-samyang-af-2-4-28-fe-at-least-its-small/","Samyang AF 24mm F/2.8")</f>
        <v>Samyang AF 24mm F/2.8</v>
      </c>
      <c r="B27" s="76">
        <v>93.0</v>
      </c>
      <c r="C27" s="77">
        <v>24.0</v>
      </c>
      <c r="D27" s="78">
        <v>2.8</v>
      </c>
      <c r="E27" s="144">
        <v>61.0</v>
      </c>
      <c r="F27" s="151">
        <v>37.0</v>
      </c>
      <c r="G27" s="84" t="s">
        <v>30</v>
      </c>
      <c r="H27" s="82" t="s">
        <v>74</v>
      </c>
      <c r="I27" s="81">
        <v>0.15</v>
      </c>
      <c r="J27" s="83">
        <v>20.0</v>
      </c>
      <c r="K27" s="84" t="s">
        <v>26</v>
      </c>
      <c r="L27" s="81">
        <v>9.0</v>
      </c>
      <c r="M27" s="128" t="s">
        <v>75</v>
      </c>
      <c r="N27" s="81" t="s">
        <v>46</v>
      </c>
      <c r="O27" s="86">
        <v>43282.0</v>
      </c>
      <c r="P27" s="129">
        <v>279.0</v>
      </c>
      <c r="Q27" s="129">
        <v>175.0</v>
      </c>
      <c r="R27" s="88" t="str">
        <f>HYPERLINK("https://amzn.to/2NEHZ7c","link*")</f>
        <v>link*</v>
      </c>
      <c r="S27" s="88" t="str">
        <f>HYPERLINK("https://www.bhphotovideo.com/c/product/1413350-REG/samyang_syio24af_e_af_24mm_f_2_8_fe.html/BI/19619/KBID/12129/kw/SASYIO24AFE/DFF/d10-v2-t1-xSASYIO24AFE","link*")</f>
        <v>link*</v>
      </c>
      <c r="T27" s="88" t="str">
        <f>HYPERLINK("https://amzn.to/2Onv1QE","link*")</f>
        <v>link*</v>
      </c>
      <c r="U27"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row>
    <row r="28">
      <c r="A28" s="152" t="str">
        <f>HYPERLINK("https://phillipreeve.net/blog/review-tamron-24mm-f-2-8-di-iii-osd-m12/","Tamron 24mm f/2.8 Di III OSD M1:2")</f>
        <v>Tamron 24mm f/2.8 Di III OSD M1:2</v>
      </c>
      <c r="B28" s="76">
        <v>215.0</v>
      </c>
      <c r="C28" s="77">
        <v>24.0</v>
      </c>
      <c r="D28" s="78">
        <v>2.8</v>
      </c>
      <c r="E28" s="138">
        <v>73.0</v>
      </c>
      <c r="F28" s="139">
        <v>64.0</v>
      </c>
      <c r="G28" s="84" t="s">
        <v>30</v>
      </c>
      <c r="H28" s="82" t="s">
        <v>53</v>
      </c>
      <c r="I28" s="140">
        <v>0.5</v>
      </c>
      <c r="J28" s="83">
        <v>12.0</v>
      </c>
      <c r="K28" s="84" t="s">
        <v>26</v>
      </c>
      <c r="L28" s="81">
        <v>7.0</v>
      </c>
      <c r="M28" s="128" t="s">
        <v>70</v>
      </c>
      <c r="N28" s="81" t="s">
        <v>55</v>
      </c>
      <c r="O28" s="86">
        <v>43796.0</v>
      </c>
      <c r="P28" s="87">
        <v>349.0</v>
      </c>
      <c r="Q28" s="87">
        <v>225.0</v>
      </c>
      <c r="R28" s="88" t="str">
        <f>HYPERLINK("https://amzn.to/34hgYPr","link*")</f>
        <v>link*</v>
      </c>
      <c r="S28" s="88" t="str">
        <f>HYPERLINK("https://www.bhphotovideo.com/c/product/1512042-REG/tamron_f051_24mm_f_2_8_di_iii.html/BI/19619/KBID/12129/DFF/d10-v21-t1-x994971/SID/EZ","link*")</f>
        <v>link*</v>
      </c>
      <c r="T28" s="88" t="str">
        <f>HYPERLINK("https://amzn.to/38yg1G1","link*")</f>
        <v>link*</v>
      </c>
      <c r="U28" s="88" t="str">
        <f>HYPERLINK("http://rover.ebay.com/rover/1/711-53200-19255-0/1?icep_ff3=9&amp;pub=5575076376&amp;toolid=10001&amp;campid=5338573609&amp;customid=&amp;icep_uq=tamron+24+2.8+osd+&amp;icep_sellerId=&amp;icep_ex_kw=&amp;icep_sortBy=12&amp;icep_catId=3323&amp;icep_minPrice=&amp;icep_maxPrice=&amp;ipn=psmain&amp;icep_vectori"&amp;"d=229466&amp;kwid=902099&amp;mtid=824&amp;kw=lg","link*")</f>
        <v>link*</v>
      </c>
    </row>
    <row r="29">
      <c r="A29" s="152" t="str">
        <f>HYPERLINK("https://phillipreeve.net/blog/review-sony-fe-2-824-70mm-gm/","Sony GM 2.8/24-70")</f>
        <v>Sony GM 2.8/24-70</v>
      </c>
      <c r="B29" s="76">
        <v>886.0</v>
      </c>
      <c r="C29" s="77">
        <v>24.0</v>
      </c>
      <c r="D29" s="78">
        <v>2.8</v>
      </c>
      <c r="E29" s="144">
        <v>88.0</v>
      </c>
      <c r="F29" s="151">
        <v>136.0</v>
      </c>
      <c r="G29" s="84" t="s">
        <v>30</v>
      </c>
      <c r="H29" s="82" t="s">
        <v>51</v>
      </c>
      <c r="I29" s="140">
        <v>0.25</v>
      </c>
      <c r="J29" s="83">
        <v>38.0</v>
      </c>
      <c r="K29" s="84" t="s">
        <v>26</v>
      </c>
      <c r="L29" s="81">
        <v>9.0</v>
      </c>
      <c r="M29" s="128" t="s">
        <v>44</v>
      </c>
      <c r="N29" s="81" t="s">
        <v>32</v>
      </c>
      <c r="O29" s="86">
        <v>42401.0</v>
      </c>
      <c r="P29" s="87">
        <v>2199.0</v>
      </c>
      <c r="Q29" s="87">
        <v>1400.0</v>
      </c>
      <c r="R29" s="88" t="str">
        <f>HYPERLINK("https://amzn.to/2STHavK","link*")</f>
        <v>link*</v>
      </c>
      <c r="S29" s="88" t="str">
        <f>HYPERLINK("https://www.bhphotovideo.com/c/search?Ntt=gm%2024-70&amp;N=0&amp;InitialSearch=yes&amp;sts=ma&amp;Top+Nav-Search=&amp;BI=19619&amp;KBID=12129&amp;KWID=EZ","link*")</f>
        <v>link*</v>
      </c>
      <c r="T29" s="88" t="str">
        <f>HYPERLINK("https://amzn.to/2ZwoyU7","link*")</f>
        <v>link*</v>
      </c>
      <c r="U29"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row>
    <row r="30">
      <c r="A30" s="137" t="s">
        <v>76</v>
      </c>
      <c r="B30" s="76">
        <v>835.0</v>
      </c>
      <c r="C30" s="77">
        <v>24.0</v>
      </c>
      <c r="D30" s="78">
        <v>2.8</v>
      </c>
      <c r="E30" s="138">
        <v>87.8</v>
      </c>
      <c r="F30" s="139">
        <v>122.9</v>
      </c>
      <c r="G30" s="84" t="s">
        <v>30</v>
      </c>
      <c r="H30" s="82" t="s">
        <v>51</v>
      </c>
      <c r="I30" s="140">
        <v>0.29</v>
      </c>
      <c r="J30" s="83">
        <v>18.0</v>
      </c>
      <c r="K30" s="84" t="s">
        <v>26</v>
      </c>
      <c r="L30" s="81">
        <v>11.0</v>
      </c>
      <c r="M30" s="128" t="s">
        <v>77</v>
      </c>
      <c r="N30" s="81" t="s">
        <v>41</v>
      </c>
      <c r="O30" s="86">
        <v>43799.0</v>
      </c>
      <c r="P30" s="153" t="s">
        <v>78</v>
      </c>
      <c r="Q30" s="87">
        <v>1050.0</v>
      </c>
      <c r="R30" s="88" t="str">
        <f>HYPERLINK("https://amzn.to/2YPjpb1","link*")</f>
        <v>link*</v>
      </c>
      <c r="S30" s="88" t="str">
        <f>HYPERLINK("https://www.bhphotovideo.com/c/product/1516303-REG/sigma_24_70mm_f_2_8_dg_dn.html/BI/19619/KBID/12129/DFF/d10-v21-t1-x999330/SID/EZ","link*")</f>
        <v>link*</v>
      </c>
      <c r="T30" s="130" t="s">
        <v>33</v>
      </c>
      <c r="U30" s="142" t="s">
        <v>33</v>
      </c>
    </row>
    <row r="31">
      <c r="A31" s="75" t="s">
        <v>79</v>
      </c>
      <c r="B31" s="76">
        <v>780.0</v>
      </c>
      <c r="C31" s="77">
        <v>24.0</v>
      </c>
      <c r="D31" s="78" t="s">
        <v>80</v>
      </c>
      <c r="E31" s="144">
        <v>80.0</v>
      </c>
      <c r="F31" s="151">
        <v>119.0</v>
      </c>
      <c r="G31" s="84" t="s">
        <v>30</v>
      </c>
      <c r="H31" s="82" t="s">
        <v>48</v>
      </c>
      <c r="I31" s="140">
        <v>0.27</v>
      </c>
      <c r="J31" s="83">
        <v>50.0</v>
      </c>
      <c r="K31" s="154" t="s">
        <v>49</v>
      </c>
      <c r="L31" s="81">
        <v>7.0</v>
      </c>
      <c r="M31" s="128" t="s">
        <v>81</v>
      </c>
      <c r="N31" s="81" t="s">
        <v>32</v>
      </c>
      <c r="O31" s="86">
        <v>42064.0</v>
      </c>
      <c r="P31" s="87">
        <v>998.0</v>
      </c>
      <c r="Q31" s="87">
        <v>550.0</v>
      </c>
      <c r="R31" s="88" t="str">
        <f>HYPERLINK("http://amzn.to/2fbX5FU","link*")</f>
        <v>link*</v>
      </c>
      <c r="S31" s="88" t="str">
        <f>HYPERLINK("https://www.bhphotovideo.com/c/search?Ntt=sony%2024-240&amp;N=0&amp;InitialSearch=yes&amp;sts=ma&amp;Top+Nav-Search=&amp;BI=19619&amp;KBID=12129&amp;KWID=EZ","link*")</f>
        <v>link*</v>
      </c>
      <c r="T31" s="88" t="str">
        <f>HYPERLINK("http://amzn.to/2wyrL7A","link*")</f>
        <v>link*</v>
      </c>
      <c r="U31"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row>
    <row r="32">
      <c r="A32" s="75" t="s">
        <v>82</v>
      </c>
      <c r="B32" s="76">
        <v>663.0</v>
      </c>
      <c r="C32" s="77">
        <v>24.0</v>
      </c>
      <c r="D32" s="78">
        <v>4.0</v>
      </c>
      <c r="E32" s="144">
        <v>83.0</v>
      </c>
      <c r="F32" s="145">
        <v>113.0</v>
      </c>
      <c r="G32" s="84" t="s">
        <v>30</v>
      </c>
      <c r="H32" s="82" t="s">
        <v>56</v>
      </c>
      <c r="I32" s="140">
        <v>0.31</v>
      </c>
      <c r="J32" s="83">
        <v>38.0</v>
      </c>
      <c r="K32" s="154" t="s">
        <v>49</v>
      </c>
      <c r="L32" s="81">
        <v>9.0</v>
      </c>
      <c r="M32" s="128" t="s">
        <v>35</v>
      </c>
      <c r="N32" s="81" t="s">
        <v>32</v>
      </c>
      <c r="O32" s="86">
        <v>43009.0</v>
      </c>
      <c r="P32" s="87">
        <v>1398.0</v>
      </c>
      <c r="Q32" s="68">
        <v>850.0</v>
      </c>
      <c r="R32" s="88" t="str">
        <f>HYPERLINK("https://amzn.to/2K7LwMR","link*")</f>
        <v>link*</v>
      </c>
      <c r="S32" s="88" t="str">
        <f>HYPERLINK("https://www.bhphotovideo.com/c/search?Ntt=sony%2024-105&amp;N=0&amp;InitialSearch=yes&amp;sts=ma&amp;Top+Nav-Search=&amp;BI=19619&amp;KBID=12129&amp;KWID=EZ","link*")</f>
        <v>link*</v>
      </c>
      <c r="T32" s="88" t="str">
        <f>HYPERLINK("https://amzn.to/2Ld8hOS","link*")</f>
        <v>link*</v>
      </c>
      <c r="U32"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row>
    <row r="33">
      <c r="A33" s="22" t="str">
        <f>HYPERLINK("https://phillipreeve.net/blog/rolling-review-carl-zeiss-vario-tessar-t-fe-424-70-za/","Sony ZA 4/24-70 OSS")</f>
        <v>Sony ZA 4/24-70 OSS</v>
      </c>
      <c r="B33" s="23">
        <v>426.0</v>
      </c>
      <c r="C33" s="24">
        <v>24.0</v>
      </c>
      <c r="D33" s="25">
        <v>4.0</v>
      </c>
      <c r="E33" s="147">
        <v>73.0</v>
      </c>
      <c r="F33" s="155">
        <v>95.0</v>
      </c>
      <c r="G33" s="32" t="s">
        <v>30</v>
      </c>
      <c r="H33" s="29" t="s">
        <v>53</v>
      </c>
      <c r="I33" s="30">
        <v>0.2</v>
      </c>
      <c r="J33" s="31">
        <v>40.0</v>
      </c>
      <c r="K33" s="156" t="s">
        <v>49</v>
      </c>
      <c r="L33" s="30">
        <v>7.0</v>
      </c>
      <c r="M33" s="112" t="s">
        <v>38</v>
      </c>
      <c r="N33" s="30" t="s">
        <v>32</v>
      </c>
      <c r="O33" s="34">
        <v>41640.0</v>
      </c>
      <c r="P33" s="35">
        <v>898.0</v>
      </c>
      <c r="Q33" s="35">
        <v>420.0</v>
      </c>
      <c r="R33" s="36" t="str">
        <f>HYPERLINK("http://amzn.to/2vlG2Yq","link*")</f>
        <v>link*</v>
      </c>
      <c r="S33" s="36" t="str">
        <f>HYPERLINK("https://www.bhphotovideo.com/c/product/1008126-REG/sony_sel2470z_vario_tessar_t_fe_24_70mm.html/BI/19619/KBID/12129/DFF/d10-v21-t1-x466842/SID/EZ","link*")</f>
        <v>link*</v>
      </c>
      <c r="T33" s="36" t="str">
        <f>HYPERLINK("http://amzn.to/2fl1XZk","link*")</f>
        <v>link*</v>
      </c>
      <c r="U33" s="36"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V33" s="94"/>
    </row>
    <row r="34">
      <c r="A34" s="109" t="str">
        <f>HYPERLINK("https://phillipreeve.net/blog/review-zeiss-batis-distagon-t-25mm-f2/","Zeiss Batis 2/25")</f>
        <v>Zeiss Batis 2/25</v>
      </c>
      <c r="B34" s="39">
        <v>335.0</v>
      </c>
      <c r="C34" s="40">
        <v>25.0</v>
      </c>
      <c r="D34" s="41">
        <v>2.0</v>
      </c>
      <c r="E34" s="144">
        <v>92.0</v>
      </c>
      <c r="F34" s="145">
        <v>78.0</v>
      </c>
      <c r="G34" s="44" t="s">
        <v>30</v>
      </c>
      <c r="H34" s="45" t="s">
        <v>53</v>
      </c>
      <c r="I34" s="46">
        <v>0.19</v>
      </c>
      <c r="J34" s="47">
        <v>20.0</v>
      </c>
      <c r="K34" s="44" t="s">
        <v>26</v>
      </c>
      <c r="L34" s="46">
        <v>9.0</v>
      </c>
      <c r="M34" s="111" t="s">
        <v>83</v>
      </c>
      <c r="N34" s="46" t="s">
        <v>58</v>
      </c>
      <c r="O34" s="49">
        <v>42125.0</v>
      </c>
      <c r="P34" s="50">
        <v>1299.0</v>
      </c>
      <c r="Q34" s="50">
        <v>550.0</v>
      </c>
      <c r="R34" s="51" t="str">
        <f>HYPERLINK("https://amzn.to/2ypHQiT","link*")</f>
        <v>link*</v>
      </c>
      <c r="S34" s="51" t="str">
        <f>HYPERLINK("https://www.bhphotovideo.com/c/product/1140832-REG/zeiss_2103_750_25mm_f_2_0_batis_wide.html/BI/19619/KBID/12129/DFF/d10-v21-t1-x627141/SID/EZ","link*")</f>
        <v>link*</v>
      </c>
      <c r="T34" s="51" t="str">
        <f>HYPERLINK("https://amzn.to/2L20DIj","link*")</f>
        <v>link*</v>
      </c>
      <c r="U34" s="51"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row>
    <row r="35">
      <c r="A35" s="22" t="str">
        <f>HYPERLINK("https://phillipreeve.net/blog/review-zeiss-loxia-2-4-25mm-distagon/","Zeiss Loxia 2.4/25")</f>
        <v>Zeiss Loxia 2.4/25</v>
      </c>
      <c r="B35" s="23">
        <v>393.0</v>
      </c>
      <c r="C35" s="24">
        <v>25.0</v>
      </c>
      <c r="D35" s="25">
        <v>2.4</v>
      </c>
      <c r="E35" s="147">
        <v>62.0</v>
      </c>
      <c r="F35" s="155">
        <v>75.0</v>
      </c>
      <c r="G35" s="32" t="s">
        <v>24</v>
      </c>
      <c r="H35" s="29" t="s">
        <v>71</v>
      </c>
      <c r="I35" s="30">
        <v>0.16</v>
      </c>
      <c r="J35" s="31">
        <v>25.0</v>
      </c>
      <c r="K35" s="32" t="s">
        <v>26</v>
      </c>
      <c r="L35" s="30">
        <v>10.0</v>
      </c>
      <c r="M35" s="112" t="s">
        <v>83</v>
      </c>
      <c r="N35" s="30" t="s">
        <v>58</v>
      </c>
      <c r="O35" s="34">
        <v>43160.0</v>
      </c>
      <c r="P35" s="35">
        <v>1299.0</v>
      </c>
      <c r="Q35" s="35">
        <v>700.0</v>
      </c>
      <c r="R35" s="36" t="str">
        <f>HYPERLINK("https://amzn.to/2OlyeAf","link*")</f>
        <v>link*</v>
      </c>
      <c r="S35" s="36" t="str">
        <f>HYPERLINK("https://www.bhphotovideo.com/c/product/1389169-REG/zeiss_000000_2218_783_loxia_25mm_f_2_4_lens.html/BI/19619/KBID/12129/kw/ZE2524L/DFF/d10-v2-t1-xZE2524L","link*")</f>
        <v>link*</v>
      </c>
      <c r="T35" s="36" t="str">
        <f>HYPERLINK("https://amzn.to/2OlyeAf","link*")</f>
        <v>link*</v>
      </c>
      <c r="U35" s="36" t="str">
        <f>HYPERLINK("http://rover.ebay.com/rover/1/711-53200-19255-0/1?icep_ff3=9&amp;pub=5575076376&amp;toolid=10001&amp;campid=5338573609&amp;customid=&amp;icep_uq=Zeiss+loxia+25mm&amp;icep_sellerId=&amp;icep_ex_kw=&amp;icep_sortBy=12&amp;icep_catId=3323&amp;icep_minPrice=&amp;icep_maxPrice=&amp;ipn=psmain&amp;icep_vectorid="&amp;"229466&amp;kwid=902099&amp;mtid=824&amp;kw=lg","link*")</f>
        <v>link*</v>
      </c>
      <c r="V35" s="94"/>
    </row>
    <row r="36">
      <c r="A36" s="38" t="s">
        <v>84</v>
      </c>
      <c r="B36" s="39">
        <v>965.0</v>
      </c>
      <c r="C36" s="40">
        <v>28.0</v>
      </c>
      <c r="D36" s="41">
        <v>1.4</v>
      </c>
      <c r="E36" s="144">
        <v>83.0</v>
      </c>
      <c r="F36" s="145">
        <v>134.0</v>
      </c>
      <c r="G36" s="44" t="s">
        <v>30</v>
      </c>
      <c r="H36" s="45" t="s">
        <v>56</v>
      </c>
      <c r="I36" s="46">
        <v>0.19</v>
      </c>
      <c r="J36" s="47">
        <v>28.0</v>
      </c>
      <c r="K36" s="44" t="s">
        <v>26</v>
      </c>
      <c r="L36" s="46">
        <v>9.0</v>
      </c>
      <c r="M36" s="111" t="s">
        <v>81</v>
      </c>
      <c r="N36" s="46" t="s">
        <v>41</v>
      </c>
      <c r="O36" s="49">
        <v>43435.0</v>
      </c>
      <c r="P36" s="50">
        <v>1399.0</v>
      </c>
      <c r="Q36" s="50">
        <v>700.0</v>
      </c>
      <c r="R36" s="51" t="str">
        <f>HYPERLINK("https://amzn.to/2Wn0pxO","link*")</f>
        <v>link*</v>
      </c>
      <c r="S36" s="51" t="str">
        <f>HYPERLINK("https://www.bhphotovideo.com/c/product/1436285-REG/sigma_28mm_f_1_4_dg_hsm.html/BI/19619/KBID/12129/kw/SI2814DGSE/DFF/d10-v2-t1-xSI2814DGSE","link*")</f>
        <v>link*</v>
      </c>
      <c r="T36" s="51" t="str">
        <f>HYPERLINK("https://amzn.to/2WzVkHd","link*")</f>
        <v>link*</v>
      </c>
      <c r="U36" s="51"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row>
    <row r="37">
      <c r="A37" s="131" t="str">
        <f>HYPERLINK("https://www.systemkamera-forum.de/blog/2015/05/sony-fe-28mm-f2-test-und-erfahrungsbericht/","Sony FE 2/28")</f>
        <v>Sony FE 2/28</v>
      </c>
      <c r="B37" s="76">
        <v>200.0</v>
      </c>
      <c r="C37" s="77">
        <v>28.0</v>
      </c>
      <c r="D37" s="78">
        <v>2.0</v>
      </c>
      <c r="E37" s="144">
        <v>60.0</v>
      </c>
      <c r="F37" s="145">
        <v>60.0</v>
      </c>
      <c r="G37" s="84" t="s">
        <v>30</v>
      </c>
      <c r="H37" s="82" t="s">
        <v>74</v>
      </c>
      <c r="I37" s="81">
        <v>0.13</v>
      </c>
      <c r="J37" s="83">
        <v>29.0</v>
      </c>
      <c r="K37" s="84" t="s">
        <v>26</v>
      </c>
      <c r="L37" s="81">
        <v>9.0</v>
      </c>
      <c r="M37" s="128" t="s">
        <v>60</v>
      </c>
      <c r="N37" s="81" t="s">
        <v>32</v>
      </c>
      <c r="O37" s="86">
        <v>42064.0</v>
      </c>
      <c r="P37" s="153">
        <v>448.0</v>
      </c>
      <c r="Q37" s="153">
        <v>240.0</v>
      </c>
      <c r="R37" s="88" t="str">
        <f>HYPERLINK("https://amzn.to/2GXJWdo","link*")</f>
        <v>link*</v>
      </c>
      <c r="S37" s="88" t="str">
        <f>HYPERLINK("https://www.bhphotovideo.com/c/product/1402637-REG/sony_fe_28mm_f_2_lens.html/BI/19619/KBID/12129/kw/SO2820F/DFF/d10-v2-t1-xSO2820F","link*")</f>
        <v>link*</v>
      </c>
      <c r="T37" s="88" t="str">
        <f>HYPERLINK("http://amzn.to/2wyLOCO","link*")</f>
        <v>link*</v>
      </c>
      <c r="U37" s="88" t="str">
        <f>HYPERLINK("http://rover.ebay.com/rover/1/711-53200-19255-0/1?icep_ff3=10&amp;pub=5575076376&amp;toolid=10001&amp;campid=5338164340&amp;customid=&amp;icep_uq=sony+28+f2&amp;icep_sellerId=&amp;icep_ex_kw=&amp;icep_sortBy=12&amp;icep_catId=&amp;icep_minPrice=&amp;icep_maxPrice=&amp;ipn=psmain&amp;icep_vectorid=229466&amp;kw"&amp;"id=902099&amp;mtid=824&amp;kw=lg","link*")</f>
        <v>link*</v>
      </c>
    </row>
    <row r="38">
      <c r="A38" s="131" t="str">
        <f>HYPERLINK("https://phillipreeve.net/blog/review-tamron-28-75mm-f-2-8-di-iii-rxd-sony-e-mount/","Tamron 2.8/28-75")</f>
        <v>Tamron 2.8/28-75</v>
      </c>
      <c r="B38" s="76">
        <v>550.0</v>
      </c>
      <c r="C38" s="77">
        <v>28.0</v>
      </c>
      <c r="D38" s="78">
        <v>2.8</v>
      </c>
      <c r="E38" s="144">
        <v>73.0</v>
      </c>
      <c r="F38" s="145">
        <v>118.0</v>
      </c>
      <c r="G38" s="84" t="s">
        <v>30</v>
      </c>
      <c r="H38" s="82" t="s">
        <v>53</v>
      </c>
      <c r="I38" s="140">
        <v>0.34</v>
      </c>
      <c r="J38" s="83">
        <v>19.0</v>
      </c>
      <c r="K38" s="84" t="s">
        <v>26</v>
      </c>
      <c r="L38" s="81">
        <v>9.0</v>
      </c>
      <c r="M38" s="128" t="s">
        <v>85</v>
      </c>
      <c r="N38" s="81" t="s">
        <v>55</v>
      </c>
      <c r="O38" s="86">
        <v>43252.0</v>
      </c>
      <c r="P38" s="153">
        <v>879.0</v>
      </c>
      <c r="Q38" s="87">
        <v>625.0</v>
      </c>
      <c r="R38" s="88" t="str">
        <f>HYPERLINK("https://amzn.to/2ST5uxq","link*")</f>
        <v>link*</v>
      </c>
      <c r="S38" s="88" t="str">
        <f>HYPERLINK("https://www.bhphotovideo.com/c/product/1393332-REG/tamron_a036_28_75mm_f_2_8_di_iii.html/BI/19619/KBID/12129/DFF/d10-v21-t1-x892059/SID/EZ","link*")</f>
        <v>link*</v>
      </c>
      <c r="T38" s="88" t="str">
        <f>HYPERLINK("https://amzn.to/2ZmSzdU","link*")</f>
        <v>link*</v>
      </c>
      <c r="U38"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row>
    <row r="39">
      <c r="A39" s="157" t="s">
        <v>86</v>
      </c>
      <c r="B39" s="158">
        <v>575.0</v>
      </c>
      <c r="C39" s="159">
        <v>28.0</v>
      </c>
      <c r="D39" s="160">
        <v>2.8</v>
      </c>
      <c r="E39" s="161">
        <v>74.0</v>
      </c>
      <c r="F39" s="162">
        <v>117.0</v>
      </c>
      <c r="G39" s="163" t="s">
        <v>30</v>
      </c>
      <c r="H39" s="164" t="s">
        <v>53</v>
      </c>
      <c r="I39" s="165">
        <f>1/3.1</f>
        <v>0.3225806452</v>
      </c>
      <c r="J39" s="166">
        <v>19.0</v>
      </c>
      <c r="K39" s="163" t="s">
        <v>26</v>
      </c>
      <c r="L39" s="164">
        <v>9.0</v>
      </c>
      <c r="M39" s="167" t="s">
        <v>87</v>
      </c>
      <c r="N39" s="168" t="s">
        <v>55</v>
      </c>
      <c r="O39" s="169">
        <v>43983.0</v>
      </c>
      <c r="P39" s="170">
        <v>729.0</v>
      </c>
      <c r="Q39" s="171" t="s">
        <v>36</v>
      </c>
      <c r="R39" s="172"/>
      <c r="S39" s="172"/>
      <c r="T39" s="172"/>
      <c r="U39" s="88" t="str">
        <f>HYPERLINK("http://rover.ebay.com/rover/1/711-53200-19255-0/1?icep_ff3=9&amp;pub=5575076376&amp;toolid=10001&amp;campid=5338573609&amp;customid=&amp;icep_uq=tamron+28-200+sony&amp;icep_sellerId=&amp;icep_ex_kw=&amp;icep_sortBy=12&amp;icep_catId=3323&amp;icep_minPrice=&amp;icep_maxPrice=&amp;ipn=psmain&amp;icep_vectori"&amp;"d=229466&amp;kwid=902099&amp;mtid=824&amp;kw=lg","link*")</f>
        <v>link*</v>
      </c>
      <c r="V39" s="173"/>
      <c r="W39" s="173"/>
      <c r="X39" s="173"/>
      <c r="Y39" s="173"/>
      <c r="Z39" s="173"/>
      <c r="AA39" s="173"/>
      <c r="AB39" s="173"/>
    </row>
    <row r="40">
      <c r="A40" s="75" t="s">
        <v>88</v>
      </c>
      <c r="B40" s="76">
        <v>295.0</v>
      </c>
      <c r="C40" s="77">
        <v>28.0</v>
      </c>
      <c r="D40" s="78" t="s">
        <v>89</v>
      </c>
      <c r="E40" s="144">
        <v>73.0</v>
      </c>
      <c r="F40" s="145">
        <v>83.0</v>
      </c>
      <c r="G40" s="84" t="s">
        <v>30</v>
      </c>
      <c r="H40" s="82" t="s">
        <v>90</v>
      </c>
      <c r="I40" s="81">
        <v>0.19</v>
      </c>
      <c r="J40" s="83">
        <v>30.0</v>
      </c>
      <c r="K40" s="154" t="s">
        <v>49</v>
      </c>
      <c r="L40" s="81">
        <v>7.0</v>
      </c>
      <c r="M40" s="128" t="s">
        <v>60</v>
      </c>
      <c r="N40" s="81" t="s">
        <v>32</v>
      </c>
      <c r="O40" s="86">
        <v>41548.0</v>
      </c>
      <c r="P40" s="87">
        <v>398.0</v>
      </c>
      <c r="Q40" s="87">
        <v>110.0</v>
      </c>
      <c r="R40" s="88" t="str">
        <f>HYPERLINK("https://www.amazon.com/gp/product/B00FYOFADE/ref=as_li_tl?ie=UTF8&amp;tag=wwwphillipree-20&amp;camp=1789&amp;creative=9325&amp;linkCode=as2&amp;creativeASIN=B00FYOFADE&amp;linkId=96720b245156eae53bb1a672d4453d3f","link*")</f>
        <v>link*</v>
      </c>
      <c r="S40" s="88" t="str">
        <f>HYPERLINK("https://www.bhphotovideo.com/c/product/1015472-REG/sony_sel2870_fe_28_70mm_f_3_5_5_6_oss.html/BI/19619/KBID/12129/DFF/d10-v21-t1-x473993/SID/EZ","link*")</f>
        <v>link*</v>
      </c>
      <c r="T40" s="88" t="str">
        <f>HYPERLINK("https://www.amazon.de/gp/product/B00HSHFPD0/ref=as_li_tl?ie=UTF8&amp;tag=wwwphillipree-21&amp;camp=1638&amp;creative=6742&amp;linkCode=as2&amp;creativeASIN=B00HSHFPD0&amp;linkId=6701f30673f8a4071232ca85e1953506","link*")</f>
        <v>link*</v>
      </c>
      <c r="U40"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row>
    <row r="41">
      <c r="A41" s="90" t="s">
        <v>91</v>
      </c>
      <c r="B41" s="23">
        <v>1215.0</v>
      </c>
      <c r="C41" s="24">
        <v>28.0</v>
      </c>
      <c r="D41" s="25">
        <v>4.0</v>
      </c>
      <c r="E41" s="147">
        <v>105.0</v>
      </c>
      <c r="F41" s="155">
        <v>165.0</v>
      </c>
      <c r="G41" s="32" t="s">
        <v>30</v>
      </c>
      <c r="H41" s="174" t="s">
        <v>92</v>
      </c>
      <c r="I41" s="148"/>
      <c r="J41" s="31">
        <v>40.0</v>
      </c>
      <c r="K41" s="156" t="s">
        <v>49</v>
      </c>
      <c r="L41" s="30">
        <v>9.0</v>
      </c>
      <c r="M41" s="112" t="s">
        <v>93</v>
      </c>
      <c r="N41" s="30" t="s">
        <v>32</v>
      </c>
      <c r="O41" s="34">
        <v>41883.0</v>
      </c>
      <c r="P41" s="35">
        <v>2498.0</v>
      </c>
      <c r="Q41" s="35">
        <v>1500.0</v>
      </c>
      <c r="R41" s="36" t="str">
        <f>HYPERLINK("http://amzn.to/2v2kiy9","link*")</f>
        <v>link*</v>
      </c>
      <c r="S41" s="36" t="str">
        <f>HYPERLINK("https://www.bhphotovideo.com/c/product/1082051-REG/sony_selp28135g_e_pz_28_135mm_f_4.html/BI/19619/KBID/12129/DFF/d10-v21-t1-x556056/SID/EZ","link*")</f>
        <v>link*</v>
      </c>
      <c r="T41" s="36" t="str">
        <f>HYPERLINK("http://amzn.to/2wlpg9b","link*")</f>
        <v>link*</v>
      </c>
      <c r="U41" s="36"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V41" s="37" t="s">
        <v>94</v>
      </c>
    </row>
    <row r="42">
      <c r="A42" s="53" t="s">
        <v>95</v>
      </c>
      <c r="B42" s="54"/>
      <c r="C42" s="55">
        <v>28.0</v>
      </c>
      <c r="D42" s="56" t="s">
        <v>96</v>
      </c>
      <c r="E42" s="175"/>
      <c r="F42" s="176"/>
      <c r="G42" s="59" t="s">
        <v>30</v>
      </c>
      <c r="H42" s="177" t="s">
        <v>97</v>
      </c>
      <c r="I42" s="178"/>
      <c r="J42" s="62">
        <v>45.0</v>
      </c>
      <c r="K42" s="179" t="s">
        <v>26</v>
      </c>
      <c r="L42" s="61"/>
      <c r="M42" s="63"/>
      <c r="N42" s="61" t="s">
        <v>32</v>
      </c>
      <c r="O42" s="180">
        <v>44119.0</v>
      </c>
      <c r="P42" s="65"/>
      <c r="Q42" s="65"/>
      <c r="R42" s="66"/>
      <c r="S42" s="66"/>
      <c r="T42" s="66"/>
      <c r="U42" s="66"/>
      <c r="V42" s="68"/>
    </row>
    <row r="43" customHeight="1">
      <c r="A43" s="109" t="str">
        <f>HYPERLINK("https://phillipreeve.net/blog/review-sigma-35mm-1-2-art-dg-dn/","Sigma Art 1.2/35")</f>
        <v>Sigma Art 1.2/35</v>
      </c>
      <c r="B43" s="39">
        <v>1090.0</v>
      </c>
      <c r="C43" s="40">
        <v>35.0</v>
      </c>
      <c r="D43" s="181">
        <v>1.2</v>
      </c>
      <c r="E43" s="144">
        <v>88.0</v>
      </c>
      <c r="F43" s="145">
        <v>136.0</v>
      </c>
      <c r="G43" s="46" t="s">
        <v>30</v>
      </c>
      <c r="H43" s="182" t="s">
        <v>51</v>
      </c>
      <c r="I43" s="46">
        <v>0.19</v>
      </c>
      <c r="J43" s="47">
        <v>30.0</v>
      </c>
      <c r="K43" s="44" t="s">
        <v>26</v>
      </c>
      <c r="L43" s="46">
        <v>11.0</v>
      </c>
      <c r="M43" s="74">
        <v>43816.0</v>
      </c>
      <c r="N43" s="46" t="s">
        <v>41</v>
      </c>
      <c r="O43" s="49">
        <v>43647.0</v>
      </c>
      <c r="P43" s="50">
        <v>1499.0</v>
      </c>
      <c r="Q43" s="50">
        <v>1000.0</v>
      </c>
      <c r="R43" s="51" t="str">
        <f>HYPERLINK("https://amzn.to/2LiHhxc","link*")</f>
        <v>link*</v>
      </c>
      <c r="S43" s="51" t="str">
        <f>HYPERLINK("https://www.bhphotovideo.com/c/product/1492967-REG/sigma_341969_35mm_f_1_2_dg_dn.html/BI/19619/KBID/12129/DFF/d10-v21-t1-x976038/SID/EZ","link*")</f>
        <v>link*</v>
      </c>
      <c r="T43" s="146"/>
      <c r="U43" s="51"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row>
    <row r="44">
      <c r="A44" s="183" t="s">
        <v>98</v>
      </c>
      <c r="B44" s="39">
        <v>387.0</v>
      </c>
      <c r="C44" s="40">
        <v>35.0</v>
      </c>
      <c r="D44" s="41">
        <v>1.2</v>
      </c>
      <c r="E44" s="138">
        <v>66.5</v>
      </c>
      <c r="F44" s="150">
        <v>59.9</v>
      </c>
      <c r="G44" s="46" t="s">
        <v>24</v>
      </c>
      <c r="H44" s="45" t="s">
        <v>47</v>
      </c>
      <c r="I44" s="46">
        <f>1/5.55</f>
        <v>0.1801801802</v>
      </c>
      <c r="J44" s="47">
        <v>30.0</v>
      </c>
      <c r="K44" s="44" t="s">
        <v>26</v>
      </c>
      <c r="L44" s="46">
        <v>12.0</v>
      </c>
      <c r="M44" s="74">
        <v>44021.0</v>
      </c>
      <c r="N44" s="46" t="s">
        <v>28</v>
      </c>
      <c r="O44" s="49">
        <v>43978.0</v>
      </c>
      <c r="P44" s="50">
        <v>999.0</v>
      </c>
      <c r="Q44" s="50" t="s">
        <v>36</v>
      </c>
      <c r="R44" s="52" t="s">
        <v>33</v>
      </c>
      <c r="S44" s="52" t="s">
        <v>33</v>
      </c>
      <c r="T44" s="184" t="s">
        <v>33</v>
      </c>
      <c r="U44" s="51" t="str">
        <f>HYPERLINK("http://rover.ebay.com/rover/1/711-53200-19255-0/1?icep_ff3=9&amp;pub=5575076376&amp;toolid=10001&amp;campid=5338573609&amp;customid=&amp;icep_uq=Voigtlander+Sony+35mm+1.2&amp;icep_sellerId=&amp;icep_ex_kw=&amp;icep_sortBy=12&amp;icep_catId=3323&amp;icep_minPrice=&amp;icep_maxPrice=&amp;ipn=psmain&amp;icep_"&amp;"vectorid=229466&amp;kwid=902099&amp;mtid=824&amp;kw=lg","link*")</f>
        <v>link*</v>
      </c>
    </row>
    <row r="45">
      <c r="A45" s="131" t="str">
        <f>HYPERLINK("https://phillipreeve.net/blog/review-sony-fe-35mm-1-4-za/","Sony ZA 1.4/35")</f>
        <v>Sony ZA 1.4/35</v>
      </c>
      <c r="B45" s="76">
        <v>630.0</v>
      </c>
      <c r="C45" s="77">
        <v>35.0</v>
      </c>
      <c r="D45" s="78">
        <v>1.4</v>
      </c>
      <c r="E45" s="144">
        <v>79.0</v>
      </c>
      <c r="F45" s="145">
        <v>112.0</v>
      </c>
      <c r="G45" s="81" t="s">
        <v>30</v>
      </c>
      <c r="H45" s="82" t="s">
        <v>48</v>
      </c>
      <c r="I45" s="81">
        <v>0.18</v>
      </c>
      <c r="J45" s="83">
        <v>30.0</v>
      </c>
      <c r="K45" s="84" t="s">
        <v>26</v>
      </c>
      <c r="L45" s="81">
        <v>9.0</v>
      </c>
      <c r="M45" s="123">
        <v>43689.0</v>
      </c>
      <c r="N45" s="81" t="s">
        <v>32</v>
      </c>
      <c r="O45" s="86">
        <v>42064.0</v>
      </c>
      <c r="P45" s="87">
        <v>1599.0</v>
      </c>
      <c r="Q45" s="87">
        <v>800.0</v>
      </c>
      <c r="R45" s="88" t="str">
        <f>HYPERLINK("https://amzn.to/2LRSMOS","link*")</f>
        <v>link*</v>
      </c>
      <c r="S45" s="88" t="str">
        <f>HYPERLINK("https://www.bhphotovideo.com/c/product/1126137-REG/sony_sel35f14z_distagon_t_fe_35mm.html/BI/19619/KBID/12129/DFF/d10-v21-t1-x612725/SID/EZ","link*")</f>
        <v>link*</v>
      </c>
      <c r="T45" s="88" t="str">
        <f>HYPERLINK("https://amzn.to/2ZmfSnX","link*")</f>
        <v>link*</v>
      </c>
      <c r="U45" s="88" t="str">
        <f>HYPERLINK("http://rover.ebay.com/rover/1/711-53200-19255-0/1?icep_ff3=9&amp;pub=5575076376&amp;toolid=10001&amp;campid=5338573609&amp;customid=&amp;icep_uq=sony+35+1.4+fe-a-mount&amp;icep_sellerId=&amp;icep_ex_kw=&amp;icep_sortBy=12&amp;icep_catId=3323&amp;icep_minPrice=&amp;icep_maxPrice=&amp;ipn=psmain&amp;icep_vec"&amp;"torid=229466&amp;kwid=902099&amp;mtid=824&amp;kw=lg","link*")</f>
        <v>link*</v>
      </c>
    </row>
    <row r="46">
      <c r="A46" s="131" t="str">
        <f>HYPERLINK("https://phillipreeve.net/blog/review-samyang-af-35-1-4-fe/","Samyang 1.4/35")</f>
        <v>Samyang 1.4/35</v>
      </c>
      <c r="B46" s="76">
        <v>645.0</v>
      </c>
      <c r="C46" s="77">
        <v>35.0</v>
      </c>
      <c r="D46" s="78">
        <v>1.4</v>
      </c>
      <c r="E46" s="144">
        <v>76.0</v>
      </c>
      <c r="F46" s="151">
        <v>115.0</v>
      </c>
      <c r="G46" s="81" t="s">
        <v>30</v>
      </c>
      <c r="H46" s="82" t="s">
        <v>53</v>
      </c>
      <c r="I46" s="81">
        <v>0.17</v>
      </c>
      <c r="J46" s="83">
        <v>30.0</v>
      </c>
      <c r="K46" s="84" t="s">
        <v>26</v>
      </c>
      <c r="L46" s="81">
        <v>9.0</v>
      </c>
      <c r="M46" s="123">
        <v>43719.0</v>
      </c>
      <c r="N46" s="81" t="s">
        <v>46</v>
      </c>
      <c r="O46" s="86">
        <v>43009.0</v>
      </c>
      <c r="P46" s="87">
        <v>599.0</v>
      </c>
      <c r="Q46" s="87">
        <v>375.0</v>
      </c>
      <c r="R46" s="88" t="str">
        <f>HYPERLINK("https://amzn.to/2K8DDXH","link*")</f>
        <v>link*</v>
      </c>
      <c r="S46" s="88" t="str">
        <f>HYPERLINK("https://www.bhphotovideo.com/c/product/1373698-REG/samyang_syio3514_e_35mm_f1_4_auto_focus.html/BI/19619/KBID/12129/DFF/d10-v21-t1-x858016/SID/EZ","link*")</f>
        <v>link*</v>
      </c>
      <c r="T46" s="88" t="str">
        <f>HYPERLINK("https://amzn.to/2Zhl3FI","link*")</f>
        <v>link*</v>
      </c>
      <c r="U46"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V46" s="68" t="s">
        <v>99</v>
      </c>
    </row>
    <row r="47">
      <c r="A47" s="131" t="str">
        <f>HYPERLINK("https://phillipreeve.net/blog/review-voigtlander-35mm-1-4-nokton-e-classic/","Voigtlander 35mm F1.4 Nokton Classic")</f>
        <v>Voigtlander 35mm F1.4 Nokton Classic</v>
      </c>
      <c r="B47" s="76">
        <v>262.0</v>
      </c>
      <c r="C47" s="77">
        <v>35.0</v>
      </c>
      <c r="D47" s="78">
        <v>1.4</v>
      </c>
      <c r="E47" s="144">
        <v>67.0</v>
      </c>
      <c r="F47" s="151">
        <v>40.0</v>
      </c>
      <c r="G47" s="81" t="s">
        <v>24</v>
      </c>
      <c r="H47" s="82" t="s">
        <v>47</v>
      </c>
      <c r="I47" s="81">
        <v>0.16</v>
      </c>
      <c r="J47" s="83">
        <v>30.0</v>
      </c>
      <c r="K47" s="84" t="s">
        <v>26</v>
      </c>
      <c r="L47" s="81">
        <v>10.0</v>
      </c>
      <c r="M47" s="123">
        <v>43624.0</v>
      </c>
      <c r="N47" s="81" t="s">
        <v>28</v>
      </c>
      <c r="O47" s="86">
        <v>43132.0</v>
      </c>
      <c r="P47" s="87">
        <v>799.0</v>
      </c>
      <c r="Q47" s="87">
        <v>450.0</v>
      </c>
      <c r="R47" s="88" t="str">
        <f>HYPERLINK("https://amzn.to/2M1M8WH","link*")</f>
        <v>link*</v>
      </c>
      <c r="S47" s="88" t="str">
        <f>HYPERLINK("https://www.bhphotovideo.com/c/product/1381712-REG/voigtlander_nokton_classic_35mm_f_1_4.html/BI/19619/KBID/12129/DFF/d10-v21-t1-x877353/SID/EZ","link*")</f>
        <v>link*</v>
      </c>
      <c r="T47" s="88" t="str">
        <f>HYPERLINK("https://amzn.to/2ZswTZ3","link*")</f>
        <v>link*</v>
      </c>
      <c r="U47"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row>
    <row r="48" customHeight="1">
      <c r="A48" s="131" t="str">
        <f>HYPERLINK("https://phillipreeve.net/blog/review-sigma-35mm-1-4-art/","Sigma Art 1.4/35")</f>
        <v>Sigma Art 1.4/35</v>
      </c>
      <c r="B48" s="76">
        <v>740.0</v>
      </c>
      <c r="C48" s="77">
        <v>35.0</v>
      </c>
      <c r="D48" s="78">
        <v>1.4</v>
      </c>
      <c r="E48" s="144">
        <v>77.0</v>
      </c>
      <c r="F48" s="139">
        <v>121.0</v>
      </c>
      <c r="G48" s="81" t="s">
        <v>30</v>
      </c>
      <c r="H48" s="82" t="s">
        <v>53</v>
      </c>
      <c r="I48" s="81">
        <v>0.19</v>
      </c>
      <c r="J48" s="83">
        <v>30.0</v>
      </c>
      <c r="K48" s="84" t="s">
        <v>26</v>
      </c>
      <c r="L48" s="81">
        <v>9.0</v>
      </c>
      <c r="M48" s="123">
        <v>43782.0</v>
      </c>
      <c r="N48" s="81" t="s">
        <v>41</v>
      </c>
      <c r="O48" s="86">
        <v>43221.0</v>
      </c>
      <c r="P48" s="153">
        <v>899.0</v>
      </c>
      <c r="Q48" s="153">
        <v>550.0</v>
      </c>
      <c r="R48" s="88" t="str">
        <f>HYPERLINK("https://amzn.to/2LOaQcZ","link*")</f>
        <v>link*</v>
      </c>
      <c r="S48" s="88" t="str">
        <f>HYPERLINK("https://www.bhphotovideo.com/c/product/1393492-REG/sigma_35mm_f_1_4_dg_hsm.html/BI/19619/KBID/12129/DFF/d10-v21-t1-x881157/SID/EZ","link*")</f>
        <v>link*</v>
      </c>
      <c r="T48" s="88" t="str">
        <f>HYPERLINK("https://amzn.to/2ZrfakE","link*")</f>
        <v>link*</v>
      </c>
      <c r="U48"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V48" s="68" t="s">
        <v>42</v>
      </c>
    </row>
    <row r="49">
      <c r="A49" s="131" t="str">
        <f>HYPERLINK("https://phillipreeve.net/blog/review-sony-fe-35mm-f1-8/","Sony FE 1.8/35")</f>
        <v>Sony FE 1.8/35</v>
      </c>
      <c r="B49" s="76">
        <v>280.0</v>
      </c>
      <c r="C49" s="77">
        <v>35.0</v>
      </c>
      <c r="D49" s="78">
        <v>1.8</v>
      </c>
      <c r="E49" s="144">
        <v>66.0</v>
      </c>
      <c r="F49" s="151">
        <v>73.0</v>
      </c>
      <c r="G49" s="81" t="s">
        <v>30</v>
      </c>
      <c r="H49" s="82" t="s">
        <v>90</v>
      </c>
      <c r="I49" s="185">
        <v>0.24</v>
      </c>
      <c r="J49" s="83">
        <v>22.0</v>
      </c>
      <c r="K49" s="84" t="s">
        <v>26</v>
      </c>
      <c r="L49" s="81">
        <v>9.0</v>
      </c>
      <c r="M49" s="123">
        <v>43719.0</v>
      </c>
      <c r="N49" s="81" t="s">
        <v>32</v>
      </c>
      <c r="O49" s="86">
        <v>43647.0</v>
      </c>
      <c r="P49" s="87">
        <v>749.0</v>
      </c>
      <c r="Q49" s="87">
        <v>600.0</v>
      </c>
      <c r="R49" s="88" t="str">
        <f>HYPERLINK("https://amzn.to/31HFLMg","link*")</f>
        <v>link*</v>
      </c>
      <c r="S49" s="88" t="str">
        <f>HYPERLINK("https://www.bhphotovideo.com/c/product/1492866-REG/sony_sel35f18f_35mm_f_1_8_fe_lens.html/BI/19619/KBID/12129/DFF/d10-v21-t1-x975763/SID/EZ","link*")</f>
        <v>link*</v>
      </c>
      <c r="T49" s="88" t="str">
        <f>HYPERLINK("https://amzn.to/2PiATLC","link*")</f>
        <v>link*</v>
      </c>
      <c r="U49"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row>
    <row r="50">
      <c r="A50" s="124" t="s">
        <v>100</v>
      </c>
      <c r="B50" s="76">
        <v>210.0</v>
      </c>
      <c r="C50" s="77">
        <v>35.0</v>
      </c>
      <c r="D50" s="78">
        <v>1.8</v>
      </c>
      <c r="E50" s="138">
        <v>65.0</v>
      </c>
      <c r="F50" s="139">
        <v>62.5</v>
      </c>
      <c r="G50" s="81" t="s">
        <v>30</v>
      </c>
      <c r="H50" s="82" t="s">
        <v>47</v>
      </c>
      <c r="I50" s="185">
        <v>0.17</v>
      </c>
      <c r="J50" s="83">
        <v>29.0</v>
      </c>
      <c r="K50" s="84" t="s">
        <v>26</v>
      </c>
      <c r="L50" s="81">
        <v>9.0</v>
      </c>
      <c r="M50" s="123">
        <v>44053.0</v>
      </c>
      <c r="N50" s="81" t="s">
        <v>46</v>
      </c>
      <c r="O50" s="86">
        <v>44105.0</v>
      </c>
      <c r="P50" s="87">
        <v>399.0</v>
      </c>
      <c r="Q50" s="87" t="s">
        <v>36</v>
      </c>
      <c r="R50" s="130"/>
      <c r="S50" s="142" t="s">
        <v>33</v>
      </c>
      <c r="T50" s="130"/>
      <c r="U50" s="130"/>
    </row>
    <row r="51">
      <c r="A51" s="131" t="str">
        <f>HYPERLINK("https://phillipreeve.net/blog/review-zeiss-loxia-35mm-2-0/","Zeiss Loxia 2/35 Biogon T*")</f>
        <v>Zeiss Loxia 2/35 Biogon T*</v>
      </c>
      <c r="B51" s="76">
        <v>340.0</v>
      </c>
      <c r="C51" s="77">
        <v>35.0</v>
      </c>
      <c r="D51" s="78">
        <v>2.0</v>
      </c>
      <c r="E51" s="144">
        <v>62.0</v>
      </c>
      <c r="F51" s="145">
        <v>66.0</v>
      </c>
      <c r="G51" s="81" t="s">
        <v>24</v>
      </c>
      <c r="H51" s="82" t="s">
        <v>71</v>
      </c>
      <c r="I51" s="81">
        <v>0.17</v>
      </c>
      <c r="J51" s="83">
        <v>30.0</v>
      </c>
      <c r="K51" s="84" t="s">
        <v>26</v>
      </c>
      <c r="L51" s="81">
        <v>10.0</v>
      </c>
      <c r="M51" s="123">
        <v>43625.0</v>
      </c>
      <c r="N51" s="81" t="s">
        <v>58</v>
      </c>
      <c r="O51" s="86">
        <v>41974.0</v>
      </c>
      <c r="P51" s="87">
        <v>1299.0</v>
      </c>
      <c r="Q51" s="87">
        <v>490.0</v>
      </c>
      <c r="R51" s="88" t="str">
        <f>HYPERLINK("https://amzn.to/2T2sJWe","link*")</f>
        <v>link*</v>
      </c>
      <c r="S51" s="88" t="str">
        <f>HYPERLINK("https://www.bhphotovideo.com/c/product/1080388-REG/zeiss_2103_749_loxia_35mm_f_2_biogon.html/BI/19619/KBID/12129/DFF/d10-v21-t1-x553792/SID/EZ","link*")</f>
        <v>link*</v>
      </c>
      <c r="T51" s="89"/>
      <c r="U51"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V51" s="68" t="s">
        <v>101</v>
      </c>
    </row>
    <row r="52">
      <c r="A52" s="131" t="str">
        <f>HYPERLINK("http://www.photozone.de/sonyalphaff/865-zeiss35f28ff","Sony ZA 2.8/35")</f>
        <v>Sony ZA 2.8/35</v>
      </c>
      <c r="B52" s="76">
        <v>120.0</v>
      </c>
      <c r="C52" s="77">
        <v>35.0</v>
      </c>
      <c r="D52" s="78">
        <v>2.8</v>
      </c>
      <c r="E52" s="144">
        <v>62.0</v>
      </c>
      <c r="F52" s="145">
        <v>37.0</v>
      </c>
      <c r="G52" s="81" t="s">
        <v>30</v>
      </c>
      <c r="H52" s="82" t="s">
        <v>74</v>
      </c>
      <c r="I52" s="81">
        <v>0.12</v>
      </c>
      <c r="J52" s="83">
        <v>35.0</v>
      </c>
      <c r="K52" s="84" t="s">
        <v>26</v>
      </c>
      <c r="L52" s="81">
        <v>9.0</v>
      </c>
      <c r="M52" s="123">
        <v>43592.0</v>
      </c>
      <c r="N52" s="81" t="s">
        <v>32</v>
      </c>
      <c r="O52" s="86">
        <v>41487.0</v>
      </c>
      <c r="P52" s="87">
        <v>798.0</v>
      </c>
      <c r="Q52" s="87">
        <v>325.0</v>
      </c>
      <c r="R52" s="88" t="str">
        <f>HYPERLINK("https://amzn.to/2yvhL24","link*")</f>
        <v>link*</v>
      </c>
      <c r="S52" s="88" t="str">
        <f>HYPERLINK("https://www.bhphotovideo.com/c/product/1008123-REG/sony_sel35f28z_sonnar_t_fe_35mm.html/BI/19619/KBID/12129/DFF/d10-v21-t1-x466840/SID/EZ","link*")</f>
        <v>link*</v>
      </c>
      <c r="T52" s="142" t="s">
        <v>33</v>
      </c>
      <c r="U52"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row>
    <row r="53">
      <c r="A53" s="186" t="str">
        <f>HYPERLINK("https://phillipreeve.net/blog/review-tamron-35mm-f-2-8-di-iii-osd-m12/","Tamron 35mm f/2.8 Di III OSD M1:2")</f>
        <v>Tamron 35mm f/2.8 Di III OSD M1:2</v>
      </c>
      <c r="B53" s="187">
        <v>210.0</v>
      </c>
      <c r="C53" s="188">
        <v>35.0</v>
      </c>
      <c r="D53" s="160">
        <v>2.8</v>
      </c>
      <c r="E53" s="189">
        <v>73.0</v>
      </c>
      <c r="F53" s="190">
        <v>64.0</v>
      </c>
      <c r="G53" s="163" t="s">
        <v>30</v>
      </c>
      <c r="H53" s="164" t="s">
        <v>53</v>
      </c>
      <c r="I53" s="191">
        <v>0.5</v>
      </c>
      <c r="J53" s="192">
        <v>15.0</v>
      </c>
      <c r="K53" s="163" t="s">
        <v>26</v>
      </c>
      <c r="L53" s="193">
        <v>7.0</v>
      </c>
      <c r="M53" s="167" t="s">
        <v>60</v>
      </c>
      <c r="N53" s="168" t="s">
        <v>55</v>
      </c>
      <c r="O53" s="86">
        <v>43796.0</v>
      </c>
      <c r="P53" s="194">
        <v>349.0</v>
      </c>
      <c r="Q53" s="195">
        <v>225.0</v>
      </c>
      <c r="R53" s="88" t="str">
        <f>HYPERLINK("https://amzn.to/2LUF8sR","link*")</f>
        <v>link*</v>
      </c>
      <c r="S53" s="88" t="str">
        <f>HYPERLINK("https://www.bhphotovideo.com/c/product/1512043-REG/tamron_f035_35mm_f_2_8_di_iii.html/BI/19619/KBID/12129/DFF/d10-v21-t1-x994972/SID/EZ","link*")</f>
        <v>link*</v>
      </c>
      <c r="T53" s="88" t="str">
        <f>HYPERLINK("https://amzn.to/36BcBQO","link*")</f>
        <v>link*</v>
      </c>
      <c r="U53" s="88" t="str">
        <f>HYPERLINK("http://rover.ebay.com/rover/1/711-53200-19255-0/1?icep_ff3=9&amp;pub=5575076376&amp;toolid=10001&amp;campid=5338573609&amp;customid=&amp;icep_uq=tamron+35+2.8+osd+&amp;icep_sellerId=&amp;icep_ex_kw=&amp;icep_sortBy=12&amp;icep_catId=3323&amp;icep_minPrice=&amp;icep_maxPrice=&amp;ipn=psmain&amp;icep_vectori"&amp;"d=229466&amp;kwid=902099&amp;mtid=824&amp;kw=lg","link*")</f>
        <v>link*</v>
      </c>
    </row>
    <row r="54">
      <c r="A54" s="90" t="s">
        <v>102</v>
      </c>
      <c r="B54" s="23">
        <v>86.0</v>
      </c>
      <c r="C54" s="24">
        <v>35.0</v>
      </c>
      <c r="D54" s="25">
        <v>2.8</v>
      </c>
      <c r="E54" s="147">
        <v>62.0</v>
      </c>
      <c r="F54" s="155">
        <v>33.0</v>
      </c>
      <c r="G54" s="30" t="s">
        <v>30</v>
      </c>
      <c r="H54" s="29" t="s">
        <v>74</v>
      </c>
      <c r="I54" s="30">
        <v>0.12</v>
      </c>
      <c r="J54" s="31">
        <v>35.0</v>
      </c>
      <c r="K54" s="32" t="s">
        <v>26</v>
      </c>
      <c r="L54" s="30">
        <v>9.0</v>
      </c>
      <c r="M54" s="93">
        <v>43623.0</v>
      </c>
      <c r="N54" s="30" t="s">
        <v>46</v>
      </c>
      <c r="O54" s="34">
        <v>42917.0</v>
      </c>
      <c r="P54" s="196">
        <v>399.0</v>
      </c>
      <c r="Q54" s="196">
        <v>210.0</v>
      </c>
      <c r="R54" s="36" t="str">
        <f>HYPERLINK("https://amzn.to/2MGKrxp","link*")</f>
        <v>link*</v>
      </c>
      <c r="S54" s="36" t="str">
        <f>HYPERLINK("https://www.bhphotovideo.com/c/product/1348365-REG/samyang_syio35af_e_35mm_f2_8_compact_wide.html/BI/19619/KBID/12129/DFF/d10-v21-t1-x832776/SID/EZ","link*")</f>
        <v>link*</v>
      </c>
      <c r="T54" s="36" t="str">
        <f>HYPERLINK("https://amzn.to/2rM4SRk","link*")</f>
        <v>link*</v>
      </c>
      <c r="U54" s="36"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V54" s="94"/>
    </row>
    <row r="55">
      <c r="A55" s="109" t="str">
        <f>HYPERLINK("https://phillipreeve.net/blog/voigtlander-40mm-f1-2-nokton-aspherical-rolling-review/","Voigtlander 40mm F1.2 Nokton Aspherical")</f>
        <v>Voigtlander 40mm F1.2 Nokton Aspherical</v>
      </c>
      <c r="B55" s="39">
        <v>420.0</v>
      </c>
      <c r="C55" s="40">
        <v>40.0</v>
      </c>
      <c r="D55" s="197">
        <v>1.2</v>
      </c>
      <c r="E55" s="144">
        <v>70.0</v>
      </c>
      <c r="F55" s="145">
        <v>59.0</v>
      </c>
      <c r="G55" s="46" t="s">
        <v>24</v>
      </c>
      <c r="H55" s="45" t="s">
        <v>47</v>
      </c>
      <c r="I55" s="46">
        <v>0.16</v>
      </c>
      <c r="J55" s="47">
        <v>35.0</v>
      </c>
      <c r="K55" s="44" t="s">
        <v>26</v>
      </c>
      <c r="L55" s="46">
        <v>10.0</v>
      </c>
      <c r="M55" s="74">
        <v>43624.0</v>
      </c>
      <c r="N55" s="46" t="s">
        <v>28</v>
      </c>
      <c r="O55" s="49">
        <v>43040.0</v>
      </c>
      <c r="P55" s="50">
        <v>1099.0</v>
      </c>
      <c r="Q55" s="50">
        <v>600.0</v>
      </c>
      <c r="R55" s="51" t="str">
        <f>HYPERLINK("https://amzn.to/2A412DK","link*")</f>
        <v>link*</v>
      </c>
      <c r="S55" s="51" t="str">
        <f>HYPERLINK("https://www.bhphotovideo.com/c/product/1362557-REG/voigtlander_nokton_40mm_f_1_2_aspherical.html/BI/19619/KBID/12129/DFF/d10-v21-t1-x851241/SID/EZ","link*")</f>
        <v>link*</v>
      </c>
      <c r="T55" s="146"/>
      <c r="U55" s="51" t="str">
        <f t="shared" ref="U55:U56" si="1">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row>
    <row r="56">
      <c r="A56" s="183" t="s">
        <v>103</v>
      </c>
      <c r="B56" s="39">
        <v>340.0</v>
      </c>
      <c r="C56" s="40">
        <v>40.0</v>
      </c>
      <c r="D56" s="197">
        <v>1.2</v>
      </c>
      <c r="E56" s="138">
        <v>66.5</v>
      </c>
      <c r="F56" s="150">
        <v>51.9</v>
      </c>
      <c r="G56" s="46" t="s">
        <v>24</v>
      </c>
      <c r="H56" s="45" t="s">
        <v>47</v>
      </c>
      <c r="I56" s="46">
        <v>0.16</v>
      </c>
      <c r="J56" s="47">
        <v>35.0</v>
      </c>
      <c r="K56" s="44" t="s">
        <v>26</v>
      </c>
      <c r="L56" s="46">
        <v>10.0</v>
      </c>
      <c r="M56" s="74">
        <v>43624.0</v>
      </c>
      <c r="N56" s="46" t="s">
        <v>28</v>
      </c>
      <c r="O56" s="49">
        <v>44006.0</v>
      </c>
      <c r="P56" s="50">
        <v>1099.0</v>
      </c>
      <c r="Q56" s="50" t="s">
        <v>36</v>
      </c>
      <c r="R56" s="52" t="s">
        <v>33</v>
      </c>
      <c r="S56" s="184"/>
      <c r="T56" s="146"/>
      <c r="U56" s="51" t="str">
        <f t="shared" si="1"/>
        <v>link*</v>
      </c>
      <c r="V56" s="68" t="s">
        <v>104</v>
      </c>
    </row>
    <row r="57">
      <c r="A57" s="131" t="str">
        <f>HYPERLINK("https://phillipreeve.net/blog/review-sigma-40mm-1-4-art/","Sigma Art 1.4/40")</f>
        <v>Sigma Art 1.4/40</v>
      </c>
      <c r="B57" s="76">
        <v>1265.0</v>
      </c>
      <c r="C57" s="77">
        <v>40.0</v>
      </c>
      <c r="D57" s="78">
        <v>1.4</v>
      </c>
      <c r="E57" s="144">
        <v>88.0</v>
      </c>
      <c r="F57" s="151">
        <v>157.0</v>
      </c>
      <c r="G57" s="81" t="s">
        <v>30</v>
      </c>
      <c r="H57" s="198" t="s">
        <v>51</v>
      </c>
      <c r="I57" s="81">
        <v>0.15</v>
      </c>
      <c r="J57" s="83">
        <v>40.0</v>
      </c>
      <c r="K57" s="84" t="s">
        <v>26</v>
      </c>
      <c r="L57" s="81">
        <v>9.0</v>
      </c>
      <c r="M57" s="123">
        <v>43815.0</v>
      </c>
      <c r="N57" s="81" t="s">
        <v>41</v>
      </c>
      <c r="O57" s="86">
        <v>43435.0</v>
      </c>
      <c r="P57" s="87">
        <v>1399.0</v>
      </c>
      <c r="Q57" s="87">
        <v>800.0</v>
      </c>
      <c r="R57" s="88" t="str">
        <f>HYPERLINK("https://amzn.to/2SYXFXq","link*")</f>
        <v>link*</v>
      </c>
      <c r="S57" s="88" t="str">
        <f>HYPERLINK("https://www.bhphotovideo.com/c/product/1436292-REG/sigma_40mm_f_1_4_dg_hsm.html/BI/19619/KBID/12129/DFF/d10-v21-t1-x925196/SID/EZ","link*")</f>
        <v>link*</v>
      </c>
      <c r="T57" s="142" t="s">
        <v>33</v>
      </c>
      <c r="U57"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V57" s="68" t="s">
        <v>42</v>
      </c>
    </row>
    <row r="58">
      <c r="A58" s="22" t="str">
        <f>HYPERLINK("https://phillipreeve.net/blog/review-zeiss-batis-2-40-cf/","Zeiss Batis 2/40 CF T*")</f>
        <v>Zeiss Batis 2/40 CF T*</v>
      </c>
      <c r="B58" s="23">
        <v>361.0</v>
      </c>
      <c r="C58" s="24">
        <v>40.0</v>
      </c>
      <c r="D58" s="25">
        <v>2.0</v>
      </c>
      <c r="E58" s="147">
        <v>91.0</v>
      </c>
      <c r="F58" s="136">
        <v>93.0</v>
      </c>
      <c r="G58" s="30" t="s">
        <v>30</v>
      </c>
      <c r="H58" s="29" t="s">
        <v>53</v>
      </c>
      <c r="I58" s="199">
        <v>0.3</v>
      </c>
      <c r="J58" s="31">
        <v>24.0</v>
      </c>
      <c r="K58" s="32" t="s">
        <v>26</v>
      </c>
      <c r="L58" s="30">
        <v>9.0</v>
      </c>
      <c r="M58" s="93">
        <v>43686.0</v>
      </c>
      <c r="N58" s="30" t="s">
        <v>58</v>
      </c>
      <c r="O58" s="34">
        <v>43435.0</v>
      </c>
      <c r="P58" s="35">
        <v>1299.0</v>
      </c>
      <c r="Q58" s="35">
        <v>870.0</v>
      </c>
      <c r="R58" s="36" t="str">
        <f>HYPERLINK("https://amzn.to/2LUN0MF","link*")</f>
        <v>link*</v>
      </c>
      <c r="S58" s="36" t="str">
        <f>HYPERLINK("https://www.bhphotovideo.com/c/product/1436738-REG/zeiss_000000_2239_137_batis_40mm_f_2_cf.html/BI/19619/KBID/12129/DFF/d10-v21-t1-x915694/SID/EZ","link*")</f>
        <v>link*</v>
      </c>
      <c r="T58" s="118" t="s">
        <v>33</v>
      </c>
      <c r="U58" s="36"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V58" s="37" t="s">
        <v>105</v>
      </c>
    </row>
    <row r="59">
      <c r="A59" s="38" t="s">
        <v>106</v>
      </c>
      <c r="B59" s="39">
        <v>162.0</v>
      </c>
      <c r="C59" s="40">
        <v>45.0</v>
      </c>
      <c r="D59" s="41">
        <v>1.8</v>
      </c>
      <c r="E59" s="144">
        <v>62.0</v>
      </c>
      <c r="F59" s="151">
        <v>56.0</v>
      </c>
      <c r="G59" s="46" t="s">
        <v>30</v>
      </c>
      <c r="H59" s="45" t="s">
        <v>74</v>
      </c>
      <c r="I59" s="46">
        <v>0.12</v>
      </c>
      <c r="J59" s="47">
        <v>45.0</v>
      </c>
      <c r="K59" s="44" t="s">
        <v>26</v>
      </c>
      <c r="L59" s="46">
        <v>9.0</v>
      </c>
      <c r="M59" s="74">
        <v>43623.0</v>
      </c>
      <c r="N59" s="46" t="s">
        <v>46</v>
      </c>
      <c r="O59" s="49">
        <v>43647.0</v>
      </c>
      <c r="P59" s="200">
        <v>399.0</v>
      </c>
      <c r="Q59" s="200">
        <v>250.0</v>
      </c>
      <c r="R59" s="51" t="str">
        <f>HYPERLINK("https://amzn.to/2YC6MST","link*")</f>
        <v>link*</v>
      </c>
      <c r="S59" s="51" t="str">
        <f>HYPERLINK("https://www.bhphotovideo.com/c/product/1478738-REG/samyang_af_45mm_f_1_8_fe.html/BI/19619/KBID/12129/DFF/d10-v21-t1-x964329/SID/EZ","link*")</f>
        <v>link*</v>
      </c>
      <c r="T59" s="146" t="s">
        <v>33</v>
      </c>
      <c r="U59" s="51"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row>
    <row r="60">
      <c r="A60" s="90" t="s">
        <v>107</v>
      </c>
      <c r="B60" s="23">
        <v>215.0</v>
      </c>
      <c r="C60" s="24">
        <v>45.0</v>
      </c>
      <c r="D60" s="25">
        <v>2.8</v>
      </c>
      <c r="E60" s="147">
        <v>64.0</v>
      </c>
      <c r="F60" s="155">
        <v>46.0</v>
      </c>
      <c r="G60" s="30" t="s">
        <v>30</v>
      </c>
      <c r="H60" s="29" t="s">
        <v>90</v>
      </c>
      <c r="I60" s="201">
        <v>0.25</v>
      </c>
      <c r="J60" s="31">
        <v>24.0</v>
      </c>
      <c r="K60" s="32" t="s">
        <v>26</v>
      </c>
      <c r="L60" s="30">
        <v>7.0</v>
      </c>
      <c r="M60" s="93">
        <v>43654.0</v>
      </c>
      <c r="N60" s="30" t="s">
        <v>41</v>
      </c>
      <c r="O60" s="34">
        <v>43647.0</v>
      </c>
      <c r="P60" s="35">
        <v>549.0</v>
      </c>
      <c r="Q60" s="35" t="s">
        <v>36</v>
      </c>
      <c r="R60" s="36" t="str">
        <f>HYPERLINK("https://amzn.to/2SYEvAX","link*")</f>
        <v>link*</v>
      </c>
      <c r="S60" s="36" t="str">
        <f>HYPERLINK("https://www.bhphotovideo.com/c/product/1492966-REG/sigma_360965_45mm_f_2_8_dg_dn.html/BI/19619/KBID/12129/DFF/d10-v21-t1-x976020/SID/EZ","link*")</f>
        <v>link*</v>
      </c>
      <c r="T60" s="70" t="s">
        <v>33</v>
      </c>
      <c r="U60" s="36"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V60" s="37" t="s">
        <v>108</v>
      </c>
    </row>
    <row r="61">
      <c r="A61" s="109" t="str">
        <f>HYPERLINK("https://phillipreeve.net/blog/review-voigtlander-50mm-1-2-nokton-e/","Voigtlander 50mm F1.2 Nokton")</f>
        <v>Voigtlander 50mm F1.2 Nokton</v>
      </c>
      <c r="B61" s="39">
        <v>440.0</v>
      </c>
      <c r="C61" s="40">
        <v>50.0</v>
      </c>
      <c r="D61" s="197">
        <v>1.2</v>
      </c>
      <c r="E61" s="144">
        <v>70.0</v>
      </c>
      <c r="F61" s="145">
        <v>58.0</v>
      </c>
      <c r="G61" s="46" t="s">
        <v>24</v>
      </c>
      <c r="H61" s="45" t="s">
        <v>47</v>
      </c>
      <c r="I61" s="46">
        <v>0.15</v>
      </c>
      <c r="J61" s="47">
        <v>45.0</v>
      </c>
      <c r="K61" s="44" t="s">
        <v>26</v>
      </c>
      <c r="L61" s="46">
        <v>12.0</v>
      </c>
      <c r="M61" s="74">
        <v>43624.0</v>
      </c>
      <c r="N61" s="46" t="s">
        <v>28</v>
      </c>
      <c r="O61" s="49">
        <v>43556.0</v>
      </c>
      <c r="P61" s="50">
        <v>1099.0</v>
      </c>
      <c r="Q61" s="50" t="s">
        <v>36</v>
      </c>
      <c r="R61" s="51" t="str">
        <f>HYPERLINK("https://amzn.to/2OAfE7N","link*")</f>
        <v>link*</v>
      </c>
      <c r="S61" s="51" t="str">
        <f>HYPERLINK("https://www.bhphotovideo.com/c/product/1433349-REG/voigtlander_ba348a_nokton_50mm_f_1_2_aspherical.html/BI/19619/KBID/12129/DFF/d10-v21-t1-x915623/SID/EZ","link*")</f>
        <v>link*</v>
      </c>
      <c r="T61" s="146" t="s">
        <v>33</v>
      </c>
      <c r="U61" s="51" t="str">
        <f>HYPERLINK("http://rover.ebay.com/rover/1/711-53200-19255-0/1?icep_ff3=9&amp;pub=5575076376&amp;toolid=10001&amp;campid=5338164340&amp;customid=&amp;icep_uq=voigtlander+sony+50+1.2&amp;icep_sellerId=&amp;icep_ex_kw=&amp;icep_sortBy=12&amp;icep_catId=3323&amp;icep_minPrice=&amp;icep_maxPrice=&amp;ipn=psmain&amp;icep_ve"&amp;"ctorid=229466&amp;kwid=902099&amp;mtid=824&amp;kw=lg","link*")</f>
        <v>link*</v>
      </c>
    </row>
    <row r="62">
      <c r="A62" s="75" t="s">
        <v>109</v>
      </c>
      <c r="B62" s="76">
        <v>778.0</v>
      </c>
      <c r="C62" s="77">
        <v>50.0</v>
      </c>
      <c r="D62" s="78">
        <v>1.4</v>
      </c>
      <c r="E62" s="144">
        <v>84.0</v>
      </c>
      <c r="F62" s="145">
        <v>108.0</v>
      </c>
      <c r="G62" s="81" t="s">
        <v>30</v>
      </c>
      <c r="H62" s="82" t="s">
        <v>48</v>
      </c>
      <c r="I62" s="81">
        <v>0.15</v>
      </c>
      <c r="J62" s="83">
        <v>45.0</v>
      </c>
      <c r="K62" s="84" t="s">
        <v>26</v>
      </c>
      <c r="L62" s="81">
        <v>11.0</v>
      </c>
      <c r="M62" s="123">
        <v>43720.0</v>
      </c>
      <c r="N62" s="81" t="s">
        <v>32</v>
      </c>
      <c r="O62" s="86">
        <v>42583.0</v>
      </c>
      <c r="P62" s="87">
        <v>1499.0</v>
      </c>
      <c r="Q62" s="87">
        <v>950.0</v>
      </c>
      <c r="R62" s="88" t="str">
        <f>HYPERLINK("https://amzn.to/2K88EL7","link*")</f>
        <v>link*</v>
      </c>
      <c r="S62" s="88" t="str">
        <f>HYPERLINK("https://www.bhphotovideo.com/c/product/1264965-REG/sony_sel50f14z_planar_t_fe_50mm.html/BI/19619/KBID/12129/DFF/d10-v21-t1-x746806/SID/EZ","link*")</f>
        <v>link*</v>
      </c>
      <c r="T62" s="89" t="s">
        <v>33</v>
      </c>
      <c r="U62"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row>
    <row r="63">
      <c r="A63" s="75" t="s">
        <v>110</v>
      </c>
      <c r="B63" s="76">
        <v>910.0</v>
      </c>
      <c r="C63" s="77">
        <v>50.0</v>
      </c>
      <c r="D63" s="78">
        <v>1.4</v>
      </c>
      <c r="E63" s="144">
        <v>85.0</v>
      </c>
      <c r="F63" s="150">
        <v>125.9</v>
      </c>
      <c r="G63" s="81" t="s">
        <v>30</v>
      </c>
      <c r="H63" s="82" t="s">
        <v>56</v>
      </c>
      <c r="I63" s="81">
        <v>0.18</v>
      </c>
      <c r="J63" s="83">
        <v>40.0</v>
      </c>
      <c r="K63" s="84" t="s">
        <v>26</v>
      </c>
      <c r="L63" s="81">
        <v>9.0</v>
      </c>
      <c r="M63" s="123">
        <v>43690.0</v>
      </c>
      <c r="N63" s="81" t="s">
        <v>41</v>
      </c>
      <c r="O63" s="86">
        <v>43221.0</v>
      </c>
      <c r="P63" s="87">
        <v>949.0</v>
      </c>
      <c r="Q63" s="87">
        <v>550.0</v>
      </c>
      <c r="R63" s="88" t="str">
        <f>HYPERLINK("https://amzn.to/2K4JmyT","link*")</f>
        <v>link*</v>
      </c>
      <c r="S63" s="88" t="str">
        <f>HYPERLINK("https://www.bhphotovideo.com/c/product/1393493-REG/sigma_50mm_f_1_4_dg_hsm.html/BI/19619/KBID/12129/kw/SI5014SO/DFF/d10-v2-t1-xSI5014SO","link*")</f>
        <v>link*</v>
      </c>
      <c r="T63" s="88" t="str">
        <f>HYPERLINK("https://amzn.to/2Wpdoz5","link*")</f>
        <v>link*</v>
      </c>
      <c r="U63" s="88" t="str">
        <f>HYPERLINK("http://rover.ebay.com/rover/1/711-53200-19255-0/1?icep_ff3=9&amp;pub=5575076376&amp;toolid=10001&amp;campid=5338164340&amp;customid=&amp;icep_uq=sigma+sony+art+50+1.4&amp;icep_sellerId=&amp;icep_ex_kw=&amp;icep_sortBy=12&amp;icep_catId=3323&amp;icep_minPrice=&amp;icep_maxPrice=&amp;ipn=psmain&amp;icep_vect"&amp;"orid=229466&amp;kwid=902099&amp;mtid=824&amp;kw=lg","link*")</f>
        <v>link*</v>
      </c>
      <c r="V63" s="68" t="s">
        <v>42</v>
      </c>
    </row>
    <row r="64">
      <c r="A64" s="75" t="s">
        <v>111</v>
      </c>
      <c r="B64" s="76">
        <v>585.0</v>
      </c>
      <c r="C64" s="77">
        <v>50.0</v>
      </c>
      <c r="D64" s="78">
        <v>1.4</v>
      </c>
      <c r="E64" s="144">
        <v>74.0</v>
      </c>
      <c r="F64" s="145">
        <v>98.0</v>
      </c>
      <c r="G64" s="81" t="s">
        <v>30</v>
      </c>
      <c r="H64" s="82" t="s">
        <v>53</v>
      </c>
      <c r="I64" s="81">
        <v>0.15</v>
      </c>
      <c r="J64" s="83">
        <v>45.0</v>
      </c>
      <c r="K64" s="84" t="s">
        <v>26</v>
      </c>
      <c r="L64" s="81">
        <v>9.0</v>
      </c>
      <c r="M64" s="123">
        <v>43686.0</v>
      </c>
      <c r="N64" s="81" t="s">
        <v>46</v>
      </c>
      <c r="O64" s="86">
        <v>42583.0</v>
      </c>
      <c r="P64" s="87">
        <v>699.0</v>
      </c>
      <c r="Q64" s="87">
        <v>300.0</v>
      </c>
      <c r="R64" s="88" t="str">
        <f>HYPERLINK("https://amzn.to/2SY1Pyr","link*")</f>
        <v>link*</v>
      </c>
      <c r="S64" s="88" t="str">
        <f>HYPERLINK("https://www.bhphotovideo.com/c/product/1352862-REG/samyang_syio50af_e_50mm_f_1_4_auto_focus.html/BI/19619/KBID/12129/DFF/d10-v21-t1-x837927/SID/EZ","link*")</f>
        <v>link*</v>
      </c>
      <c r="T64" s="89" t="s">
        <v>33</v>
      </c>
      <c r="U64"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row>
    <row r="65">
      <c r="A65" s="131" t="str">
        <f>HYPERLINK("https://phillipreeve.net/blog/review-sony-fe-1-850/","Sony 50mm F1.8")</f>
        <v>Sony 50mm F1.8</v>
      </c>
      <c r="B65" s="76">
        <v>186.0</v>
      </c>
      <c r="C65" s="77">
        <v>50.0</v>
      </c>
      <c r="D65" s="78">
        <v>1.8</v>
      </c>
      <c r="E65" s="144">
        <v>69.0</v>
      </c>
      <c r="F65" s="145">
        <v>60.0</v>
      </c>
      <c r="G65" s="81" t="s">
        <v>30</v>
      </c>
      <c r="H65" s="82" t="s">
        <v>74</v>
      </c>
      <c r="I65" s="81">
        <v>0.14</v>
      </c>
      <c r="J65" s="83">
        <v>45.0</v>
      </c>
      <c r="K65" s="84" t="s">
        <v>26</v>
      </c>
      <c r="L65" s="81">
        <v>7.0</v>
      </c>
      <c r="M65" s="123">
        <v>43591.0</v>
      </c>
      <c r="N65" s="81" t="s">
        <v>32</v>
      </c>
      <c r="O65" s="86">
        <v>42430.0</v>
      </c>
      <c r="P65" s="153">
        <v>249.0</v>
      </c>
      <c r="Q65" s="153">
        <v>165.0</v>
      </c>
      <c r="R65" s="88" t="str">
        <f>HYPERLINK("http://amzn.to/2v2F5Se","link*")</f>
        <v>link*</v>
      </c>
      <c r="S65" s="88" t="str">
        <f>HYPERLINK("https://www.bhphotovideo.com/c/product/1242613-REG/sony_sel50f18f_fe_50mm_f_1_8_lens.html/BI/19619/KBID/12129/kw/SO5018F/DFF/d10-v2-t1-xSO5018F","link*")</f>
        <v>link*</v>
      </c>
      <c r="T65" s="88" t="str">
        <f>HYPERLINK("http://amzn.to/2wyHB25","link*")</f>
        <v>link*</v>
      </c>
      <c r="U65"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row>
    <row r="66">
      <c r="A66" s="131" t="str">
        <f>HYPERLINK("https://docs.google.com/document/d/115s6JHR9S4pBUesKJEkgWeoP8rcGbT31p6fQSg5SFQM/edit?usp=sharing","Voigtlander 50mm F2 APO-Lanthar")</f>
        <v>Voigtlander 50mm F2 APO-Lanthar</v>
      </c>
      <c r="B66" s="76">
        <v>364.0</v>
      </c>
      <c r="C66" s="77">
        <v>50.0</v>
      </c>
      <c r="D66" s="78">
        <v>2.0</v>
      </c>
      <c r="E66" s="138">
        <v>63.0</v>
      </c>
      <c r="F66" s="150">
        <v>61.0</v>
      </c>
      <c r="G66" s="81" t="s">
        <v>24</v>
      </c>
      <c r="H66" s="82" t="s">
        <v>74</v>
      </c>
      <c r="I66" s="81">
        <v>0.156</v>
      </c>
      <c r="J66" s="83">
        <v>45.0</v>
      </c>
      <c r="K66" s="84" t="s">
        <v>26</v>
      </c>
      <c r="L66" s="81">
        <v>12.0</v>
      </c>
      <c r="M66" s="123">
        <v>43687.0</v>
      </c>
      <c r="N66" s="81" t="s">
        <v>28</v>
      </c>
      <c r="O66" s="86">
        <v>43811.0</v>
      </c>
      <c r="P66" s="87">
        <v>1049.0</v>
      </c>
      <c r="Q66" s="87" t="s">
        <v>36</v>
      </c>
      <c r="R66" s="88" t="str">
        <f>HYPERLINK("https://amzn.to/2uCNQ9n","link*")</f>
        <v>link*</v>
      </c>
      <c r="S66" s="88" t="str">
        <f>HYPERLINK("https://www.bhphotovideo.com/c/product/1526146-REG/voigtlander_apo_lanthar50_apo_lanthar_50mm_f_2_aspherical.html/BI/19619/KBID/12129/DFF/d10-v21-t1-x1008376/SID/EZ","link*")</f>
        <v>link*</v>
      </c>
      <c r="T66" s="130" t="s">
        <v>33</v>
      </c>
      <c r="U66" s="130"/>
      <c r="V66" s="68"/>
    </row>
    <row r="67">
      <c r="A67" s="131" t="str">
        <f>HYPERLINK("https://phillipreeve.net/blog/review-zeiss-loxia-planar-250-t/","Zeiss Loxia 50mm F2")</f>
        <v>Zeiss Loxia 50mm F2</v>
      </c>
      <c r="B67" s="76">
        <v>320.0</v>
      </c>
      <c r="C67" s="77">
        <v>50.0</v>
      </c>
      <c r="D67" s="78">
        <v>2.0</v>
      </c>
      <c r="E67" s="144">
        <v>62.0</v>
      </c>
      <c r="F67" s="145">
        <v>60.0</v>
      </c>
      <c r="G67" s="81" t="s">
        <v>24</v>
      </c>
      <c r="H67" s="82" t="s">
        <v>71</v>
      </c>
      <c r="I67" s="81">
        <v>0.15</v>
      </c>
      <c r="J67" s="83">
        <v>45.0</v>
      </c>
      <c r="K67" s="84" t="s">
        <v>26</v>
      </c>
      <c r="L67" s="81">
        <v>10.0</v>
      </c>
      <c r="M67" s="123">
        <v>43561.0</v>
      </c>
      <c r="N67" s="81" t="s">
        <v>58</v>
      </c>
      <c r="O67" s="86">
        <v>41913.0</v>
      </c>
      <c r="P67" s="87">
        <v>949.0</v>
      </c>
      <c r="Q67" s="87">
        <v>450.0</v>
      </c>
      <c r="R67" s="88" t="str">
        <f>HYPERLINK("http://amzn.to/2faVsIu","link*")</f>
        <v>link*</v>
      </c>
      <c r="S67" s="88" t="str">
        <f>HYPERLINK("https://www.bhphotovideo.com/c/product/1080387-REG/zeiss_2103_748_loxia_50mm_f_2_planar.html/BI/19619/KBID/12129/kw/ZE502LFE/DFF/d10-v2-t1-xZE502LFE","link*")</f>
        <v>link*</v>
      </c>
      <c r="T67" s="88" t="str">
        <f>HYPERLINK("http://amzn.to/2wyJAU4","link*")</f>
        <v>link*</v>
      </c>
      <c r="U67"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V67" s="68" t="s">
        <v>101</v>
      </c>
    </row>
    <row r="68">
      <c r="A68" s="22" t="str">
        <f>HYPERLINK("https://phillipreeve.net/blog/rolling-review-sony-fe-2-850-macro/","Sony 50mm F/2.8 Macro")</f>
        <v>Sony 50mm F/2.8 Macro</v>
      </c>
      <c r="B68" s="23">
        <v>236.0</v>
      </c>
      <c r="C68" s="24">
        <v>50.0</v>
      </c>
      <c r="D68" s="25">
        <v>2.8</v>
      </c>
      <c r="E68" s="147">
        <v>72.0</v>
      </c>
      <c r="F68" s="155">
        <v>71.0</v>
      </c>
      <c r="G68" s="30" t="s">
        <v>30</v>
      </c>
      <c r="H68" s="29" t="s">
        <v>90</v>
      </c>
      <c r="I68" s="202">
        <v>1.0</v>
      </c>
      <c r="J68" s="31">
        <v>16.0</v>
      </c>
      <c r="K68" s="32" t="s">
        <v>26</v>
      </c>
      <c r="L68" s="30">
        <v>7.0</v>
      </c>
      <c r="M68" s="93">
        <v>43654.0</v>
      </c>
      <c r="N68" s="30" t="s">
        <v>32</v>
      </c>
      <c r="O68" s="34">
        <v>42614.0</v>
      </c>
      <c r="P68" s="203">
        <v>499.0</v>
      </c>
      <c r="Q68" s="203">
        <v>350.0</v>
      </c>
      <c r="R68" s="36" t="str">
        <f>HYPERLINK("http://amzn.to/2v2g0qz","link*")</f>
        <v>link*</v>
      </c>
      <c r="S68" s="36" t="str">
        <f>HYPERLINK("https://www.bhphotovideo.com/c/product/1277527-REG/sony_sel50m28_fe_50mm_f_2_8_macro.html/BI/19619/KBID/12129/kw/SO5028FF/DFF/d10-v2-t1-xSO5028FF","link*")</f>
        <v>link*</v>
      </c>
      <c r="T68" s="36" t="str">
        <f>HYPERLINK("http://amzn.to/2vbknRN","link*")</f>
        <v>link*</v>
      </c>
      <c r="U68" s="36"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V68" s="94"/>
    </row>
    <row r="69">
      <c r="A69" s="95" t="str">
        <f>HYPERLINK("https://phillipreeve.net/blog/sony-fe-1-855-za-sonnar-t-review/","Sony ZA 55mm F1.8 Sonnar")</f>
        <v>Sony ZA 55mm F1.8 Sonnar</v>
      </c>
      <c r="B69" s="96">
        <v>281.0</v>
      </c>
      <c r="C69" s="97">
        <v>55.0</v>
      </c>
      <c r="D69" s="98">
        <v>1.8</v>
      </c>
      <c r="E69" s="147">
        <v>64.0</v>
      </c>
      <c r="F69" s="155">
        <v>71.0</v>
      </c>
      <c r="G69" s="103" t="s">
        <v>30</v>
      </c>
      <c r="H69" s="102" t="s">
        <v>74</v>
      </c>
      <c r="I69" s="103">
        <v>0.14</v>
      </c>
      <c r="J69" s="104">
        <v>50.0</v>
      </c>
      <c r="K69" s="101" t="s">
        <v>26</v>
      </c>
      <c r="L69" s="103">
        <v>9.0</v>
      </c>
      <c r="M69" s="204">
        <v>43592.0</v>
      </c>
      <c r="N69" s="103" t="s">
        <v>32</v>
      </c>
      <c r="O69" s="106">
        <v>41548.0</v>
      </c>
      <c r="P69" s="107">
        <v>999.0</v>
      </c>
      <c r="Q69" s="107">
        <v>625.0</v>
      </c>
      <c r="R69" s="108" t="str">
        <f>HYPERLINK("https://amzn.to/2ywdgEk","link*")</f>
        <v>link*</v>
      </c>
      <c r="S69" s="108" t="str">
        <f>HYPERLINK("https://www.bhphotovideo.com/c/product/1008124-REG/sony_sel55f18z_sonnar_t_fe_55mm.html/BI/19619/KBID/12129/DFF/d10-v21-t1-x466841/SID/EZ","link*")</f>
        <v>link*</v>
      </c>
      <c r="T69" s="205" t="s">
        <v>33</v>
      </c>
      <c r="U69" s="10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V69" s="94"/>
    </row>
    <row r="70">
      <c r="A70" s="95" t="str">
        <f>HYPERLINK("https://phillipreeve.net/blog/voigtlander-65-f2-apo-macro-review/","Voigtlander Macro 65mm F2 Apo Lanthar")</f>
        <v>Voigtlander Macro 65mm F2 Apo Lanthar</v>
      </c>
      <c r="B70" s="96">
        <v>635.0</v>
      </c>
      <c r="C70" s="97">
        <v>65.0</v>
      </c>
      <c r="D70" s="98">
        <v>2.0</v>
      </c>
      <c r="E70" s="147">
        <v>78.0</v>
      </c>
      <c r="F70" s="155">
        <v>91.0</v>
      </c>
      <c r="G70" s="103" t="s">
        <v>24</v>
      </c>
      <c r="H70" s="102" t="s">
        <v>53</v>
      </c>
      <c r="I70" s="206">
        <v>0.5</v>
      </c>
      <c r="J70" s="104">
        <v>31.0</v>
      </c>
      <c r="K70" s="101" t="s">
        <v>26</v>
      </c>
      <c r="L70" s="103">
        <v>10.0</v>
      </c>
      <c r="M70" s="204">
        <v>43687.0</v>
      </c>
      <c r="N70" s="103" t="s">
        <v>28</v>
      </c>
      <c r="O70" s="207">
        <v>42917.0</v>
      </c>
      <c r="P70" s="107">
        <v>999.0</v>
      </c>
      <c r="Q70" s="107">
        <v>600.0</v>
      </c>
      <c r="R70" s="108" t="str">
        <f>HYPERLINK("https://amzn.to/2LU48SI","link*")</f>
        <v>link*</v>
      </c>
      <c r="S70" s="108" t="str">
        <f>HYPERLINK("https://www.bhphotovideo.com/c/product/1350400-REG/voigtlander_macro_apo_lanthar_65mm_f2.html/BI/19619/KBID/12129/DFF/d10-v21-t1-x835677/SID/EZ","link*")</f>
        <v>link*</v>
      </c>
      <c r="T70" s="205" t="s">
        <v>33</v>
      </c>
      <c r="U70" s="10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V70" s="94"/>
    </row>
    <row r="71">
      <c r="A71" s="38" t="s">
        <v>112</v>
      </c>
      <c r="B71" s="39">
        <v>562.0</v>
      </c>
      <c r="C71" s="40">
        <v>70.0</v>
      </c>
      <c r="D71" s="41">
        <v>2.8</v>
      </c>
      <c r="E71" s="144">
        <v>71.0</v>
      </c>
      <c r="F71" s="150">
        <v>132.0</v>
      </c>
      <c r="G71" s="46" t="s">
        <v>30</v>
      </c>
      <c r="H71" s="45" t="s">
        <v>74</v>
      </c>
      <c r="I71" s="208">
        <v>1.0</v>
      </c>
      <c r="J71" s="47">
        <v>26.0</v>
      </c>
      <c r="K71" s="44" t="s">
        <v>26</v>
      </c>
      <c r="L71" s="46">
        <v>9.0</v>
      </c>
      <c r="M71" s="74">
        <v>43751.0</v>
      </c>
      <c r="N71" s="46" t="s">
        <v>41</v>
      </c>
      <c r="O71" s="49">
        <v>43221.0</v>
      </c>
      <c r="P71" s="209">
        <v>569.0</v>
      </c>
      <c r="Q71" s="209">
        <v>400.0</v>
      </c>
      <c r="R71" s="51" t="str">
        <f>HYPERLINK("https://amzn.to/2YGO9te","link*")</f>
        <v>link*</v>
      </c>
      <c r="S71" s="51" t="str">
        <f>HYPERLINK("https://www.bhphotovideo.com/c/product/1393483-REG/sigma_70mm_f_2_8_dg_macro.html/BI/19619/KBID/12129/DFF/d10-v21-t1-x895111/SID/EZ","link*")</f>
        <v>link*</v>
      </c>
      <c r="T71" s="52" t="s">
        <v>33</v>
      </c>
      <c r="U71" s="51"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V71" s="68" t="s">
        <v>42</v>
      </c>
    </row>
    <row r="72">
      <c r="A72" s="75" t="s">
        <v>113</v>
      </c>
      <c r="B72" s="76">
        <v>1480.0</v>
      </c>
      <c r="C72" s="77">
        <v>70.0</v>
      </c>
      <c r="D72" s="78">
        <v>2.8</v>
      </c>
      <c r="E72" s="144">
        <v>88.0</v>
      </c>
      <c r="F72" s="145">
        <v>200.0</v>
      </c>
      <c r="G72" s="81" t="s">
        <v>30</v>
      </c>
      <c r="H72" s="82" t="s">
        <v>56</v>
      </c>
      <c r="I72" s="185">
        <v>0.25</v>
      </c>
      <c r="J72" s="83">
        <v>96.0</v>
      </c>
      <c r="K72" s="154" t="s">
        <v>49</v>
      </c>
      <c r="L72" s="81">
        <v>11.0</v>
      </c>
      <c r="M72" s="85" t="s">
        <v>114</v>
      </c>
      <c r="N72" s="81" t="s">
        <v>32</v>
      </c>
      <c r="O72" s="86">
        <v>42401.0</v>
      </c>
      <c r="P72" s="87">
        <v>2599.0</v>
      </c>
      <c r="Q72" s="87">
        <v>1900.0</v>
      </c>
      <c r="R72" s="88" t="str">
        <f>HYPERLINK("https://amzn.to/2KbaJGn","link*")</f>
        <v>link*</v>
      </c>
      <c r="S72" s="88" t="str">
        <f>HYPERLINK("https://www.bhphotovideo.com/c/product/1222776-REG/sony_sel70200gm_fe_70_200mm_f_2_8_gm.html/BI/19619/KBID/12129/DFF/d10-v21-t1-x746807/SID/EZ","link*")</f>
        <v>link*</v>
      </c>
      <c r="T72" s="89" t="s">
        <v>33</v>
      </c>
      <c r="U72"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row>
    <row r="73">
      <c r="A73" s="75" t="s">
        <v>115</v>
      </c>
      <c r="B73" s="76">
        <v>815.0</v>
      </c>
      <c r="C73" s="77">
        <v>70.0</v>
      </c>
      <c r="D73" s="78">
        <v>2.8</v>
      </c>
      <c r="E73" s="210">
        <v>81.0</v>
      </c>
      <c r="F73" s="150">
        <v>149.0</v>
      </c>
      <c r="G73" s="81" t="s">
        <v>30</v>
      </c>
      <c r="H73" s="82" t="s">
        <v>53</v>
      </c>
      <c r="I73" s="185">
        <v>0.5</v>
      </c>
      <c r="J73" s="83">
        <v>85.0</v>
      </c>
      <c r="K73" s="81" t="s">
        <v>26</v>
      </c>
      <c r="L73" s="81">
        <v>9.0</v>
      </c>
      <c r="M73" s="85" t="s">
        <v>116</v>
      </c>
      <c r="N73" s="81" t="s">
        <v>55</v>
      </c>
      <c r="O73" s="86">
        <v>43952.0</v>
      </c>
      <c r="P73" s="211">
        <v>1199.0</v>
      </c>
      <c r="Q73" s="87" t="s">
        <v>36</v>
      </c>
      <c r="R73" s="130"/>
      <c r="S73" s="142" t="s">
        <v>33</v>
      </c>
      <c r="T73" s="89"/>
      <c r="U73" s="88" t="str">
        <f>HYPERLINK("http://rover.ebay.com/rover/1/711-53200-19255-0/1?icep_ff3=9&amp;pub=5575076376&amp;toolid=10001&amp;campid=5338573609&amp;customid=&amp;icep_uq=tamron+70-180+sony&amp;icep_sellerId=&amp;icep_ex_kw=&amp;icep_sortBy=12&amp;icep_catId=3323&amp;icep_minPrice=&amp;icep_maxPrice=&amp;ipn=psmain&amp;icep_vectori"&amp;"d=229466&amp;kwid=902099&amp;mtid=824&amp;kw=lg","link*")</f>
        <v>link*</v>
      </c>
    </row>
    <row r="74">
      <c r="A74" s="75" t="s">
        <v>117</v>
      </c>
      <c r="B74" s="76">
        <v>854.0</v>
      </c>
      <c r="C74" s="77">
        <v>70.0</v>
      </c>
      <c r="D74" s="78" t="s">
        <v>118</v>
      </c>
      <c r="E74" s="144">
        <v>84.0</v>
      </c>
      <c r="F74" s="145">
        <v>144.0</v>
      </c>
      <c r="G74" s="81" t="s">
        <v>30</v>
      </c>
      <c r="H74" s="82" t="s">
        <v>48</v>
      </c>
      <c r="I74" s="140">
        <v>0.31</v>
      </c>
      <c r="J74" s="83">
        <v>90.0</v>
      </c>
      <c r="K74" s="154" t="s">
        <v>49</v>
      </c>
      <c r="L74" s="81">
        <v>9.0</v>
      </c>
      <c r="M74" s="85" t="s">
        <v>52</v>
      </c>
      <c r="N74" s="81" t="s">
        <v>32</v>
      </c>
      <c r="O74" s="86">
        <v>42430.0</v>
      </c>
      <c r="P74" s="87">
        <v>1198.0</v>
      </c>
      <c r="Q74" s="87">
        <v>850.0</v>
      </c>
      <c r="R74" s="88" t="str">
        <f>HYPERLINK("https://amzn.to/2SVN1Ao","link*")</f>
        <v>link*</v>
      </c>
      <c r="S74" s="88" t="str">
        <f>HYPERLINK("https://www.bhphotovideo.com/c/product/1242614-REG/sony_sel70300g_fe_70_300mm_f_4_5_5_6_g.html/BI/19619/KBID/12129/DFF/d10-v21-t1-x722726/SID/EZ","link*")</f>
        <v>link*</v>
      </c>
      <c r="T74" s="89" t="s">
        <v>33</v>
      </c>
      <c r="U74"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row>
    <row r="75">
      <c r="A75" s="212" t="s">
        <v>119</v>
      </c>
      <c r="B75" s="213">
        <v>545.0</v>
      </c>
      <c r="C75" s="214">
        <v>70.0</v>
      </c>
      <c r="D75" s="215">
        <v>4.5</v>
      </c>
      <c r="E75" s="216">
        <v>77.0</v>
      </c>
      <c r="F75" s="217">
        <v>148.0</v>
      </c>
      <c r="G75" s="218" t="s">
        <v>30</v>
      </c>
      <c r="H75" s="219" t="s">
        <v>53</v>
      </c>
      <c r="I75" s="220">
        <f>1/5.1</f>
        <v>0.1960784314</v>
      </c>
      <c r="J75" s="221">
        <v>150.0</v>
      </c>
      <c r="K75" s="222" t="s">
        <v>26</v>
      </c>
      <c r="L75" s="218">
        <v>7.0</v>
      </c>
      <c r="M75" s="223">
        <v>44119.0</v>
      </c>
      <c r="N75" s="218" t="s">
        <v>55</v>
      </c>
      <c r="O75" s="224">
        <v>44133.0</v>
      </c>
      <c r="P75" s="141">
        <v>549.0</v>
      </c>
      <c r="Q75" s="141" t="s">
        <v>36</v>
      </c>
      <c r="R75" s="225"/>
      <c r="S75" s="226" t="s">
        <v>33</v>
      </c>
      <c r="T75" s="227"/>
      <c r="U75" s="225"/>
      <c r="V75" s="68" t="s">
        <v>120</v>
      </c>
    </row>
    <row r="76">
      <c r="A76" s="22" t="str">
        <f>HYPERLINK("https://phillipreeve.net/blog/review-sony-fe-470-200-g-oss/https://phillipreeve.net/blog/review-sony-fe-470-200-g-oss/","Sony G 4/70-200 OSS")</f>
        <v>Sony G 4/70-200 OSS</v>
      </c>
      <c r="B76" s="23">
        <v>840.0</v>
      </c>
      <c r="C76" s="24">
        <v>70.0</v>
      </c>
      <c r="D76" s="25">
        <v>4.0</v>
      </c>
      <c r="E76" s="147">
        <v>80.0</v>
      </c>
      <c r="F76" s="155">
        <v>175.0</v>
      </c>
      <c r="G76" s="30" t="s">
        <v>30</v>
      </c>
      <c r="H76" s="29" t="s">
        <v>48</v>
      </c>
      <c r="I76" s="30">
        <v>0.18</v>
      </c>
      <c r="J76" s="31">
        <v>100.0</v>
      </c>
      <c r="K76" s="156" t="s">
        <v>49</v>
      </c>
      <c r="L76" s="30">
        <v>9.0</v>
      </c>
      <c r="M76" s="228" t="s">
        <v>121</v>
      </c>
      <c r="N76" s="30" t="s">
        <v>32</v>
      </c>
      <c r="O76" s="34">
        <v>41548.0</v>
      </c>
      <c r="P76" s="35">
        <v>1498.0</v>
      </c>
      <c r="Q76" s="35">
        <v>850.0</v>
      </c>
      <c r="R76" s="36" t="str">
        <f>HYPERLINK("http://amzn.to/2fbeX3x","link*")</f>
        <v>link*</v>
      </c>
      <c r="S76" s="36" t="str">
        <f>HYPERLINK("https://www.bhphotovideo.com/c/product/1380865-REG/sony_fe_70_200mm_f_4_g.html/BI/19619/KBID/12129/kw/SO702004F/DFF/d10-v2-t1-xSO702004F","link*")</f>
        <v>link*</v>
      </c>
      <c r="T76" s="36" t="str">
        <f>HYPERLINK("http://amzn.to/2vbFQKj","link*")</f>
        <v>link*</v>
      </c>
      <c r="U76" s="36"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V76" s="94"/>
    </row>
    <row r="77">
      <c r="A77" s="229" t="s">
        <v>122</v>
      </c>
      <c r="B77" s="54">
        <v>230.0</v>
      </c>
      <c r="C77" s="55">
        <v>75.0</v>
      </c>
      <c r="D77" s="56">
        <v>1.8</v>
      </c>
      <c r="E77" s="216">
        <v>65.0</v>
      </c>
      <c r="F77" s="217">
        <v>69.0</v>
      </c>
      <c r="G77" s="61" t="s">
        <v>30</v>
      </c>
      <c r="H77" s="60" t="s">
        <v>47</v>
      </c>
      <c r="I77" s="61">
        <v>0.13</v>
      </c>
      <c r="J77" s="62">
        <v>69.0</v>
      </c>
      <c r="K77" s="59" t="s">
        <v>26</v>
      </c>
      <c r="L77" s="61">
        <v>9.0</v>
      </c>
      <c r="M77" s="230">
        <v>44084.0</v>
      </c>
      <c r="N77" s="61" t="s">
        <v>46</v>
      </c>
      <c r="O77" s="231">
        <v>43937.0</v>
      </c>
      <c r="P77" s="65">
        <v>399.0</v>
      </c>
      <c r="Q77" s="65" t="s">
        <v>36</v>
      </c>
      <c r="R77" s="67" t="s">
        <v>33</v>
      </c>
      <c r="S77" s="67" t="s">
        <v>33</v>
      </c>
      <c r="T77" s="67" t="s">
        <v>33</v>
      </c>
      <c r="U77" s="88" t="str">
        <f>HYPERLINK("http://rover.ebay.com/rover/1/711-53200-19255-0/1?icep_ff3=9&amp;pub=5575076376&amp;toolid=10001&amp;campid=5338164340&amp;customid=&amp;icep_uq=samyang+75+1.8+sony+af&amp;icep_sellerId=&amp;icep_ex_kw=&amp;icep_sortBy=12&amp;icep_catId=3323&amp;icep_minPrice=&amp;icep_maxPrice=&amp;ipn=psmain&amp;icep_vec"&amp;"torid=229466&amp;kwid=902099&amp;mtid=824&amp;kw=lg","link*")</f>
        <v>link*</v>
      </c>
    </row>
    <row r="78">
      <c r="A78" s="109" t="str">
        <f>HYPERLINK("https://phillipreeve.net/blog/review-sony-fe-85mm-1-4-gm/","Sony GM 1.4/85")</f>
        <v>Sony GM 1.4/85</v>
      </c>
      <c r="B78" s="39">
        <v>854.0</v>
      </c>
      <c r="C78" s="40">
        <v>85.0</v>
      </c>
      <c r="D78" s="41">
        <v>1.4</v>
      </c>
      <c r="E78" s="144">
        <v>84.0</v>
      </c>
      <c r="F78" s="145">
        <v>108.0</v>
      </c>
      <c r="G78" s="46" t="s">
        <v>30</v>
      </c>
      <c r="H78" s="45" t="s">
        <v>56</v>
      </c>
      <c r="I78" s="46">
        <v>0.12</v>
      </c>
      <c r="J78" s="47">
        <v>80.0</v>
      </c>
      <c r="K78" s="44" t="s">
        <v>26</v>
      </c>
      <c r="L78" s="46">
        <v>11.0</v>
      </c>
      <c r="M78" s="74">
        <v>43688.0</v>
      </c>
      <c r="N78" s="46" t="s">
        <v>32</v>
      </c>
      <c r="O78" s="49">
        <v>42401.0</v>
      </c>
      <c r="P78" s="50">
        <v>1799.0</v>
      </c>
      <c r="Q78" s="50">
        <v>1150.0</v>
      </c>
      <c r="R78" s="51" t="str">
        <f>HYPERLINK("https://amzn.to/2SZeKAh","link*")</f>
        <v>link*</v>
      </c>
      <c r="S78" s="51" t="str">
        <f>HYPERLINK("https://www.bhphotovideo.com/c/product/1222775-REG/sony_sel85f14gm_fe_85mm_f_1_4_gm.html/BI/19619/KBID/12129/DFF/d10-v21-t1-x707644/SID/EZ","link*")</f>
        <v>link*</v>
      </c>
      <c r="T78" s="146" t="s">
        <v>33</v>
      </c>
      <c r="U78" s="51"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row>
    <row r="79">
      <c r="A79" s="75" t="s">
        <v>123</v>
      </c>
      <c r="B79" s="76">
        <v>1245.0</v>
      </c>
      <c r="C79" s="77">
        <v>85.0</v>
      </c>
      <c r="D79" s="78">
        <v>1.4</v>
      </c>
      <c r="E79" s="144">
        <v>95.0</v>
      </c>
      <c r="F79" s="145">
        <v>152.0</v>
      </c>
      <c r="G79" s="81" t="s">
        <v>30</v>
      </c>
      <c r="H79" s="232" t="s">
        <v>124</v>
      </c>
      <c r="I79" s="81">
        <v>0.12</v>
      </c>
      <c r="J79" s="83">
        <v>85.0</v>
      </c>
      <c r="K79" s="84" t="s">
        <v>26</v>
      </c>
      <c r="L79" s="81">
        <v>9.0</v>
      </c>
      <c r="M79" s="123">
        <v>43724.0</v>
      </c>
      <c r="N79" s="81" t="s">
        <v>41</v>
      </c>
      <c r="O79" s="86">
        <v>43221.0</v>
      </c>
      <c r="P79" s="87">
        <v>1199.0</v>
      </c>
      <c r="Q79" s="87">
        <v>750.0</v>
      </c>
      <c r="R79" s="88" t="str">
        <f>HYPERLINK("https://amzn.to/2MBd68k","link*")</f>
        <v>link*</v>
      </c>
      <c r="S79" s="88" t="str">
        <f>HYPERLINK("https://www.bhphotovideo.com/c/product/1393494-REG/sigma_85mm_f_1_4_dg_hsm.html/BI/19619/KBID/12129/kw/SI8514SO/DFF/d10-v2-t1-xSI8514SO","link*")</f>
        <v>link*</v>
      </c>
      <c r="T79" s="88" t="str">
        <f>HYPERLINK("https://amzn.to/2Wto6JH","link*")</f>
        <v>link*</v>
      </c>
      <c r="U79"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V79" s="68" t="s">
        <v>42</v>
      </c>
    </row>
    <row r="80">
      <c r="A80" s="75" t="s">
        <v>125</v>
      </c>
      <c r="B80" s="76">
        <v>568.0</v>
      </c>
      <c r="C80" s="77">
        <v>85.0</v>
      </c>
      <c r="D80" s="78">
        <v>1.4</v>
      </c>
      <c r="E80" s="144">
        <v>88.0</v>
      </c>
      <c r="F80" s="145">
        <v>100.0</v>
      </c>
      <c r="G80" s="81" t="s">
        <v>30</v>
      </c>
      <c r="H80" s="82" t="s">
        <v>56</v>
      </c>
      <c r="I80" s="81">
        <v>0.11</v>
      </c>
      <c r="J80" s="83">
        <v>90.0</v>
      </c>
      <c r="K80" s="84" t="s">
        <v>26</v>
      </c>
      <c r="L80" s="81">
        <v>9.0</v>
      </c>
      <c r="M80" s="123">
        <v>43688.0</v>
      </c>
      <c r="N80" s="81" t="s">
        <v>46</v>
      </c>
      <c r="O80" s="86">
        <v>43586.0</v>
      </c>
      <c r="P80" s="153">
        <v>599.0</v>
      </c>
      <c r="Q80" s="87">
        <v>500.0</v>
      </c>
      <c r="R80" s="88" t="str">
        <f>HYPERLINK("https://amzn.to/2T0yJ1A","link*")</f>
        <v>link*</v>
      </c>
      <c r="S80" s="88" t="str">
        <f>HYPERLINK("https://www.bhphotovideo.com/c/product/1470654-REG/samyang_syio85af_e_af_85mm_f_1_4_lens.html/BI/19619/KBID/12129/DFF/d10-v21-t1-x955078/SID/EZ","link*")</f>
        <v>link*</v>
      </c>
      <c r="T80" s="89" t="s">
        <v>33</v>
      </c>
      <c r="U80"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row>
    <row r="81">
      <c r="A81" s="75" t="s">
        <v>126</v>
      </c>
      <c r="B81" s="76">
        <v>630.0</v>
      </c>
      <c r="C81" s="77">
        <v>85.0</v>
      </c>
      <c r="D81" s="78">
        <v>1.4</v>
      </c>
      <c r="E81" s="138">
        <v>82.5</v>
      </c>
      <c r="F81" s="150">
        <v>94.1</v>
      </c>
      <c r="G81" s="81" t="s">
        <v>30</v>
      </c>
      <c r="H81" s="82" t="s">
        <v>56</v>
      </c>
      <c r="I81" s="81">
        <f>1/8.4</f>
        <v>0.119047619</v>
      </c>
      <c r="J81" s="83">
        <v>85.0</v>
      </c>
      <c r="K81" s="84" t="s">
        <v>26</v>
      </c>
      <c r="L81" s="81">
        <v>11.0</v>
      </c>
      <c r="M81" s="123">
        <v>44150.0</v>
      </c>
      <c r="N81" s="81" t="s">
        <v>41</v>
      </c>
      <c r="O81" s="86"/>
      <c r="P81" s="153">
        <v>1199.0</v>
      </c>
      <c r="Q81" s="87"/>
      <c r="R81" s="130"/>
      <c r="S81" s="130"/>
      <c r="T81" s="89"/>
      <c r="U81" s="130"/>
    </row>
    <row r="82">
      <c r="A82" s="131" t="str">
        <f>HYPERLINK("https://phillipreeve.net/blog/review-sony-fe-85-mm-1-8/","Sony FE 85mm f/1.8")</f>
        <v>Sony FE 85mm f/1.8</v>
      </c>
      <c r="B82" s="76">
        <v>371.0</v>
      </c>
      <c r="C82" s="77">
        <v>85.0</v>
      </c>
      <c r="D82" s="78">
        <v>1.8</v>
      </c>
      <c r="E82" s="144">
        <v>77.0</v>
      </c>
      <c r="F82" s="145">
        <v>82.0</v>
      </c>
      <c r="G82" s="81" t="s">
        <v>30</v>
      </c>
      <c r="H82" s="82" t="s">
        <v>53</v>
      </c>
      <c r="I82" s="81">
        <v>0.13</v>
      </c>
      <c r="J82" s="83">
        <v>80.0</v>
      </c>
      <c r="K82" s="84" t="s">
        <v>26</v>
      </c>
      <c r="L82" s="81">
        <v>9.0</v>
      </c>
      <c r="M82" s="123">
        <v>43686.0</v>
      </c>
      <c r="N82" s="81" t="s">
        <v>32</v>
      </c>
      <c r="O82" s="86">
        <v>42767.0</v>
      </c>
      <c r="P82" s="153">
        <v>599.0</v>
      </c>
      <c r="Q82" s="153">
        <v>470.0</v>
      </c>
      <c r="R82" s="88" t="str">
        <f>HYPERLINK("https://amzn.to/2YB4RxU","link*")</f>
        <v>link*</v>
      </c>
      <c r="S82" s="88" t="str">
        <f>HYPERLINK("https://www.bhphotovideo.com/c/product/1140833-REG/zeiss_2103_751_85mm_f_1_8_batis_short.html/BI/19619/KBID/12129/DFF/d10-v21-t1-x627139/SID/EZ","link*")</f>
        <v>link*</v>
      </c>
      <c r="T82" s="89" t="s">
        <v>33</v>
      </c>
      <c r="U82"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row>
    <row r="83">
      <c r="A83" s="124" t="s">
        <v>127</v>
      </c>
      <c r="B83" s="76">
        <v>645.0</v>
      </c>
      <c r="C83" s="77">
        <v>85.0</v>
      </c>
      <c r="D83" s="78">
        <v>1.8</v>
      </c>
      <c r="E83" s="138">
        <v>80.0</v>
      </c>
      <c r="F83" s="150">
        <v>93.0</v>
      </c>
      <c r="G83" s="81" t="s">
        <v>30</v>
      </c>
      <c r="H83" s="82" t="s">
        <v>48</v>
      </c>
      <c r="I83" s="81">
        <v>0.125</v>
      </c>
      <c r="J83" s="83">
        <v>80.0</v>
      </c>
      <c r="K83" s="84" t="s">
        <v>26</v>
      </c>
      <c r="L83" s="81">
        <v>9.0</v>
      </c>
      <c r="M83" s="123">
        <v>44022.0</v>
      </c>
      <c r="N83" s="81" t="s">
        <v>67</v>
      </c>
      <c r="O83" s="86">
        <v>43922.0</v>
      </c>
      <c r="P83" s="87">
        <v>499.0</v>
      </c>
      <c r="Q83" s="87" t="s">
        <v>36</v>
      </c>
      <c r="R83" s="130"/>
      <c r="S83" s="142" t="s">
        <v>33</v>
      </c>
      <c r="T83" s="89"/>
      <c r="U83" s="88" t="str">
        <f>HYPERLINK("http://rover.ebay.com/rover/1/711-53200-19255-0/1?icep_ff3=9&amp;pub=5575076376&amp;toolid=10001&amp;campid=5338164340&amp;customid=&amp;icep_uq=tokina+85mm+1.8+sony+-stm&amp;icep_sellerId=&amp;icep_ex_kw=&amp;icep_sortBy=12&amp;icep_catId=3323&amp;icep_minPrice=&amp;icep_maxPrice=&amp;ipn=psmain&amp;icep_"&amp;"vectorid=229466&amp;kwid=902099&amp;mtid=824&amp;kw=lg","link*")</f>
        <v>link*</v>
      </c>
      <c r="V83" s="68" t="s">
        <v>128</v>
      </c>
    </row>
    <row r="84">
      <c r="A84" s="131" t="str">
        <f>HYPERLINK("https://phillipreeve.net/blog/zeiss-batis-sonnar-t-85mm-f1-8-a-review/","Zeiss Batis 1.8/85")</f>
        <v>Zeiss Batis 1.8/85</v>
      </c>
      <c r="B84" s="76">
        <v>475.0</v>
      </c>
      <c r="C84" s="77">
        <v>85.0</v>
      </c>
      <c r="D84" s="78">
        <v>1.8</v>
      </c>
      <c r="E84" s="144">
        <v>92.0</v>
      </c>
      <c r="F84" s="145">
        <v>81.0</v>
      </c>
      <c r="G84" s="81" t="s">
        <v>30</v>
      </c>
      <c r="H84" s="82" t="s">
        <v>53</v>
      </c>
      <c r="I84" s="81">
        <v>0.13</v>
      </c>
      <c r="J84" s="83">
        <v>80.0</v>
      </c>
      <c r="K84" s="154" t="s">
        <v>49</v>
      </c>
      <c r="L84" s="81">
        <v>9.0</v>
      </c>
      <c r="M84" s="123">
        <v>43688.0</v>
      </c>
      <c r="N84" s="81" t="s">
        <v>58</v>
      </c>
      <c r="O84" s="86">
        <v>42125.0</v>
      </c>
      <c r="P84" s="87">
        <v>1199.0</v>
      </c>
      <c r="Q84" s="87">
        <v>800.0</v>
      </c>
      <c r="R84" s="88" t="str">
        <f>HYPERLINK("https://amzn.to/2T8oWqt","link*")</f>
        <v>link*</v>
      </c>
      <c r="S84" s="88" t="str">
        <f>HYPERLINK("https://www.bhphotovideo.com/c/product/1140833-REG/zeiss_2103_751_85mm_f_1_8_batis_short.html/BI/19619/KBID/12129/DFF/d10-v21-t1-x627139/SID/EZ","link*")</f>
        <v>link*</v>
      </c>
      <c r="T84" s="89" t="s">
        <v>33</v>
      </c>
      <c r="U84"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row>
    <row r="85">
      <c r="A85" s="75" t="s">
        <v>129</v>
      </c>
      <c r="B85" s="76">
        <v>665.0</v>
      </c>
      <c r="C85" s="77">
        <v>85.0</v>
      </c>
      <c r="D85" s="78">
        <v>1.8</v>
      </c>
      <c r="E85" s="144">
        <v>79.0</v>
      </c>
      <c r="F85" s="145">
        <v>92.0</v>
      </c>
      <c r="G85" s="81" t="s">
        <v>24</v>
      </c>
      <c r="H85" s="82" t="s">
        <v>48</v>
      </c>
      <c r="I85" s="81">
        <v>0.13</v>
      </c>
      <c r="J85" s="83">
        <v>80.0</v>
      </c>
      <c r="K85" s="84" t="s">
        <v>26</v>
      </c>
      <c r="L85" s="81">
        <v>9.0</v>
      </c>
      <c r="M85" s="123">
        <v>43656.0</v>
      </c>
      <c r="N85" s="81" t="s">
        <v>63</v>
      </c>
      <c r="O85" s="233">
        <v>43586.0</v>
      </c>
      <c r="P85" s="87">
        <v>299.0</v>
      </c>
      <c r="Q85" s="87" t="s">
        <v>36</v>
      </c>
      <c r="R85" s="88" t="str">
        <f>HYPERLINK("https://amzn.to/2LVVOBV","link*")</f>
        <v>link*</v>
      </c>
      <c r="S85" s="130" t="str">
        <f>HYPERLINK("https://www.bhphotovideo.com/c/product/1469189-REG/viltrox_pfu_rbmh_85mm_f1_8_e_mount_85mm_f_1_8_for_sony.html/BI/19619/KBID/12129/DFF/d10-v21-t1-x954301/SID/EZ", S85,"link*")</f>
        <v>#REF!</v>
      </c>
      <c r="T85" s="89" t="s">
        <v>33</v>
      </c>
      <c r="U85"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V85" s="68" t="s">
        <v>39</v>
      </c>
    </row>
    <row r="86">
      <c r="A86" s="131" t="str">
        <f>HYPERLINK("https://phillipreeve.net/blog/review-viltrox-85-mm-f-1-8-stm-af-pfu-rbmh/","Viltrox PFU RBMH 85mm f/1.8 STM")</f>
        <v>Viltrox PFU RBMH 85mm f/1.8 STM</v>
      </c>
      <c r="B86" s="76">
        <v>636.0</v>
      </c>
      <c r="C86" s="77">
        <v>85.0</v>
      </c>
      <c r="D86" s="78">
        <v>1.8</v>
      </c>
      <c r="E86" s="144">
        <v>79.0</v>
      </c>
      <c r="F86" s="145">
        <v>92.0</v>
      </c>
      <c r="G86" s="81" t="s">
        <v>30</v>
      </c>
      <c r="H86" s="82" t="s">
        <v>48</v>
      </c>
      <c r="I86" s="81">
        <v>0.13</v>
      </c>
      <c r="J86" s="83">
        <v>80.0</v>
      </c>
      <c r="K86" s="84" t="s">
        <v>26</v>
      </c>
      <c r="L86" s="81">
        <v>9.0</v>
      </c>
      <c r="M86" s="123">
        <v>43656.0</v>
      </c>
      <c r="N86" s="81" t="s">
        <v>63</v>
      </c>
      <c r="O86" s="86">
        <v>43586.0</v>
      </c>
      <c r="P86" s="87">
        <v>399.0</v>
      </c>
      <c r="Q86" s="87" t="s">
        <v>36</v>
      </c>
      <c r="R86" s="88" t="str">
        <f t="shared" ref="R86:R87" si="2">HYPERLINK("https://amzn.to/2SZfd5v","link*")</f>
        <v>link*</v>
      </c>
      <c r="S86" s="88" t="str">
        <f t="shared" ref="S86:S87" si="3">HYPERLINK("https://www.bhphotovideo.com/c/product/1470585-REG/viltrox_pfu_rbmh_85mm_f1_8_stm_e_mount_85mm_f_1_8_lens_for.html/BI/19619/KBID/12129/DFF/d10-v21-t1-x955239/SID/EZ","link*")</f>
        <v>link*</v>
      </c>
      <c r="T86" s="89" t="s">
        <v>33</v>
      </c>
      <c r="U86" s="88" t="str">
        <f t="shared" ref="U86:U87" si="4">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V86" s="68" t="s">
        <v>39</v>
      </c>
    </row>
    <row r="87">
      <c r="A87" s="234" t="str">
        <f>HYPERLINK("https://phillipreeve.net/blog/review-viltrox-85-mm-f-1-8-stm-af-pfu-rbmh/","Viltrox 85mm f/1.8 STM II")</f>
        <v>Viltrox 85mm f/1.8 STM II</v>
      </c>
      <c r="B87" s="158">
        <v>484.0</v>
      </c>
      <c r="C87" s="159">
        <v>85.0</v>
      </c>
      <c r="D87" s="235">
        <v>1.8</v>
      </c>
      <c r="E87" s="236">
        <v>79.0</v>
      </c>
      <c r="F87" s="237">
        <v>92.0</v>
      </c>
      <c r="G87" s="168" t="s">
        <v>30</v>
      </c>
      <c r="H87" s="164" t="s">
        <v>48</v>
      </c>
      <c r="I87" s="164">
        <v>0.13</v>
      </c>
      <c r="J87" s="166">
        <v>80.0</v>
      </c>
      <c r="K87" s="163" t="s">
        <v>26</v>
      </c>
      <c r="L87" s="164">
        <v>9.0</v>
      </c>
      <c r="M87" s="238">
        <v>43656.0</v>
      </c>
      <c r="N87" s="168" t="s">
        <v>63</v>
      </c>
      <c r="O87" s="169">
        <v>44013.0</v>
      </c>
      <c r="P87" s="239">
        <v>399.0</v>
      </c>
      <c r="Q87" s="240" t="s">
        <v>36</v>
      </c>
      <c r="R87" s="172" t="str">
        <f t="shared" si="2"/>
        <v>link*</v>
      </c>
      <c r="S87" s="172" t="str">
        <f t="shared" si="3"/>
        <v>link*</v>
      </c>
      <c r="T87" s="241" t="s">
        <v>33</v>
      </c>
      <c r="U87" s="172" t="str">
        <f t="shared" si="4"/>
        <v>link*</v>
      </c>
      <c r="V87" s="173"/>
      <c r="W87" s="173"/>
      <c r="X87" s="173"/>
      <c r="Y87" s="173"/>
      <c r="Z87" s="173"/>
      <c r="AA87" s="173"/>
      <c r="AB87" s="173"/>
    </row>
    <row r="88">
      <c r="A88" s="242" t="s">
        <v>130</v>
      </c>
      <c r="B88" s="243">
        <v>420.0</v>
      </c>
      <c r="C88" s="244">
        <v>85.0</v>
      </c>
      <c r="D88" s="245">
        <v>1.8</v>
      </c>
      <c r="E88" s="246">
        <v>79.0</v>
      </c>
      <c r="F88" s="217">
        <v>75.0</v>
      </c>
      <c r="G88" s="247" t="s">
        <v>24</v>
      </c>
      <c r="H88" s="248">
        <v>67.0</v>
      </c>
      <c r="I88" s="247"/>
      <c r="J88" s="249">
        <v>85.0</v>
      </c>
      <c r="K88" s="250" t="s">
        <v>26</v>
      </c>
      <c r="L88" s="247">
        <v>9.0</v>
      </c>
      <c r="M88" s="251">
        <v>43991.0</v>
      </c>
      <c r="N88" s="247" t="s">
        <v>131</v>
      </c>
      <c r="O88" s="252">
        <v>44043.0</v>
      </c>
      <c r="P88" s="253"/>
      <c r="Q88" s="253"/>
      <c r="R88" s="254"/>
      <c r="S88" s="254"/>
      <c r="T88" s="255"/>
      <c r="U88" s="254"/>
    </row>
    <row r="89">
      <c r="A89" s="22" t="str">
        <f>HYPERLINK("https://phillipreeve.net/blog/rolling-review-zeiss-loxia-85mm-2-4/","Zeiss Loxia 2.4/85")</f>
        <v>Zeiss Loxia 2.4/85</v>
      </c>
      <c r="B89" s="23">
        <v>594.0</v>
      </c>
      <c r="C89" s="24">
        <v>85.0</v>
      </c>
      <c r="D89" s="25">
        <v>2.4</v>
      </c>
      <c r="E89" s="147">
        <v>63.0</v>
      </c>
      <c r="F89" s="155">
        <v>95.0</v>
      </c>
      <c r="G89" s="30" t="s">
        <v>24</v>
      </c>
      <c r="H89" s="29" t="s">
        <v>71</v>
      </c>
      <c r="I89" s="30">
        <v>0.14</v>
      </c>
      <c r="J89" s="31">
        <v>80.0</v>
      </c>
      <c r="K89" s="32" t="s">
        <v>26</v>
      </c>
      <c r="L89" s="30">
        <v>10.0</v>
      </c>
      <c r="M89" s="93">
        <v>43653.0</v>
      </c>
      <c r="N89" s="30" t="s">
        <v>58</v>
      </c>
      <c r="O89" s="34">
        <v>42644.0</v>
      </c>
      <c r="P89" s="35">
        <v>1399.0</v>
      </c>
      <c r="Q89" s="35">
        <v>850.0</v>
      </c>
      <c r="R89" s="36" t="str">
        <f>HYPERLINK("https://amzn.to/2SY4PLd","link*")</f>
        <v>link*</v>
      </c>
      <c r="S89" s="36" t="str">
        <f>HYPERLINK("https://www.bhphotovideo.com/c/product/1282150-REG/zeiss_2162_636_loxia_85mm_f_2_4_lens.html/BI/19619/KBID/12129/DFF/d10-v21-t1-x762761/SID/EZ","link*")</f>
        <v>link*</v>
      </c>
      <c r="T89" s="70" t="s">
        <v>33</v>
      </c>
      <c r="U89" s="36"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V89" s="94"/>
    </row>
    <row r="90">
      <c r="A90" s="95" t="str">
        <f>HYPERLINK("https://phillipreeve.net/blog/review-sony-fe-90mm-f2-8-macro-oss-one-of-sonys-finest/","Sony 2.8/90 G OSS")</f>
        <v>Sony 2.8/90 G OSS</v>
      </c>
      <c r="B90" s="96">
        <v>602.0</v>
      </c>
      <c r="C90" s="97">
        <v>90.0</v>
      </c>
      <c r="D90" s="98">
        <v>2.8</v>
      </c>
      <c r="E90" s="147">
        <v>79.0</v>
      </c>
      <c r="F90" s="155">
        <v>131.0</v>
      </c>
      <c r="G90" s="103" t="s">
        <v>30</v>
      </c>
      <c r="H90" s="102" t="s">
        <v>66</v>
      </c>
      <c r="I90" s="256">
        <v>1.0</v>
      </c>
      <c r="J90" s="104">
        <v>28.0</v>
      </c>
      <c r="K90" s="257" t="s">
        <v>49</v>
      </c>
      <c r="L90" s="103">
        <v>9.0</v>
      </c>
      <c r="M90" s="204">
        <v>43784.0</v>
      </c>
      <c r="N90" s="103" t="s">
        <v>32</v>
      </c>
      <c r="O90" s="106">
        <v>42064.0</v>
      </c>
      <c r="P90" s="107">
        <v>1099.0</v>
      </c>
      <c r="Q90" s="107">
        <v>850.0</v>
      </c>
      <c r="R90" s="108" t="str">
        <f>HYPERLINK("http://amzn.to/2fbeX3x","link*")</f>
        <v>link*</v>
      </c>
      <c r="S90" s="108" t="str">
        <f>HYPERLINK("https://www.bhphotovideo.com/c/product/1380868-REG/sony_fe_90mm_f_2_8_macro.html/BI/19619/KBID/12129/kw/SO9028F/DFF/d10-v2-t1-xSO9028F","link*")</f>
        <v>link*</v>
      </c>
      <c r="T90" s="108" t="str">
        <f>HYPERLINK("http://amzn.to/2vvvHcw","link*")</f>
        <v>link*</v>
      </c>
      <c r="U90" s="10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V90" s="94"/>
    </row>
    <row r="91">
      <c r="A91" s="109" t="str">
        <f>HYPERLINK("https://phillipreeve.net/blog/review-sony-fe-100-f-2-8-stf-gm-oss-lens/","Sony GM 2.8/100 STF OSS")</f>
        <v>Sony GM 2.8/100 STF OSS</v>
      </c>
      <c r="B91" s="39">
        <v>700.0</v>
      </c>
      <c r="C91" s="40">
        <v>100.0</v>
      </c>
      <c r="D91" s="41">
        <v>2.8</v>
      </c>
      <c r="E91" s="144">
        <v>85.0</v>
      </c>
      <c r="F91" s="145">
        <v>118.0</v>
      </c>
      <c r="G91" s="46" t="s">
        <v>30</v>
      </c>
      <c r="H91" s="45" t="s">
        <v>48</v>
      </c>
      <c r="I91" s="258">
        <v>0.25</v>
      </c>
      <c r="J91" s="47">
        <v>57.0</v>
      </c>
      <c r="K91" s="110" t="s">
        <v>49</v>
      </c>
      <c r="L91" s="46">
        <v>11.0</v>
      </c>
      <c r="M91" s="74">
        <v>43752.0</v>
      </c>
      <c r="N91" s="46" t="s">
        <v>32</v>
      </c>
      <c r="O91" s="49">
        <v>42767.0</v>
      </c>
      <c r="P91" s="50">
        <v>1499.0</v>
      </c>
      <c r="Q91" s="50">
        <v>1000.0</v>
      </c>
      <c r="R91" s="51" t="str">
        <f>HYPERLINK("https://amzn.to/2YD8rn4","link*")</f>
        <v>link*</v>
      </c>
      <c r="S91" s="51" t="str">
        <f>HYPERLINK("https://www.bhphotovideo.com/c/product/1317561-REG/sony_sel100f28gm_fe_100mm_f_2_8_stf.html/BI/19619/KBID/12129/DFF/d10-v21-t1-x795192/SID/EZ","link*")</f>
        <v>link*</v>
      </c>
      <c r="T91" s="146" t="s">
        <v>33</v>
      </c>
      <c r="U91" s="51"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V91" s="68" t="s">
        <v>132</v>
      </c>
    </row>
    <row r="92">
      <c r="A92" s="131" t="str">
        <f>HYPERLINK("https://phillipreeve.net/blog/review-tokina-firin-100mm-f2-8-fe-macro/","Tokina Firin 2.8/100 Macro")</f>
        <v>Tokina Firin 2.8/100 Macro</v>
      </c>
      <c r="B92" s="76">
        <v>570.0</v>
      </c>
      <c r="C92" s="77">
        <v>100.0</v>
      </c>
      <c r="D92" s="78">
        <v>2.8</v>
      </c>
      <c r="E92" s="144">
        <v>74.0</v>
      </c>
      <c r="F92" s="151">
        <v>123.0</v>
      </c>
      <c r="G92" s="81" t="s">
        <v>30</v>
      </c>
      <c r="H92" s="82" t="s">
        <v>90</v>
      </c>
      <c r="I92" s="259">
        <v>1.0</v>
      </c>
      <c r="J92" s="83">
        <v>30.0</v>
      </c>
      <c r="K92" s="84" t="s">
        <v>26</v>
      </c>
      <c r="L92" s="81">
        <v>9.0</v>
      </c>
      <c r="M92" s="123">
        <v>43686.0</v>
      </c>
      <c r="N92" s="81" t="s">
        <v>67</v>
      </c>
      <c r="O92" s="86">
        <v>43617.0</v>
      </c>
      <c r="P92" s="129">
        <v>599.0</v>
      </c>
      <c r="Q92" s="129" t="s">
        <v>36</v>
      </c>
      <c r="R92" s="88" t="str">
        <f>HYPERLINK("http://amzn.to/2fbeX3x","link*")</f>
        <v>link*</v>
      </c>
      <c r="S92" s="88" t="str">
        <f>HYPERLINK("https://www.bhphotovideo.com/c/product/1473390-REG/tokina_frn_afm100fxse_firin_100mm_f_2_8_fe.html/BI/19619/KBID/12129/kw/TO100AF/DFF/d10-v2-t1-xTO100AF","link*")</f>
        <v>link*</v>
      </c>
      <c r="T92"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U92" s="88" t="str">
        <f>HYPERLINK("http://rover.ebay.com/rover/1/711-53200-19255-0/1?icep_ff3=10&amp;pub=5575076376&amp;toolid=10001&amp;campid=5338164340&amp;customid=&amp;icep_uq=tokina+firin+macro&amp;icep_sellerId=&amp;icep_ex_kw=&amp;icep_sortBy=12&amp;icep_catId=&amp;icep_minPrice=&amp;icep_maxPrice=&amp;ipn=psmain&amp;icep_vectorid=2"&amp;"29466&amp;kwid=902099&amp;mtid=824&amp;kw=lg","link*")</f>
        <v>link*</v>
      </c>
      <c r="V92" s="68" t="s">
        <v>42</v>
      </c>
    </row>
    <row r="93">
      <c r="A93" s="212" t="s">
        <v>133</v>
      </c>
      <c r="B93" s="213">
        <v>1135.0</v>
      </c>
      <c r="C93" s="214">
        <v>100.0</v>
      </c>
      <c r="D93" s="215">
        <v>5.0</v>
      </c>
      <c r="E93" s="216">
        <v>86.0</v>
      </c>
      <c r="F93" s="260">
        <v>197.2</v>
      </c>
      <c r="G93" s="218" t="s">
        <v>30</v>
      </c>
      <c r="H93" s="219" t="s">
        <v>53</v>
      </c>
      <c r="I93" s="261">
        <f>1/4.1</f>
        <v>0.243902439</v>
      </c>
      <c r="J93" s="221">
        <v>112.0</v>
      </c>
      <c r="K93" s="222" t="s">
        <v>49</v>
      </c>
      <c r="L93" s="218">
        <v>9.0</v>
      </c>
      <c r="M93" s="262" t="s">
        <v>134</v>
      </c>
      <c r="N93" s="218" t="s">
        <v>41</v>
      </c>
      <c r="O93" s="224">
        <v>44022.0</v>
      </c>
      <c r="P93" s="141">
        <v>949.0</v>
      </c>
      <c r="Q93" s="141" t="s">
        <v>36</v>
      </c>
      <c r="R93" s="225"/>
      <c r="S93" s="226" t="s">
        <v>33</v>
      </c>
      <c r="T93" s="227"/>
      <c r="U93" s="36" t="str">
        <f>HYPERLINK("http://rover.ebay.com/rover/1/711-53200-19255-0/1?icep_ff3=9&amp;pub=5575076376&amp;toolid=10001&amp;campid=5338164340&amp;customid=&amp;icep_uq=sigma+sony+gm+100-400&amp;icep_sellerId=&amp;icep_ex_kw=&amp;icep_sortBy=12&amp;icep_catId=3323&amp;icep_minPrice=&amp;icep_maxPrice=&amp;ipn=psmain&amp;icep_vect"&amp;"orid=229466&amp;kwid=902099&amp;mtid=824&amp;kw=lg","link*")</f>
        <v>link*</v>
      </c>
      <c r="V93" s="263"/>
    </row>
    <row r="94">
      <c r="A94" s="264" t="s">
        <v>135</v>
      </c>
      <c r="B94" s="23">
        <v>1395.0</v>
      </c>
      <c r="C94" s="24">
        <v>100.0</v>
      </c>
      <c r="D94" s="25" t="s">
        <v>118</v>
      </c>
      <c r="E94" s="147">
        <v>94.0</v>
      </c>
      <c r="F94" s="136">
        <v>205.0</v>
      </c>
      <c r="G94" s="30" t="s">
        <v>30</v>
      </c>
      <c r="H94" s="29" t="s">
        <v>56</v>
      </c>
      <c r="I94" s="199">
        <v>0.35</v>
      </c>
      <c r="J94" s="31">
        <v>98.0</v>
      </c>
      <c r="K94" s="156" t="s">
        <v>49</v>
      </c>
      <c r="L94" s="30">
        <v>9.0</v>
      </c>
      <c r="M94" s="228" t="s">
        <v>134</v>
      </c>
      <c r="N94" s="30" t="s">
        <v>32</v>
      </c>
      <c r="O94" s="34">
        <v>42826.0</v>
      </c>
      <c r="P94" s="35">
        <v>2499.0</v>
      </c>
      <c r="Q94" s="35">
        <v>1950.0</v>
      </c>
      <c r="R94" s="36" t="str">
        <f>HYPERLINK("https://amzn.to/2SZ0aZO","link*")</f>
        <v>link*</v>
      </c>
      <c r="S94" s="36" t="str">
        <f>HYPERLINK("https://www.bhphotovideo.com/c/product/1333230-REG/sony_sel100400gm_fe_100_400mm_f_4_5_5_6_gm.html/BI/19619/KBID/12129/DFF/d10-v21-t1-x817745/SID/EZ","link*")</f>
        <v>link*</v>
      </c>
      <c r="T94" s="70" t="s">
        <v>33</v>
      </c>
      <c r="U94" s="36"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V94" s="94"/>
    </row>
    <row r="95">
      <c r="A95" s="265" t="s">
        <v>136</v>
      </c>
      <c r="B95" s="96">
        <v>1720.0</v>
      </c>
      <c r="C95" s="97">
        <v>105.0</v>
      </c>
      <c r="D95" s="98">
        <v>1.4</v>
      </c>
      <c r="E95" s="147">
        <v>116.0</v>
      </c>
      <c r="F95" s="266">
        <v>157.5</v>
      </c>
      <c r="G95" s="103" t="s">
        <v>30</v>
      </c>
      <c r="H95" s="267" t="s">
        <v>137</v>
      </c>
      <c r="I95" s="103">
        <v>0.12</v>
      </c>
      <c r="J95" s="104">
        <v>100.0</v>
      </c>
      <c r="K95" s="101" t="s">
        <v>26</v>
      </c>
      <c r="L95" s="103">
        <v>9.0</v>
      </c>
      <c r="M95" s="204">
        <v>43816.0</v>
      </c>
      <c r="N95" s="103" t="s">
        <v>138</v>
      </c>
      <c r="O95" s="106">
        <v>43221.0</v>
      </c>
      <c r="P95" s="107">
        <v>1599.0</v>
      </c>
      <c r="Q95" s="107">
        <v>1150.0</v>
      </c>
      <c r="R95" s="108" t="str">
        <f>HYPERLINK("https://amzn.to/2EWeThZ","link*")</f>
        <v>link*</v>
      </c>
      <c r="S95" s="108" t="str">
        <f>HYPERLINK("https://www.bhphotovideo.com/c/product/1393488-REG/sigma_105mm_f_1_4_dg_hsm.html/BI/19619/KBID/12129/kw/SI10514SO/DFF/d10-v2-t1-xSI10514SO","link*")</f>
        <v>link*</v>
      </c>
      <c r="T95" s="108" t="str">
        <f>HYPERLINK("https://amzn.to/2WpOvTy","link*")</f>
        <v>link*</v>
      </c>
      <c r="U95" s="108" t="str">
        <f>HYPERLINK("http://rover.ebay.com/rover/1/711-53200-19255-0/1?icep_ff3=9&amp;pub=5575076376&amp;toolid=10001&amp;campid=5338164340&amp;customid=&amp;icep_uq=sigma+art+105+1.4+sony&amp;icep_sellerId=&amp;icep_ex_kw=&amp;icep_sortBy=12&amp;icep_catId=3323&amp;icep_minPrice=&amp;icep_maxPrice=&amp;ipn=psmain&amp;icep_vec"&amp;"torid=229466&amp;kwid=902099&amp;mtid=824&amp;kw=lg","link*")</f>
        <v>link*</v>
      </c>
      <c r="V95" s="37" t="s">
        <v>42</v>
      </c>
    </row>
    <row r="96" ht="15.75" customHeight="1">
      <c r="A96" s="265" t="s">
        <v>139</v>
      </c>
      <c r="B96" s="96">
        <v>710.0</v>
      </c>
      <c r="C96" s="97">
        <v>105.0</v>
      </c>
      <c r="D96" s="98">
        <v>2.8</v>
      </c>
      <c r="E96" s="68">
        <v>74.0</v>
      </c>
      <c r="F96" s="268">
        <v>135.0</v>
      </c>
      <c r="G96" s="103" t="s">
        <v>30</v>
      </c>
      <c r="H96" s="102" t="s">
        <v>66</v>
      </c>
      <c r="I96" s="103" t="s">
        <v>140</v>
      </c>
      <c r="J96" s="104" t="s">
        <v>141</v>
      </c>
      <c r="K96" s="101" t="s">
        <v>26</v>
      </c>
      <c r="L96" s="103"/>
      <c r="M96" s="204">
        <v>44182.0</v>
      </c>
      <c r="N96" s="103" t="s">
        <v>41</v>
      </c>
      <c r="O96" s="106">
        <v>44136.0</v>
      </c>
      <c r="P96" s="107">
        <v>799.0</v>
      </c>
      <c r="Q96" s="107"/>
      <c r="R96" s="269"/>
      <c r="S96" s="269"/>
      <c r="T96" s="269"/>
      <c r="U96" s="269"/>
      <c r="V96" s="37"/>
    </row>
    <row r="97">
      <c r="A97" s="95" t="str">
        <f>HYPERLINK("https://phillipreeve.net/blog/voigtlander-110mm-f2-5-apo-review/","Voigtlander 110mm F2.5 APO Macro")</f>
        <v>Voigtlander 110mm F2.5 APO Macro</v>
      </c>
      <c r="B97" s="96">
        <v>771.0</v>
      </c>
      <c r="C97" s="97">
        <v>110.0</v>
      </c>
      <c r="D97" s="98">
        <v>2.5</v>
      </c>
      <c r="E97" s="147">
        <v>78.0</v>
      </c>
      <c r="F97" s="155">
        <v>100.0</v>
      </c>
      <c r="G97" s="103" t="s">
        <v>24</v>
      </c>
      <c r="H97" s="102" t="s">
        <v>47</v>
      </c>
      <c r="I97" s="256">
        <v>1.0</v>
      </c>
      <c r="J97" s="104">
        <v>35.0</v>
      </c>
      <c r="K97" s="101" t="s">
        <v>26</v>
      </c>
      <c r="L97" s="103">
        <v>10.0</v>
      </c>
      <c r="M97" s="204">
        <v>43813.0</v>
      </c>
      <c r="N97" s="103" t="s">
        <v>28</v>
      </c>
      <c r="O97" s="106">
        <v>43405.0</v>
      </c>
      <c r="P97" s="107">
        <v>1099.0</v>
      </c>
      <c r="Q97" s="107" t="s">
        <v>36</v>
      </c>
      <c r="R97" s="108" t="str">
        <f>HYPERLINK("https://amzn.to/2SXYsrm","link*")</f>
        <v>link*</v>
      </c>
      <c r="S97" s="108" t="str">
        <f>HYPERLINK("https://www.bhphotovideo.com/c/product/1418780-REG/voigtlander_ba349a_macro_apo_lanthar_110mm_f_2_5.html/BI/19619/KBID/12129/kw/VO11025/DFF/d10-v2-t1-xVO11025","link*")</f>
        <v>link*</v>
      </c>
      <c r="T97" s="205" t="s">
        <v>33</v>
      </c>
      <c r="U97" s="10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V97" s="94"/>
    </row>
    <row r="98">
      <c r="A98" s="109" t="str">
        <f>HYPERLINK("https://phillipreeve.net/blog/review-sony-fe-135mm-f1-8-gm/","Sony 1.8/135 GM")</f>
        <v>Sony 1.8/135 GM</v>
      </c>
      <c r="B98" s="39">
        <v>950.0</v>
      </c>
      <c r="C98" s="40">
        <v>135.0</v>
      </c>
      <c r="D98" s="41">
        <v>1.8</v>
      </c>
      <c r="E98" s="144">
        <v>90.0</v>
      </c>
      <c r="F98" s="145">
        <v>127.0</v>
      </c>
      <c r="G98" s="46" t="s">
        <v>30</v>
      </c>
      <c r="H98" s="182" t="s">
        <v>51</v>
      </c>
      <c r="I98" s="258">
        <v>0.25</v>
      </c>
      <c r="J98" s="47">
        <v>70.0</v>
      </c>
      <c r="K98" s="44" t="s">
        <v>26</v>
      </c>
      <c r="L98" s="46">
        <v>11.0</v>
      </c>
      <c r="M98" s="74">
        <v>43751.0</v>
      </c>
      <c r="N98" s="46" t="s">
        <v>32</v>
      </c>
      <c r="O98" s="49">
        <v>43525.0</v>
      </c>
      <c r="P98" s="50">
        <v>1899.0</v>
      </c>
      <c r="Q98" s="50">
        <v>1700.0</v>
      </c>
      <c r="R98" s="51" t="str">
        <f>HYPERLINK("https://amzn.to/2WtonMJ","link*")</f>
        <v>link*</v>
      </c>
      <c r="S98" s="51" t="str">
        <f>HYPERLINK("https://www.bhphotovideo.com/c/product/1393495-REG/sigma_135mm_f_1_8_dg_hsm.html/BI/19619/KBID/12129/kw/SI13518SO/DFF/d10-v2-t1-xSI13518SO","link*")</f>
        <v>link*</v>
      </c>
      <c r="T98" s="51" t="str">
        <f>HYPERLINK("https://amzn.to/2Z9KKDE","link*")</f>
        <v>link*</v>
      </c>
      <c r="U98" s="51"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row>
    <row r="99">
      <c r="A99" s="75" t="s">
        <v>142</v>
      </c>
      <c r="B99" s="76">
        <v>1225.0</v>
      </c>
      <c r="C99" s="77">
        <v>135.0</v>
      </c>
      <c r="D99" s="78">
        <v>1.8</v>
      </c>
      <c r="E99" s="144">
        <v>91.0</v>
      </c>
      <c r="F99" s="150">
        <v>140.9</v>
      </c>
      <c r="G99" s="81" t="s">
        <v>30</v>
      </c>
      <c r="H99" s="270" t="s">
        <v>51</v>
      </c>
      <c r="I99" s="81">
        <v>0.2</v>
      </c>
      <c r="J99" s="83">
        <v>87.0</v>
      </c>
      <c r="K99" s="84" t="s">
        <v>26</v>
      </c>
      <c r="L99" s="81">
        <v>9.0</v>
      </c>
      <c r="M99" s="123">
        <v>43751.0</v>
      </c>
      <c r="N99" s="81" t="s">
        <v>41</v>
      </c>
      <c r="O99" s="86">
        <v>43221.0</v>
      </c>
      <c r="P99" s="129">
        <v>1399.0</v>
      </c>
      <c r="Q99" s="129">
        <v>900.0</v>
      </c>
      <c r="R99" s="88" t="str">
        <f>HYPERLINK("https://amzn.to/2yxIM4R","link*")</f>
        <v>link*</v>
      </c>
      <c r="S99" s="88" t="str">
        <f>HYPERLINK("https://www.bhphotovideo.com/c/product/1393495-REG/sigma_135mm_f_1_8_dg_hsm.html/BI/19619/KBID/12129/DFF/d10-v21-t1-x881160/SID/EZ","link*")</f>
        <v>link*</v>
      </c>
      <c r="T99" s="89" t="s">
        <v>33</v>
      </c>
      <c r="U99"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V99" s="68" t="s">
        <v>42</v>
      </c>
    </row>
    <row r="100">
      <c r="A100" s="264" t="s">
        <v>143</v>
      </c>
      <c r="B100" s="23">
        <v>614.0</v>
      </c>
      <c r="C100" s="24">
        <v>135.0</v>
      </c>
      <c r="D100" s="25">
        <v>2.8</v>
      </c>
      <c r="E100" s="147">
        <v>99.0</v>
      </c>
      <c r="F100" s="155">
        <v>120.0</v>
      </c>
      <c r="G100" s="30" t="s">
        <v>30</v>
      </c>
      <c r="H100" s="29" t="s">
        <v>53</v>
      </c>
      <c r="I100" s="30">
        <v>0.19</v>
      </c>
      <c r="J100" s="31">
        <v>87.0</v>
      </c>
      <c r="K100" s="156" t="s">
        <v>49</v>
      </c>
      <c r="L100" s="30">
        <v>9.0</v>
      </c>
      <c r="M100" s="93">
        <v>43783.0</v>
      </c>
      <c r="N100" s="30" t="s">
        <v>58</v>
      </c>
      <c r="O100" s="34">
        <v>42826.0</v>
      </c>
      <c r="P100" s="35">
        <v>1699.0</v>
      </c>
      <c r="Q100" s="35">
        <v>850.0</v>
      </c>
      <c r="R100" s="36" t="str">
        <f>HYPERLINK("https://amzn.to/319GJA4","link*")</f>
        <v>link*</v>
      </c>
      <c r="S100" s="36" t="str">
        <f>HYPERLINK("https://www.bhphotovideo.com/c/product/1330083-REG/zeiss_2136_695_batis_135mm_f_2_8_lens.html/BI/19619/KBID/12129/DFF/d10-v21-t1-x814884/SID/EZ","link*")</f>
        <v>link*</v>
      </c>
      <c r="T100" s="70" t="s">
        <v>33</v>
      </c>
      <c r="U100" s="36" t="str">
        <f>HYPERLINK("http://rover.ebay.com/rover/1/711-53200-19255-0/1?icep_ff3=9&amp;pub=5575076376&amp;toolid=10001&amp;campid=5338164340&amp;customid=&amp;icep_uq=zeiss+batis+135+2.8&amp;icep_sellerId=&amp;icep_ex_kw=&amp;icep_sortBy=12&amp;icep_catId=3323&amp;icep_minPrice=&amp;icep_maxPrice=&amp;ipn=psmain&amp;icep_vector"&amp;"id=229466&amp;kwid=902099&amp;mtid=824&amp;kw=lg","link*")</f>
        <v>link*</v>
      </c>
      <c r="V100" s="94"/>
    </row>
    <row r="101">
      <c r="A101" s="265" t="s">
        <v>144</v>
      </c>
      <c r="B101" s="96">
        <v>2215.0</v>
      </c>
      <c r="C101" s="97">
        <v>200.0</v>
      </c>
      <c r="D101" s="98" t="s">
        <v>145</v>
      </c>
      <c r="E101" s="147">
        <v>112.0</v>
      </c>
      <c r="F101" s="155">
        <v>318.0</v>
      </c>
      <c r="G101" s="103" t="s">
        <v>30</v>
      </c>
      <c r="H101" s="271" t="s">
        <v>92</v>
      </c>
      <c r="I101" s="103">
        <v>0.2</v>
      </c>
      <c r="J101" s="104">
        <v>240.0</v>
      </c>
      <c r="K101" s="257" t="s">
        <v>49</v>
      </c>
      <c r="L101" s="103">
        <v>11.0</v>
      </c>
      <c r="M101" s="272" t="s">
        <v>146</v>
      </c>
      <c r="N101" s="103" t="s">
        <v>32</v>
      </c>
      <c r="O101" s="106">
        <v>43647.0</v>
      </c>
      <c r="P101" s="107">
        <v>1999.0</v>
      </c>
      <c r="Q101" s="107">
        <v>1900.0</v>
      </c>
      <c r="R101" s="273" t="s">
        <v>33</v>
      </c>
      <c r="S101" s="108" t="str">
        <f>HYPERLINK("https://www.bhphotovideo.com/c/product/1485540-REG/sony_sel200600g_fe_200_600mm_f_5_6_6_3_g.html/BI/19619/KBID/12129/DFF/d10-v21-t1-x968882/SID/EZ","link*")</f>
        <v>link*</v>
      </c>
      <c r="T101" s="205" t="s">
        <v>33</v>
      </c>
      <c r="U101" s="10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V101" s="94"/>
    </row>
    <row r="102">
      <c r="A102" s="265" t="s">
        <v>147</v>
      </c>
      <c r="B102" s="96">
        <v>2895.0</v>
      </c>
      <c r="C102" s="97">
        <v>400.0</v>
      </c>
      <c r="D102" s="98">
        <v>2.8</v>
      </c>
      <c r="E102" s="147">
        <v>158.0</v>
      </c>
      <c r="F102" s="155">
        <v>359.0</v>
      </c>
      <c r="G102" s="103" t="s">
        <v>30</v>
      </c>
      <c r="H102" s="102" t="s">
        <v>148</v>
      </c>
      <c r="I102" s="103">
        <v>0.16</v>
      </c>
      <c r="J102" s="104">
        <v>270.0</v>
      </c>
      <c r="K102" s="257" t="s">
        <v>49</v>
      </c>
      <c r="L102" s="103">
        <v>11.0</v>
      </c>
      <c r="M102" s="272" t="s">
        <v>149</v>
      </c>
      <c r="N102" s="103" t="s">
        <v>32</v>
      </c>
      <c r="O102" s="106">
        <v>43313.0</v>
      </c>
      <c r="P102" s="107">
        <v>11999.0</v>
      </c>
      <c r="Q102" s="107" t="s">
        <v>36</v>
      </c>
      <c r="R102" s="205"/>
      <c r="S102" s="108" t="str">
        <f>HYPERLINK("https://www.bhphotovideo.com/c/product/1369634-REG/sony_fe_400mm_f_2_8_gm.html/BI/19619/KBID/12129/DFF/d10-v21-t1-x905722/SID/EZ","link*")</f>
        <v>link*</v>
      </c>
      <c r="T102" s="205" t="s">
        <v>33</v>
      </c>
      <c r="U102" s="10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V102" s="94"/>
    </row>
    <row r="103">
      <c r="A103" s="53" t="s">
        <v>150</v>
      </c>
      <c r="B103" s="54">
        <v>3040.0</v>
      </c>
      <c r="C103" s="55">
        <v>600.0</v>
      </c>
      <c r="D103" s="56">
        <v>4.0</v>
      </c>
      <c r="E103" s="144">
        <v>164.0</v>
      </c>
      <c r="F103" s="145">
        <v>449.0</v>
      </c>
      <c r="G103" s="61" t="s">
        <v>30</v>
      </c>
      <c r="H103" s="60" t="s">
        <v>25</v>
      </c>
      <c r="I103" s="61">
        <v>0.14</v>
      </c>
      <c r="J103" s="62">
        <v>451.0</v>
      </c>
      <c r="K103" s="110" t="s">
        <v>49</v>
      </c>
      <c r="L103" s="61">
        <v>11.0</v>
      </c>
      <c r="M103" s="274" t="s">
        <v>151</v>
      </c>
      <c r="N103" s="61" t="s">
        <v>32</v>
      </c>
      <c r="O103" s="64">
        <v>43678.0</v>
      </c>
      <c r="P103" s="65">
        <v>12999.0</v>
      </c>
      <c r="Q103" s="65" t="s">
        <v>36</v>
      </c>
      <c r="R103" s="146"/>
      <c r="S103" s="51" t="str">
        <f>HYPERLINK("https://www.bhphotovideo.com/c/product/1485539-REG/sony_sel600f40gm_fe_600mm_f_4_gm.html/BI/19619/KBID/12129/DFF/d10-v21-t1-x968881/SID/EZ","link*")</f>
        <v>link*</v>
      </c>
      <c r="T103" s="146" t="s">
        <v>33</v>
      </c>
      <c r="U103" s="51"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row>
    <row r="104" hidden="1">
      <c r="A104" s="275"/>
      <c r="B104" s="276"/>
      <c r="C104" s="277"/>
      <c r="D104" s="278"/>
      <c r="E104" s="144"/>
      <c r="F104" s="145"/>
      <c r="G104" s="68"/>
      <c r="H104" s="279"/>
      <c r="I104" s="68"/>
      <c r="J104" s="280"/>
      <c r="K104" s="68"/>
      <c r="L104" s="68"/>
      <c r="M104" s="68"/>
      <c r="N104" s="68"/>
      <c r="O104" s="281"/>
      <c r="P104" s="282"/>
      <c r="Q104" s="282"/>
      <c r="R104" s="283"/>
      <c r="S104" s="283"/>
      <c r="T104" s="283"/>
      <c r="U104" s="283"/>
    </row>
    <row r="105" hidden="1">
      <c r="A105" s="275"/>
      <c r="B105" s="276"/>
      <c r="C105" s="277"/>
      <c r="D105" s="278"/>
      <c r="E105" s="144"/>
      <c r="F105" s="145"/>
      <c r="G105" s="68"/>
      <c r="H105" s="279"/>
      <c r="I105" s="68"/>
      <c r="J105" s="280"/>
      <c r="K105" s="68"/>
      <c r="L105" s="68"/>
      <c r="M105" s="68"/>
      <c r="N105" s="68"/>
      <c r="O105" s="281"/>
      <c r="P105" s="282"/>
      <c r="Q105" s="282"/>
      <c r="R105" s="283"/>
      <c r="S105" s="283"/>
      <c r="T105" s="283"/>
      <c r="U105" s="283"/>
    </row>
    <row r="106" hidden="1">
      <c r="A106" s="275"/>
      <c r="B106" s="276"/>
      <c r="C106" s="277"/>
      <c r="D106" s="278"/>
      <c r="E106" s="144"/>
      <c r="F106" s="145"/>
      <c r="G106" s="68"/>
      <c r="H106" s="279"/>
      <c r="I106" s="68"/>
      <c r="J106" s="280"/>
      <c r="K106" s="68"/>
      <c r="L106" s="68"/>
      <c r="M106" s="68"/>
      <c r="N106" s="68"/>
      <c r="O106" s="281"/>
      <c r="P106" s="282"/>
      <c r="Q106" s="282"/>
      <c r="R106" s="283"/>
      <c r="S106" s="283"/>
      <c r="T106" s="283"/>
      <c r="U106" s="283"/>
    </row>
    <row r="107" hidden="1">
      <c r="A107" s="275"/>
      <c r="B107" s="276"/>
      <c r="C107" s="277"/>
      <c r="D107" s="278"/>
      <c r="E107" s="144"/>
      <c r="F107" s="145"/>
      <c r="G107" s="68"/>
      <c r="H107" s="279"/>
      <c r="I107" s="68"/>
      <c r="J107" s="280"/>
      <c r="K107" s="68"/>
      <c r="L107" s="68"/>
      <c r="M107" s="68"/>
      <c r="N107" s="68"/>
      <c r="O107" s="281"/>
      <c r="P107" s="282"/>
      <c r="Q107" s="282"/>
      <c r="R107" s="283"/>
      <c r="S107" s="283"/>
      <c r="T107" s="283"/>
      <c r="U107" s="283"/>
    </row>
    <row r="108" hidden="1">
      <c r="A108" s="275"/>
      <c r="B108" s="276"/>
      <c r="C108" s="277"/>
      <c r="D108" s="278"/>
      <c r="E108" s="144"/>
      <c r="F108" s="151"/>
      <c r="G108" s="68"/>
      <c r="H108" s="279"/>
      <c r="I108" s="68"/>
      <c r="J108" s="280"/>
      <c r="K108" s="68"/>
      <c r="L108" s="68"/>
      <c r="M108" s="68"/>
      <c r="N108" s="68"/>
      <c r="O108" s="281"/>
      <c r="P108" s="282"/>
      <c r="Q108" s="282"/>
      <c r="R108" s="283"/>
      <c r="S108" s="283"/>
      <c r="T108" s="283"/>
      <c r="U108" s="283"/>
    </row>
    <row r="109" hidden="1">
      <c r="A109" s="275"/>
      <c r="B109" s="276"/>
      <c r="C109" s="277"/>
      <c r="D109" s="278"/>
      <c r="E109" s="144"/>
      <c r="F109" s="145"/>
      <c r="G109" s="68"/>
      <c r="H109" s="279"/>
      <c r="I109" s="68"/>
      <c r="J109" s="280"/>
      <c r="K109" s="68"/>
      <c r="L109" s="68"/>
      <c r="M109" s="68"/>
      <c r="N109" s="68"/>
      <c r="O109" s="281"/>
      <c r="P109" s="282"/>
      <c r="Q109" s="282"/>
      <c r="R109" s="283"/>
      <c r="S109" s="283"/>
      <c r="T109" s="283"/>
      <c r="U109" s="283"/>
    </row>
    <row r="110" hidden="1">
      <c r="A110" s="275"/>
      <c r="B110" s="276"/>
      <c r="C110" s="277"/>
      <c r="D110" s="278"/>
      <c r="E110" s="144"/>
      <c r="F110" s="145"/>
      <c r="G110" s="68"/>
      <c r="H110" s="279"/>
      <c r="I110" s="68"/>
      <c r="J110" s="280"/>
      <c r="K110" s="68"/>
      <c r="L110" s="68"/>
      <c r="M110" s="68"/>
      <c r="N110" s="68"/>
      <c r="O110" s="281"/>
      <c r="P110" s="282"/>
      <c r="Q110" s="282"/>
      <c r="R110" s="283"/>
      <c r="S110" s="283"/>
      <c r="T110" s="283"/>
      <c r="U110" s="283"/>
    </row>
    <row r="111" hidden="1">
      <c r="A111" s="275"/>
      <c r="B111" s="276"/>
      <c r="C111" s="277"/>
      <c r="D111" s="278"/>
      <c r="E111" s="144"/>
      <c r="F111" s="145"/>
      <c r="G111" s="68"/>
      <c r="H111" s="279"/>
      <c r="I111" s="68"/>
      <c r="J111" s="280"/>
      <c r="K111" s="68"/>
      <c r="L111" s="68"/>
      <c r="M111" s="68"/>
      <c r="N111" s="68"/>
      <c r="O111" s="281"/>
      <c r="P111" s="282"/>
      <c r="Q111" s="282"/>
      <c r="R111" s="283"/>
      <c r="S111" s="283"/>
      <c r="T111" s="283"/>
      <c r="U111" s="283"/>
    </row>
    <row r="112" hidden="1">
      <c r="A112" s="275"/>
      <c r="B112" s="276"/>
      <c r="C112" s="277"/>
      <c r="D112" s="278"/>
      <c r="E112" s="144"/>
      <c r="F112" s="145"/>
      <c r="G112" s="68"/>
      <c r="H112" s="279"/>
      <c r="I112" s="68"/>
      <c r="J112" s="280"/>
      <c r="K112" s="68"/>
      <c r="L112" s="68"/>
      <c r="M112" s="68"/>
      <c r="N112" s="68"/>
      <c r="O112" s="281"/>
      <c r="P112" s="282"/>
      <c r="Q112" s="282"/>
      <c r="R112" s="283"/>
      <c r="S112" s="283"/>
      <c r="T112" s="283"/>
      <c r="U112" s="283"/>
    </row>
    <row r="113" hidden="1">
      <c r="A113" s="275"/>
      <c r="B113" s="276"/>
      <c r="C113" s="277"/>
      <c r="D113" s="278"/>
      <c r="E113" s="144"/>
      <c r="F113" s="145"/>
      <c r="G113" s="68"/>
      <c r="H113" s="279"/>
      <c r="I113" s="68"/>
      <c r="J113" s="280"/>
      <c r="K113" s="68"/>
      <c r="L113" s="68"/>
      <c r="M113" s="68"/>
      <c r="N113" s="68"/>
      <c r="O113" s="281"/>
      <c r="P113" s="282"/>
      <c r="Q113" s="282"/>
      <c r="R113" s="283"/>
      <c r="S113" s="283"/>
      <c r="T113" s="283"/>
      <c r="U113" s="283"/>
    </row>
    <row r="114" hidden="1">
      <c r="A114" s="275"/>
      <c r="B114" s="276"/>
      <c r="C114" s="277"/>
      <c r="D114" s="278"/>
      <c r="E114" s="144"/>
      <c r="F114" s="151"/>
      <c r="G114" s="68"/>
      <c r="H114" s="279"/>
      <c r="I114" s="68"/>
      <c r="J114" s="280"/>
      <c r="K114" s="68"/>
      <c r="L114" s="68"/>
      <c r="M114" s="68"/>
      <c r="N114" s="68"/>
      <c r="O114" s="281"/>
      <c r="P114" s="282"/>
      <c r="Q114" s="282"/>
      <c r="R114" s="283"/>
      <c r="S114" s="283"/>
      <c r="T114" s="283"/>
      <c r="U114" s="283"/>
    </row>
    <row r="115" hidden="1">
      <c r="A115" s="275"/>
      <c r="B115" s="276"/>
      <c r="C115" s="277"/>
      <c r="D115" s="278"/>
      <c r="E115" s="144"/>
      <c r="F115" s="145"/>
      <c r="G115" s="68"/>
      <c r="H115" s="279"/>
      <c r="I115" s="68"/>
      <c r="J115" s="280"/>
      <c r="K115" s="68"/>
      <c r="L115" s="68"/>
      <c r="M115" s="68"/>
      <c r="N115" s="68"/>
      <c r="O115" s="281"/>
      <c r="P115" s="282"/>
      <c r="Q115" s="282"/>
      <c r="R115" s="283"/>
      <c r="S115" s="283"/>
      <c r="T115" s="283"/>
      <c r="U115" s="283"/>
    </row>
    <row r="116" hidden="1">
      <c r="A116" s="275"/>
      <c r="B116" s="276"/>
      <c r="C116" s="277"/>
      <c r="D116" s="278"/>
      <c r="E116" s="175"/>
      <c r="F116" s="176"/>
      <c r="G116" s="68"/>
      <c r="H116" s="279"/>
      <c r="I116" s="68"/>
      <c r="J116" s="280"/>
      <c r="K116" s="68"/>
      <c r="L116" s="68"/>
      <c r="M116" s="68"/>
      <c r="N116" s="68"/>
      <c r="O116" s="281"/>
      <c r="P116" s="282"/>
      <c r="Q116" s="282"/>
      <c r="R116" s="283"/>
      <c r="S116" s="283"/>
      <c r="T116" s="283"/>
      <c r="U116" s="283"/>
    </row>
    <row r="117" hidden="1">
      <c r="A117" s="275"/>
      <c r="B117" s="276"/>
      <c r="C117" s="277"/>
      <c r="D117" s="278"/>
      <c r="E117" s="284"/>
      <c r="F117" s="284"/>
      <c r="G117" s="68"/>
      <c r="H117" s="279"/>
      <c r="I117" s="68"/>
      <c r="J117" s="280"/>
      <c r="K117" s="68"/>
      <c r="L117" s="68"/>
      <c r="M117" s="68"/>
      <c r="N117" s="68"/>
      <c r="O117" s="281"/>
      <c r="P117" s="282"/>
      <c r="Q117" s="282"/>
      <c r="R117" s="283"/>
      <c r="S117" s="283"/>
      <c r="T117" s="283"/>
      <c r="U117" s="283"/>
    </row>
    <row r="118" hidden="1">
      <c r="A118" s="275"/>
      <c r="B118" s="276"/>
      <c r="C118" s="277"/>
      <c r="D118" s="278"/>
      <c r="E118" s="284"/>
      <c r="F118" s="284"/>
      <c r="G118" s="68"/>
      <c r="H118" s="279"/>
      <c r="I118" s="68"/>
      <c r="J118" s="280"/>
      <c r="K118" s="68"/>
      <c r="L118" s="68"/>
      <c r="M118" s="68"/>
      <c r="N118" s="68"/>
      <c r="O118" s="281"/>
      <c r="P118" s="282"/>
      <c r="Q118" s="282"/>
      <c r="R118" s="283"/>
      <c r="S118" s="283"/>
      <c r="T118" s="283"/>
      <c r="U118" s="283"/>
    </row>
    <row r="119" hidden="1">
      <c r="A119" s="275"/>
      <c r="B119" s="276"/>
      <c r="C119" s="277"/>
      <c r="D119" s="278"/>
      <c r="E119" s="284"/>
      <c r="F119" s="284"/>
      <c r="G119" s="68"/>
      <c r="H119" s="279"/>
      <c r="I119" s="68"/>
      <c r="J119" s="280"/>
      <c r="K119" s="68"/>
      <c r="L119" s="68"/>
      <c r="M119" s="68"/>
      <c r="N119" s="68"/>
      <c r="O119" s="281"/>
      <c r="P119" s="282"/>
      <c r="Q119" s="282"/>
      <c r="R119" s="283"/>
      <c r="S119" s="283"/>
      <c r="T119" s="283"/>
      <c r="U119" s="283"/>
    </row>
    <row r="120" hidden="1">
      <c r="A120" s="275"/>
      <c r="B120" s="276"/>
      <c r="C120" s="277"/>
      <c r="D120" s="278"/>
      <c r="E120" s="284"/>
      <c r="F120" s="284"/>
      <c r="G120" s="68"/>
      <c r="H120" s="279"/>
      <c r="I120" s="68"/>
      <c r="J120" s="280"/>
      <c r="K120" s="68"/>
      <c r="L120" s="68"/>
      <c r="M120" s="68"/>
      <c r="N120" s="68"/>
      <c r="O120" s="281"/>
      <c r="P120" s="282"/>
      <c r="Q120" s="282"/>
      <c r="R120" s="283"/>
      <c r="S120" s="283"/>
      <c r="T120" s="283"/>
      <c r="U120" s="283"/>
    </row>
    <row r="121" hidden="1">
      <c r="A121" s="275"/>
      <c r="B121" s="276"/>
      <c r="C121" s="277"/>
      <c r="D121" s="278"/>
      <c r="E121" s="284"/>
      <c r="F121" s="284"/>
      <c r="G121" s="68"/>
      <c r="H121" s="279"/>
      <c r="I121" s="68"/>
      <c r="J121" s="280"/>
      <c r="K121" s="68"/>
      <c r="L121" s="68"/>
      <c r="M121" s="68"/>
      <c r="N121" s="68"/>
      <c r="O121" s="281"/>
      <c r="P121" s="282"/>
      <c r="Q121" s="282"/>
      <c r="R121" s="283"/>
      <c r="S121" s="283"/>
      <c r="T121" s="283"/>
      <c r="U121" s="283"/>
    </row>
    <row r="122" hidden="1">
      <c r="A122" s="275"/>
      <c r="B122" s="276"/>
      <c r="C122" s="277"/>
      <c r="D122" s="278"/>
      <c r="E122" s="284"/>
      <c r="F122" s="284"/>
      <c r="G122" s="68"/>
      <c r="H122" s="279"/>
      <c r="I122" s="68"/>
      <c r="J122" s="280"/>
      <c r="K122" s="68"/>
      <c r="L122" s="68"/>
      <c r="M122" s="68"/>
      <c r="N122" s="68"/>
      <c r="O122" s="281"/>
      <c r="P122" s="282"/>
      <c r="Q122" s="282"/>
      <c r="R122" s="283"/>
      <c r="S122" s="283"/>
      <c r="T122" s="283"/>
      <c r="U122" s="283"/>
    </row>
    <row r="123">
      <c r="A123" s="275"/>
      <c r="B123" s="276"/>
      <c r="C123" s="277"/>
      <c r="D123" s="278"/>
      <c r="E123" s="284"/>
      <c r="F123" s="284"/>
      <c r="G123" s="68"/>
      <c r="H123" s="279"/>
      <c r="I123" s="68"/>
      <c r="J123" s="280"/>
      <c r="K123" s="68"/>
      <c r="L123" s="68"/>
      <c r="M123" s="68"/>
      <c r="N123" s="68"/>
      <c r="O123" s="281"/>
      <c r="P123" s="282"/>
      <c r="Q123" s="282"/>
      <c r="R123" s="283"/>
      <c r="S123" s="283"/>
      <c r="T123" s="283"/>
      <c r="U123" s="283"/>
    </row>
    <row r="124">
      <c r="A124" s="285" t="s">
        <v>152</v>
      </c>
      <c r="B124" s="286"/>
      <c r="C124" s="285"/>
      <c r="D124" s="285"/>
      <c r="E124" s="287"/>
      <c r="F124" s="288"/>
      <c r="G124" s="285"/>
      <c r="H124" s="289"/>
      <c r="I124" s="285"/>
      <c r="J124" s="285"/>
      <c r="K124" s="285"/>
      <c r="L124" s="285"/>
      <c r="M124" s="285"/>
      <c r="N124" s="285"/>
      <c r="O124" s="285"/>
      <c r="P124" s="285"/>
      <c r="Q124" s="285"/>
      <c r="R124" s="290"/>
      <c r="S124" s="290"/>
      <c r="T124" s="290"/>
      <c r="U124" s="290"/>
    </row>
    <row r="125">
      <c r="A125" s="291" t="s">
        <v>153</v>
      </c>
      <c r="B125" s="292">
        <f>Count(C2:C122)</f>
        <v>101</v>
      </c>
      <c r="D125" s="68"/>
      <c r="E125" s="284"/>
      <c r="F125" s="293"/>
      <c r="G125" s="68"/>
      <c r="H125" s="279"/>
      <c r="I125" s="68"/>
      <c r="J125" s="68"/>
      <c r="K125" s="68"/>
      <c r="L125" s="68"/>
      <c r="M125" s="68"/>
      <c r="N125" s="68"/>
      <c r="O125" s="68"/>
      <c r="P125" s="68"/>
      <c r="Q125" s="68"/>
      <c r="R125" s="283"/>
      <c r="S125" s="283"/>
      <c r="T125" s="283"/>
      <c r="U125" s="283"/>
    </row>
    <row r="126">
      <c r="A126" s="294" t="s">
        <v>154</v>
      </c>
      <c r="E126" s="284"/>
      <c r="F126" s="293"/>
      <c r="H126" s="295"/>
      <c r="R126" s="283"/>
      <c r="S126" s="283"/>
      <c r="T126" s="283"/>
      <c r="U126" s="283"/>
    </row>
    <row r="127">
      <c r="A127" s="275"/>
      <c r="B127" s="68"/>
      <c r="C127" s="68"/>
      <c r="D127" s="68"/>
      <c r="E127" s="284"/>
      <c r="F127" s="293"/>
      <c r="G127" s="68"/>
      <c r="H127" s="279"/>
      <c r="I127" s="68"/>
      <c r="J127" s="68"/>
      <c r="K127" s="68"/>
      <c r="L127" s="68"/>
      <c r="M127" s="68"/>
      <c r="N127" s="68"/>
      <c r="O127" s="68"/>
      <c r="P127" s="68"/>
      <c r="Q127" s="68"/>
      <c r="R127" s="283"/>
      <c r="S127" s="283"/>
      <c r="T127" s="283"/>
      <c r="U127" s="283"/>
    </row>
    <row r="128">
      <c r="A128" s="296" t="str">
        <f>HYPERLINK("https://phillipreeve.net/blog/sony-fe-lenses/fe-list/","If you have a question or want to report any mistake please leave a comment on the blog.")</f>
        <v>If you have a question or want to report any mistake please leave a comment on the blog.</v>
      </c>
      <c r="B128" s="297"/>
      <c r="C128" s="297"/>
      <c r="D128" s="297"/>
      <c r="E128" s="298"/>
      <c r="F128" s="299"/>
      <c r="G128" s="297"/>
      <c r="H128" s="300"/>
      <c r="I128" s="297"/>
      <c r="P128" s="297"/>
      <c r="Q128" s="297"/>
      <c r="R128" s="283"/>
      <c r="S128" s="283"/>
      <c r="T128" s="283"/>
      <c r="U128" s="283"/>
    </row>
    <row r="129">
      <c r="E129" s="284"/>
      <c r="F129" s="293"/>
      <c r="H129" s="295"/>
      <c r="R129" s="283"/>
      <c r="S129" s="283"/>
      <c r="T129" s="283"/>
      <c r="U129" s="283"/>
    </row>
    <row r="130">
      <c r="A130" s="275" t="s">
        <v>155</v>
      </c>
      <c r="E130" s="284"/>
      <c r="F130" s="293"/>
      <c r="H130" s="295"/>
      <c r="R130" s="283"/>
      <c r="S130" s="283"/>
      <c r="T130" s="283"/>
      <c r="U130" s="283"/>
    </row>
    <row r="131">
      <c r="A131" s="301" t="str">
        <f>HYPERLINK("https://phillipreeve.net/blog/fe-lenses-sony-comprehensive-independent-guide/","Our Guide to FE-mount lenses - If you need any help on finding the right lens.")</f>
        <v>Our Guide to FE-mount lenses - If you need any help on finding the right lens.</v>
      </c>
      <c r="E131" s="284"/>
      <c r="F131" s="293"/>
      <c r="H131" s="295"/>
      <c r="R131" s="283"/>
      <c r="S131" s="283"/>
      <c r="T131" s="283"/>
      <c r="U131" s="283"/>
    </row>
    <row r="132">
      <c r="A132" s="301" t="str">
        <f>HYPERLINK("https://phillipreeve.net/blog/9-golden-rules-to-buy-the-wrong-lens/","10 golden rules to buy the wrong lens.")</f>
        <v>10 golden rules to buy the wrong lens.</v>
      </c>
      <c r="E132" s="284"/>
      <c r="F132" s="293"/>
      <c r="H132" s="295"/>
      <c r="R132" s="283"/>
      <c r="S132" s="283"/>
      <c r="T132" s="283"/>
      <c r="U132" s="283"/>
    </row>
    <row r="133">
      <c r="A133" s="301" t="str">
        <f>HYPERLINK("https://phillipreeve.net/blog/user-guide-ultra-wideangle-lenses-sony-alpha-7-series/","Our Guide to Ultra-Wideangle lenses")</f>
        <v>Our Guide to Ultra-Wideangle lenses</v>
      </c>
      <c r="E133" s="284"/>
      <c r="F133" s="293"/>
      <c r="H133" s="295"/>
      <c r="R133" s="283"/>
      <c r="S133" s="283"/>
      <c r="T133" s="283"/>
      <c r="U133" s="283"/>
    </row>
    <row r="134">
      <c r="A134" s="301" t="str">
        <f>HYPERLINK("https://phillipreeve.net/blog/wideangle-lenses-for-the-sony-alpha-7-series/","Our Guide to Wideangle lenses")</f>
        <v>Our Guide to Wideangle lenses</v>
      </c>
      <c r="E134" s="284"/>
      <c r="F134" s="293"/>
      <c r="H134" s="295"/>
      <c r="R134" s="283"/>
      <c r="S134" s="283"/>
      <c r="T134" s="283"/>
      <c r="U134" s="283"/>
    </row>
    <row r="135">
      <c r="A135" s="263" t="s">
        <v>156</v>
      </c>
      <c r="E135" s="284"/>
      <c r="F135" s="293"/>
      <c r="H135" s="295"/>
      <c r="R135" s="283"/>
      <c r="S135" s="283"/>
      <c r="T135" s="283"/>
      <c r="U135" s="283"/>
    </row>
    <row r="136">
      <c r="A136" s="263" t="s">
        <v>157</v>
      </c>
      <c r="E136" s="284"/>
      <c r="F136" s="293"/>
      <c r="H136" s="295"/>
      <c r="R136" s="283"/>
      <c r="S136" s="283"/>
      <c r="T136" s="283"/>
      <c r="U136" s="283"/>
    </row>
    <row r="137">
      <c r="A137" s="301" t="str">
        <f>HYPERLINK("https://phillipreeve.net/blog/guide-to-macro-lenses-for-the-sony-a7-series/","Our Guide to Macro lenses")</f>
        <v>Our Guide to Macro lenses</v>
      </c>
      <c r="E137" s="284"/>
      <c r="F137" s="293"/>
      <c r="H137" s="295"/>
      <c r="R137" s="283"/>
      <c r="S137" s="283"/>
      <c r="T137" s="283"/>
      <c r="U137" s="283"/>
    </row>
    <row r="138">
      <c r="A138" s="301" t="str">
        <f>HYPERLINK("https://phillipreeve.net/blog/user-guide-to-portrait-lenses-sony-a7-series/","Our Guide to Portrait lenses")</f>
        <v>Our Guide to Portrait lenses</v>
      </c>
      <c r="E138" s="284"/>
      <c r="F138" s="293"/>
      <c r="H138" s="295"/>
      <c r="R138" s="283"/>
      <c r="S138" s="283"/>
      <c r="T138" s="283"/>
      <c r="U138" s="283"/>
    </row>
    <row r="139">
      <c r="A139" s="301" t="str">
        <f>HYPERLINK("https://phillipreeve.net/blog/building-a-lens-kit/","Building a lens kit")</f>
        <v>Building a lens kit</v>
      </c>
      <c r="E139" s="284"/>
      <c r="F139" s="293"/>
      <c r="H139" s="295"/>
      <c r="R139" s="283"/>
      <c r="S139" s="283"/>
      <c r="T139" s="283"/>
      <c r="U139" s="283"/>
    </row>
    <row r="140">
      <c r="A140" s="68"/>
      <c r="H140" s="295"/>
      <c r="R140" s="283"/>
      <c r="S140" s="283"/>
      <c r="T140" s="283"/>
      <c r="U140" s="283"/>
    </row>
    <row r="141">
      <c r="A141" s="275" t="s">
        <v>158</v>
      </c>
      <c r="H141" s="295"/>
      <c r="R141" s="283"/>
      <c r="S141" s="283"/>
      <c r="T141" s="283"/>
      <c r="U141" s="283"/>
    </row>
    <row r="142">
      <c r="A142" s="68" t="s">
        <v>159</v>
      </c>
      <c r="H142" s="295"/>
      <c r="R142" s="283"/>
      <c r="S142" s="283"/>
      <c r="T142" s="283"/>
      <c r="U142" s="283"/>
    </row>
    <row r="143">
      <c r="A143" s="68" t="s">
        <v>160</v>
      </c>
      <c r="H143" s="295"/>
      <c r="R143" s="283"/>
      <c r="S143" s="283"/>
      <c r="T143" s="283"/>
      <c r="U143" s="283"/>
    </row>
    <row r="144">
      <c r="A144" s="68" t="s">
        <v>161</v>
      </c>
      <c r="H144" s="295"/>
      <c r="R144" s="283"/>
      <c r="S144" s="283"/>
      <c r="T144" s="283"/>
      <c r="U144" s="283"/>
    </row>
    <row r="145">
      <c r="A145" s="68" t="s">
        <v>162</v>
      </c>
      <c r="H145" s="295"/>
      <c r="R145" s="283"/>
      <c r="S145" s="283"/>
      <c r="T145" s="283"/>
      <c r="U145" s="283"/>
    </row>
    <row r="146">
      <c r="A146" s="302"/>
      <c r="H146" s="295"/>
      <c r="R146" s="283"/>
      <c r="S146" s="283"/>
      <c r="T146" s="283"/>
      <c r="U146" s="283"/>
    </row>
    <row r="147">
      <c r="A147" s="275" t="s">
        <v>163</v>
      </c>
      <c r="H147" s="295"/>
      <c r="R147" s="283"/>
      <c r="S147" s="283"/>
      <c r="T147" s="283"/>
      <c r="U147" s="283"/>
    </row>
    <row r="148">
      <c r="A148" s="68" t="s">
        <v>164</v>
      </c>
      <c r="D148" s="302"/>
      <c r="H148" s="295"/>
      <c r="R148" s="283"/>
      <c r="S148" s="283"/>
      <c r="T148" s="283"/>
      <c r="U148" s="283"/>
    </row>
    <row r="149">
      <c r="D149" s="302"/>
      <c r="H149" s="295"/>
      <c r="R149" s="283"/>
      <c r="S149" s="283"/>
      <c r="T149" s="283"/>
      <c r="U149" s="283"/>
    </row>
    <row r="150">
      <c r="H150" s="295"/>
      <c r="R150" s="283"/>
      <c r="S150" s="283"/>
      <c r="T150" s="283"/>
      <c r="U150" s="283"/>
    </row>
    <row r="151">
      <c r="A151" s="301" t="str">
        <f>HYPERLINK("https://phillipreeve.net/blog/impressum/","Impressum")</f>
        <v>Impressum</v>
      </c>
      <c r="H151" s="295"/>
      <c r="R151" s="283"/>
      <c r="S151" s="283"/>
      <c r="T151" s="283"/>
      <c r="U151" s="283"/>
    </row>
    <row r="152">
      <c r="H152" s="295"/>
      <c r="R152" s="283"/>
      <c r="S152" s="283"/>
      <c r="T152" s="283"/>
      <c r="U152" s="283"/>
    </row>
    <row r="153">
      <c r="H153" s="295"/>
      <c r="R153" s="283"/>
      <c r="S153" s="283"/>
      <c r="T153" s="283"/>
      <c r="U153" s="283"/>
    </row>
    <row r="154">
      <c r="H154" s="295"/>
      <c r="R154" s="283"/>
      <c r="S154" s="283"/>
      <c r="T154" s="283"/>
      <c r="U154" s="283"/>
    </row>
    <row r="155">
      <c r="H155" s="295"/>
      <c r="R155" s="283"/>
      <c r="S155" s="283"/>
      <c r="T155" s="283"/>
      <c r="U155" s="283"/>
    </row>
    <row r="156">
      <c r="H156" s="295"/>
      <c r="R156" s="283"/>
      <c r="S156" s="283"/>
      <c r="T156" s="283"/>
      <c r="U156" s="283"/>
    </row>
    <row r="157">
      <c r="A157" s="275"/>
      <c r="H157" s="295"/>
      <c r="R157" s="283"/>
      <c r="S157" s="283"/>
      <c r="T157" s="283"/>
      <c r="U157" s="283"/>
    </row>
    <row r="158">
      <c r="A158" s="275"/>
      <c r="H158" s="295"/>
      <c r="R158" s="283"/>
      <c r="S158" s="283"/>
      <c r="T158" s="283"/>
      <c r="U158" s="283"/>
    </row>
    <row r="159">
      <c r="A159" s="275"/>
      <c r="H159" s="295"/>
      <c r="R159" s="283"/>
      <c r="S159" s="283"/>
      <c r="T159" s="283"/>
      <c r="U159" s="283"/>
    </row>
    <row r="160">
      <c r="A160" s="275"/>
      <c r="H160" s="295"/>
      <c r="R160" s="283"/>
      <c r="S160" s="283"/>
      <c r="T160" s="283"/>
      <c r="U160" s="283"/>
    </row>
    <row r="161">
      <c r="A161" s="275"/>
      <c r="H161" s="295"/>
      <c r="R161" s="283"/>
      <c r="S161" s="283"/>
      <c r="T161" s="283"/>
      <c r="U161" s="283"/>
    </row>
    <row r="162">
      <c r="A162" s="275"/>
      <c r="H162" s="295"/>
      <c r="R162" s="283"/>
      <c r="S162" s="283"/>
      <c r="T162" s="283"/>
      <c r="U162" s="283"/>
    </row>
    <row r="163">
      <c r="A163" s="302"/>
      <c r="H163" s="295"/>
      <c r="R163" s="283"/>
      <c r="S163" s="283"/>
      <c r="T163" s="283"/>
      <c r="U163" s="283"/>
    </row>
    <row r="164">
      <c r="A164" s="275"/>
      <c r="H164" s="295"/>
      <c r="R164" s="283"/>
      <c r="S164" s="283"/>
      <c r="T164" s="283"/>
      <c r="U164" s="283"/>
    </row>
    <row r="165">
      <c r="A165" s="275"/>
      <c r="H165" s="295"/>
      <c r="R165" s="283"/>
      <c r="S165" s="283"/>
      <c r="T165" s="283"/>
      <c r="U165" s="283"/>
    </row>
    <row r="166">
      <c r="A166" s="302"/>
      <c r="H166" s="295"/>
      <c r="R166" s="283"/>
      <c r="S166" s="283"/>
      <c r="T166" s="283"/>
      <c r="U166" s="283"/>
    </row>
    <row r="167">
      <c r="A167" s="275"/>
      <c r="H167" s="295"/>
      <c r="R167" s="283"/>
      <c r="S167" s="283"/>
      <c r="T167" s="283"/>
      <c r="U167" s="283"/>
    </row>
    <row r="168">
      <c r="A168" s="275"/>
      <c r="H168" s="295"/>
      <c r="R168" s="283"/>
      <c r="S168" s="283"/>
      <c r="T168" s="283"/>
      <c r="U168" s="283"/>
    </row>
    <row r="169">
      <c r="A169" s="275"/>
      <c r="H169" s="295"/>
      <c r="R169" s="283"/>
      <c r="S169" s="283"/>
      <c r="T169" s="283"/>
      <c r="U169" s="283"/>
    </row>
    <row r="170">
      <c r="A170" s="275"/>
      <c r="H170" s="295"/>
      <c r="R170" s="283"/>
      <c r="S170" s="283"/>
      <c r="T170" s="283"/>
      <c r="U170" s="283"/>
    </row>
    <row r="171">
      <c r="A171" s="275"/>
      <c r="H171" s="295"/>
      <c r="R171" s="283"/>
      <c r="S171" s="283"/>
      <c r="T171" s="283"/>
      <c r="U171" s="283"/>
    </row>
    <row r="172">
      <c r="A172" s="275"/>
      <c r="H172" s="295"/>
      <c r="R172" s="283"/>
      <c r="S172" s="283"/>
      <c r="T172" s="283"/>
      <c r="U172" s="283"/>
    </row>
    <row r="173">
      <c r="A173" s="275"/>
      <c r="H173" s="295"/>
      <c r="R173" s="283"/>
      <c r="S173" s="283"/>
      <c r="T173" s="283"/>
      <c r="U173" s="283"/>
    </row>
    <row r="174">
      <c r="A174" s="275"/>
      <c r="H174" s="295"/>
      <c r="R174" s="283"/>
      <c r="S174" s="283"/>
      <c r="T174" s="283"/>
      <c r="U174" s="283"/>
    </row>
    <row r="175">
      <c r="A175" s="275"/>
      <c r="H175" s="295"/>
      <c r="R175" s="283"/>
      <c r="S175" s="283"/>
      <c r="T175" s="283"/>
      <c r="U175" s="283"/>
    </row>
    <row r="176">
      <c r="A176" s="302"/>
      <c r="H176" s="295"/>
      <c r="R176" s="283"/>
      <c r="S176" s="283"/>
      <c r="T176" s="283"/>
      <c r="U176" s="283"/>
    </row>
    <row r="177">
      <c r="A177" s="302"/>
      <c r="H177" s="295"/>
      <c r="R177" s="283"/>
      <c r="S177" s="283"/>
      <c r="T177" s="283"/>
      <c r="U177" s="283"/>
    </row>
    <row r="178">
      <c r="H178" s="295"/>
      <c r="R178" s="283"/>
      <c r="S178" s="283"/>
      <c r="T178" s="283"/>
      <c r="U178" s="283"/>
    </row>
    <row r="179">
      <c r="H179" s="295"/>
      <c r="R179" s="283"/>
      <c r="S179" s="283"/>
      <c r="T179" s="283"/>
      <c r="U179" s="283"/>
    </row>
    <row r="180">
      <c r="H180" s="295"/>
      <c r="R180" s="283"/>
      <c r="S180" s="283"/>
      <c r="T180" s="283"/>
      <c r="U180" s="283"/>
    </row>
    <row r="181">
      <c r="H181" s="295"/>
      <c r="R181" s="283"/>
      <c r="S181" s="283"/>
      <c r="T181" s="283"/>
      <c r="U181" s="283"/>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row r="1059">
      <c r="H1059" s="295"/>
    </row>
    <row r="1060">
      <c r="H1060" s="295"/>
    </row>
    <row r="1061">
      <c r="H1061" s="295"/>
    </row>
    <row r="1062">
      <c r="H1062" s="295"/>
    </row>
    <row r="1063">
      <c r="H1063" s="295"/>
    </row>
    <row r="1064">
      <c r="H1064" s="295"/>
    </row>
    <row r="1065">
      <c r="H1065" s="295"/>
    </row>
    <row r="1066">
      <c r="H1066" s="295"/>
    </row>
    <row r="1067">
      <c r="H1067" s="295"/>
    </row>
    <row r="1068">
      <c r="H1068" s="295"/>
    </row>
    <row r="1069">
      <c r="H1069" s="295"/>
    </row>
    <row r="1070">
      <c r="H1070" s="295"/>
    </row>
    <row r="1071">
      <c r="H1071" s="295"/>
    </row>
    <row r="1072">
      <c r="H1072" s="295"/>
    </row>
    <row r="1073">
      <c r="H1073" s="295"/>
    </row>
    <row r="1074">
      <c r="H1074" s="295"/>
    </row>
    <row r="1075">
      <c r="H1075" s="295"/>
    </row>
    <row r="1076">
      <c r="H1076" s="295"/>
    </row>
    <row r="1077">
      <c r="H1077" s="295"/>
    </row>
    <row r="1078">
      <c r="H1078" s="295"/>
    </row>
    <row r="1079">
      <c r="H1079" s="295"/>
    </row>
    <row r="1080">
      <c r="H1080" s="295"/>
    </row>
    <row r="1081">
      <c r="H1081" s="295"/>
    </row>
    <row r="1082">
      <c r="H1082" s="295"/>
    </row>
    <row r="1083">
      <c r="H1083" s="295"/>
    </row>
    <row r="1084">
      <c r="H1084" s="295"/>
    </row>
    <row r="1085">
      <c r="H1085" s="295"/>
    </row>
    <row r="1086">
      <c r="H1086" s="295"/>
    </row>
    <row r="1087">
      <c r="H1087" s="295"/>
    </row>
  </sheetData>
  <autoFilter ref="$O$1:$O$1087"/>
  <customSheetViews>
    <customSheetView guid="{1E3877F7-CBA4-4580-BB70-F92ECCD4DE9E}" filter="1" showAutoFilter="1">
      <autoFilter ref="$A$1:$V$103">
        <sortState ref="A1:V103">
          <sortCondition ref="O1:O103"/>
        </sortState>
      </autoFilter>
    </customSheetView>
  </customSheetViews>
  <conditionalFormatting sqref="B1 B3:B1087">
    <cfRule type="cellIs" dxfId="0" priority="1" operator="between">
      <formula>50</formula>
      <formula>200</formula>
    </cfRule>
  </conditionalFormatting>
  <conditionalFormatting sqref="B1 B3:B1087">
    <cfRule type="cellIs" dxfId="1" priority="2" operator="between">
      <formula>201</formula>
      <formula>400</formula>
    </cfRule>
  </conditionalFormatting>
  <conditionalFormatting sqref="B3:B1082">
    <cfRule type="cellIs" dxfId="2" priority="3" operator="between">
      <formula>401</formula>
      <formula>650</formula>
    </cfRule>
  </conditionalFormatting>
  <conditionalFormatting sqref="B3:B1082">
    <cfRule type="cellIs" dxfId="3" priority="4" operator="between">
      <formula>651</formula>
      <formula>900</formula>
    </cfRule>
  </conditionalFormatting>
  <conditionalFormatting sqref="B3:B1082">
    <cfRule type="cellIs" dxfId="4" priority="5" operator="greaterThan">
      <formula>900</formula>
    </cfRule>
  </conditionalFormatting>
  <conditionalFormatting sqref="K3:K1082">
    <cfRule type="containsText" dxfId="5" priority="6" operator="containsText" text="yes">
      <formula>NOT(ISERROR(SEARCH(("yes"),(K3))))</formula>
    </cfRule>
  </conditionalFormatting>
  <conditionalFormatting sqref="F1:F1087">
    <cfRule type="colorScale" priority="7">
      <colorScale>
        <cfvo type="min"/>
        <cfvo type="formula" val="150"/>
        <color rgb="FFEAD1DC"/>
        <color rgb="FFA64D79"/>
      </colorScale>
    </cfRule>
  </conditionalFormatting>
  <conditionalFormatting sqref="D3:D103">
    <cfRule type="colorScale" priority="8">
      <colorScale>
        <cfvo type="formula" val="1.2"/>
        <cfvo type="formula" val="4"/>
        <color rgb="FF0B5394"/>
        <color rgb="FFFFFFFF"/>
      </colorScale>
    </cfRule>
  </conditionalFormatting>
  <conditionalFormatting sqref="E3:E103">
    <cfRule type="colorScale" priority="9">
      <colorScale>
        <cfvo type="formula" val="65"/>
        <cfvo type="formula" val="100"/>
        <color rgb="FFD9D2E9"/>
        <color rgb="FF674EA7"/>
      </colorScale>
    </cfRule>
  </conditionalFormatting>
  <conditionalFormatting sqref="D3:D103">
    <cfRule type="containsText" dxfId="6" priority="10" operator="containsText" text="1.2">
      <formula>NOT(ISERROR(SEARCH(("1.2"),(D3))))</formula>
    </cfRule>
  </conditionalFormatting>
  <conditionalFormatting sqref="D13">
    <cfRule type="notContainsBlanks" dxfId="7" priority="11">
      <formula>LEN(TRIM(D13))&gt;0</formula>
    </cfRule>
  </conditionalFormatting>
  <conditionalFormatting sqref="D3:D103">
    <cfRule type="containsText" dxfId="8" priority="12" operator="containsText" text="1.4">
      <formula>NOT(ISERROR(SEARCH(("1.4"),(D3))))</formula>
    </cfRule>
  </conditionalFormatting>
  <conditionalFormatting sqref="D3:D122">
    <cfRule type="containsText" dxfId="9" priority="13" operator="containsText" text="1.8">
      <formula>NOT(ISERROR(SEARCH(("1.8"),(D3))))</formula>
    </cfRule>
  </conditionalFormatting>
  <conditionalFormatting sqref="A3:A121">
    <cfRule type="expression" dxfId="10" priority="14">
      <formula>(today()-O3)&lt;0</formula>
    </cfRule>
  </conditionalFormatting>
  <conditionalFormatting sqref="A3:A121">
    <cfRule type="expression" dxfId="7" priority="15">
      <formula>(today()-O3)&lt;180</formula>
    </cfRule>
  </conditionalFormatting>
  <conditionalFormatting sqref="G3:G123">
    <cfRule type="cellIs" dxfId="10" priority="16" operator="equal">
      <formula>"MF"</formula>
    </cfRule>
  </conditionalFormatting>
  <conditionalFormatting sqref="I3:I123">
    <cfRule type="cellIs" dxfId="11" priority="17" operator="between">
      <formula>0.24</formula>
      <formula>0.45</formula>
    </cfRule>
  </conditionalFormatting>
  <conditionalFormatting sqref="I3:I123">
    <cfRule type="cellIs" dxfId="12" priority="18" operator="between">
      <formula>0.45</formula>
      <formula>0.99</formula>
    </cfRule>
  </conditionalFormatting>
  <conditionalFormatting sqref="I3:I123">
    <cfRule type="cellIs" dxfId="13" priority="19" operator="greaterThan">
      <formula>0.99</formula>
    </cfRule>
  </conditionalFormatting>
  <dataValidations>
    <dataValidation type="list" allowBlank="1" sqref="N3:N103">
      <formula1>"Sony,Voigtlander,Zeiss,Sigma,Samyang,Viltrox,Tokina,Tamron"</formula1>
    </dataValidation>
  </dataValidations>
  <hyperlinks>
    <hyperlink r:id="rId1" ref="R1"/>
    <hyperlink r:id="rId2" ref="T1"/>
    <hyperlink r:id="rId3" ref="U1"/>
    <hyperlink r:id="rId4" ref="U4"/>
    <hyperlink r:id="rId5" ref="S5"/>
    <hyperlink r:id="rId6" ref="U5"/>
    <hyperlink r:id="rId7" ref="R15"/>
    <hyperlink r:id="rId8" ref="R21"/>
    <hyperlink r:id="rId9" ref="U30"/>
    <hyperlink r:id="rId10" ref="R44"/>
    <hyperlink r:id="rId11" ref="S44"/>
    <hyperlink r:id="rId12" ref="S50"/>
    <hyperlink r:id="rId13" ref="T52"/>
    <hyperlink r:id="rId14" ref="R56"/>
    <hyperlink r:id="rId15" ref="T57"/>
    <hyperlink r:id="rId16" ref="T58"/>
    <hyperlink r:id="rId17" ref="T71"/>
    <hyperlink r:id="rId18" ref="S73"/>
    <hyperlink r:id="rId19" ref="S75"/>
    <hyperlink r:id="rId20" ref="R77"/>
    <hyperlink r:id="rId21" ref="S77"/>
    <hyperlink r:id="rId22" ref="T77"/>
    <hyperlink r:id="rId23" ref="S83"/>
    <hyperlink r:id="rId24" ref="S93"/>
    <hyperlink r:id="rId25" ref="A94"/>
    <hyperlink r:id="rId26" ref="A100"/>
    <hyperlink r:id="rId27" ref="R101"/>
    <hyperlink r:id="rId28" ref="A135"/>
    <hyperlink r:id="rId29" ref="A136"/>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1" t="s">
        <v>0</v>
      </c>
      <c r="B1" s="2" t="s">
        <v>1</v>
      </c>
      <c r="C1" s="3" t="s">
        <v>2</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21</v>
      </c>
    </row>
    <row r="2" ht="18.0" customHeight="1">
      <c r="A2" s="17" t="s">
        <v>166</v>
      </c>
      <c r="B2" s="18"/>
      <c r="C2" s="18"/>
      <c r="D2" s="18"/>
      <c r="E2" s="18"/>
      <c r="F2" s="18"/>
      <c r="G2" s="19"/>
      <c r="H2" s="20"/>
      <c r="I2" s="18"/>
      <c r="J2" s="18"/>
      <c r="K2" s="18"/>
      <c r="L2" s="18"/>
      <c r="M2" s="18"/>
      <c r="N2" s="18"/>
      <c r="O2" s="18"/>
      <c r="P2" s="19"/>
      <c r="Q2" s="18"/>
      <c r="R2" s="19"/>
      <c r="S2" s="21"/>
      <c r="T2" s="19"/>
    </row>
    <row r="3">
      <c r="A3" s="303" t="str">
        <f>HYPERLINK("https://phillipreeve.net/blog/review-laowa-10-18mm-4-5-5-6-fe-c-dreamer/","Laowa 10-18mm F4.5-5.6 FE C-Dreamer")</f>
        <v>Laowa 10-18mm F4.5-5.6 FE C-Dreamer</v>
      </c>
      <c r="B3" s="304">
        <v>499.0</v>
      </c>
      <c r="C3" s="305">
        <v>10.0</v>
      </c>
      <c r="D3" s="306">
        <v>4.5</v>
      </c>
      <c r="E3" s="307">
        <v>70.0</v>
      </c>
      <c r="F3" s="307">
        <v>81.0</v>
      </c>
      <c r="G3" s="308" t="s">
        <v>24</v>
      </c>
      <c r="H3" s="309" t="s">
        <v>25</v>
      </c>
      <c r="I3" s="310">
        <v>0.18</v>
      </c>
      <c r="J3" s="311">
        <v>849.0</v>
      </c>
      <c r="K3" s="312"/>
      <c r="L3" s="313" t="str">
        <f>HYPERLINK("https://www.bhphotovideo.com/c/product/1018382-REG/samyang_sy14m_e_14mm_f_2_8_ed_as.html/BI/19619/KBID/12129/DFF/d10-v21-t1-x476887/SID/EZ","link*")</f>
        <v>link*</v>
      </c>
      <c r="M3" s="312"/>
      <c r="N3" s="312"/>
      <c r="O3" s="314">
        <v>15.0</v>
      </c>
      <c r="P3" s="315" t="s">
        <v>26</v>
      </c>
      <c r="Q3" s="310">
        <v>5.0</v>
      </c>
      <c r="R3" s="316" t="s">
        <v>167</v>
      </c>
      <c r="S3" s="310" t="s">
        <v>168</v>
      </c>
      <c r="T3" s="310"/>
      <c r="U3" s="317" t="s">
        <v>169</v>
      </c>
    </row>
    <row r="4">
      <c r="A4" s="318" t="s">
        <v>170</v>
      </c>
      <c r="B4" s="39"/>
      <c r="C4" s="43">
        <v>12.0</v>
      </c>
      <c r="D4" s="41">
        <v>2.8</v>
      </c>
      <c r="E4" s="319">
        <v>77.0</v>
      </c>
      <c r="F4" s="320">
        <v>99.0</v>
      </c>
      <c r="G4" s="321" t="s">
        <v>24</v>
      </c>
      <c r="H4" s="45" t="s">
        <v>25</v>
      </c>
      <c r="I4" s="46"/>
      <c r="J4" s="50">
        <v>479.0</v>
      </c>
      <c r="K4" s="184"/>
      <c r="L4" s="51" t="str">
        <f>HYPERLINK("https://www.bhphotovideo.com/c/product/1131985-REG/samyang_sy12m_e_12mm_f2_8_full_frame.html/BI/19619/KBID/12129/DFF/d10-v21-t1-x616677/SID/EZ","link*")</f>
        <v>link*</v>
      </c>
      <c r="M4" s="184"/>
      <c r="N4" s="184"/>
      <c r="O4" s="47">
        <v>20.0</v>
      </c>
      <c r="P4" s="44" t="s">
        <v>26</v>
      </c>
      <c r="Q4" s="46">
        <v>7.0</v>
      </c>
      <c r="R4" s="111" t="s">
        <v>171</v>
      </c>
      <c r="S4" s="46" t="s">
        <v>46</v>
      </c>
      <c r="T4" s="46"/>
      <c r="U4" s="68" t="s">
        <v>172</v>
      </c>
    </row>
    <row r="5">
      <c r="A5" s="303" t="str">
        <f>HYPERLINK("https://phillipreeve.net/blog/review-laowa-12mm-2-8-zero-d/","Venus Optics Laowa 12mm f/2.8 Zero-D")</f>
        <v>Venus Optics Laowa 12mm f/2.8 Zero-D</v>
      </c>
      <c r="B5" s="304">
        <v>640.0</v>
      </c>
      <c r="C5" s="305">
        <v>12.0</v>
      </c>
      <c r="D5" s="306">
        <v>2.8</v>
      </c>
      <c r="E5" s="322">
        <v>78.0</v>
      </c>
      <c r="F5" s="323">
        <v>114.5</v>
      </c>
      <c r="G5" s="308" t="s">
        <v>24</v>
      </c>
      <c r="H5" s="309" t="s">
        <v>25</v>
      </c>
      <c r="I5" s="310">
        <v>0.18</v>
      </c>
      <c r="J5" s="311">
        <v>949.0</v>
      </c>
      <c r="K5" s="312"/>
      <c r="L5" s="313" t="str">
        <f>HYPERLINK("https://www.bhphotovideo.com/c/product/1283916-REG/venus_optics_ve1228sef_laowa_12mm_f_2_8_zero_d.html/BI/19619/KBID/12129/DFF/d10-v21-t1-x766506/SID/EZ","link*")</f>
        <v>link*</v>
      </c>
      <c r="M5" s="312"/>
      <c r="N5" s="312"/>
      <c r="O5" s="314">
        <v>18.0</v>
      </c>
      <c r="P5" s="315" t="s">
        <v>26</v>
      </c>
      <c r="Q5" s="310">
        <v>7.0</v>
      </c>
      <c r="R5" s="316" t="s">
        <v>173</v>
      </c>
      <c r="S5" s="310" t="s">
        <v>168</v>
      </c>
      <c r="T5" s="310"/>
      <c r="U5" s="317" t="s">
        <v>169</v>
      </c>
    </row>
    <row r="6">
      <c r="A6" s="324" t="str">
        <f>HYPERLINK("https://phillipreeve.net/blog/review-samyang-14mm-2-8/","Samyang 14mm f/2.8 ES AS IF UMC")</f>
        <v>Samyang 14mm f/2.8 ES AS IF UMC</v>
      </c>
      <c r="B6" s="325">
        <v>570.0</v>
      </c>
      <c r="C6" s="326">
        <v>14.0</v>
      </c>
      <c r="D6" s="327">
        <v>2.8</v>
      </c>
      <c r="E6" s="328">
        <v>87.0</v>
      </c>
      <c r="F6" s="329">
        <v>122.0</v>
      </c>
      <c r="G6" s="330" t="s">
        <v>24</v>
      </c>
      <c r="H6" s="331" t="s">
        <v>25</v>
      </c>
      <c r="I6" s="332">
        <v>0.066</v>
      </c>
      <c r="J6" s="333">
        <v>329.0</v>
      </c>
      <c r="K6" s="334"/>
      <c r="L6" s="335" t="str">
        <f>HYPERLINK("https://www.bhphotovideo.com/c/product/1018382-REG/samyang_sy14m_e_14mm_f_2_8_ed_as.html/BI/19619/KBID/12129/DFF/d10-v21-t1-x476887/SID/EZ","link*")</f>
        <v>link*</v>
      </c>
      <c r="M6" s="334"/>
      <c r="N6" s="334"/>
      <c r="O6" s="336">
        <v>29.0</v>
      </c>
      <c r="P6" s="337" t="s">
        <v>26</v>
      </c>
      <c r="Q6" s="332">
        <v>6.0</v>
      </c>
      <c r="R6" s="338" t="s">
        <v>167</v>
      </c>
      <c r="S6" s="332" t="s">
        <v>46</v>
      </c>
      <c r="T6" s="332"/>
      <c r="U6" s="317" t="s">
        <v>169</v>
      </c>
    </row>
    <row r="7">
      <c r="A7" s="339" t="str">
        <f>HYPERLINK("https://phillipreeve.net/blog/rolling-review-laowa-15mm-2-0-zero-d/","Laowa 15mm F2.0 D-Dreamer")</f>
        <v>Laowa 15mm F2.0 D-Dreamer</v>
      </c>
      <c r="B7" s="39">
        <v>520.0</v>
      </c>
      <c r="C7" s="43">
        <v>15.0</v>
      </c>
      <c r="D7" s="41">
        <v>2.0</v>
      </c>
      <c r="E7" s="319">
        <v>77.0</v>
      </c>
      <c r="F7" s="320">
        <v>83.0</v>
      </c>
      <c r="G7" s="321" t="s">
        <v>24</v>
      </c>
      <c r="H7" s="45">
        <v>72.0</v>
      </c>
      <c r="I7" s="46">
        <v>0.25</v>
      </c>
      <c r="J7" s="50">
        <v>849.0</v>
      </c>
      <c r="K7" s="184"/>
      <c r="L7" s="51" t="str">
        <f>HYPERLINK("https://www.bhphotovideo.com/c/product/1357085-REG/venus_optics_ve1520sfe_15mm_f_2_0_fe_zero_d.html/BI/19619/KBID/12129/DFF/d10-v21-t1-x841572/SID/EZ","link*")</f>
        <v>link*</v>
      </c>
      <c r="M7" s="184"/>
      <c r="N7" s="184"/>
      <c r="O7" s="47">
        <v>15.0</v>
      </c>
      <c r="P7" s="44" t="s">
        <v>26</v>
      </c>
      <c r="Q7" s="46">
        <v>7.0</v>
      </c>
      <c r="R7" s="111" t="s">
        <v>174</v>
      </c>
      <c r="S7" s="46" t="s">
        <v>168</v>
      </c>
      <c r="T7" s="46"/>
      <c r="U7" s="68" t="s">
        <v>169</v>
      </c>
    </row>
    <row r="8">
      <c r="A8" s="303" t="str">
        <f>HYPERLINK("https://phillipreeve.net/blog/review-laowa-15mm-4-0-macro/","Venus Optics Laowa 15mm f/4 Macro")</f>
        <v>Venus Optics Laowa 15mm f/4 Macro</v>
      </c>
      <c r="B8" s="304">
        <v>470.0</v>
      </c>
      <c r="C8" s="305">
        <v>15.0</v>
      </c>
      <c r="D8" s="306">
        <v>4.0</v>
      </c>
      <c r="E8" s="322">
        <v>84.0</v>
      </c>
      <c r="F8" s="323">
        <v>94.0</v>
      </c>
      <c r="G8" s="308" t="s">
        <v>24</v>
      </c>
      <c r="H8" s="309" t="s">
        <v>25</v>
      </c>
      <c r="I8" s="310">
        <v>1.0</v>
      </c>
      <c r="J8" s="311">
        <v>499.0</v>
      </c>
      <c r="K8" s="312"/>
      <c r="L8" s="313" t="str">
        <f>HYPERLINK("https://www.bhphotovideo.com/c/product/1165602-REG/venus_optics_laowa_15mm_f_4_macro.html/BI/19619/KBID/12129/DFF/d10-v21-t1-x652903/SID/EZ","link*")</f>
        <v>link*</v>
      </c>
      <c r="M8" s="312"/>
      <c r="N8" s="312"/>
      <c r="O8" s="314">
        <v>12.0</v>
      </c>
      <c r="P8" s="315" t="s">
        <v>26</v>
      </c>
      <c r="Q8" s="310">
        <v>14.0</v>
      </c>
      <c r="R8" s="316" t="s">
        <v>174</v>
      </c>
      <c r="S8" s="310" t="s">
        <v>168</v>
      </c>
      <c r="T8" s="310"/>
      <c r="U8" s="317" t="s">
        <v>175</v>
      </c>
    </row>
    <row r="9">
      <c r="A9" s="340" t="s">
        <v>176</v>
      </c>
      <c r="B9" s="325">
        <v>230.0</v>
      </c>
      <c r="C9" s="326">
        <v>20.0</v>
      </c>
      <c r="D9" s="327">
        <v>2.0</v>
      </c>
      <c r="E9" s="328">
        <v>62.0</v>
      </c>
      <c r="F9" s="329">
        <v>60.0</v>
      </c>
      <c r="G9" s="330" t="s">
        <v>24</v>
      </c>
      <c r="H9" s="331"/>
      <c r="I9" s="332">
        <v>4.5</v>
      </c>
      <c r="J9" s="333">
        <v>199.0</v>
      </c>
      <c r="K9" s="334"/>
      <c r="L9" s="335" t="str">
        <f>HYPERLINK("https://www.bhphotovideo.com/c/product/1307523-REG/mitakon_zhongyi_mtk20mf2se_20mm_f_2_4_5x_super.html/BI/19619/KBID/12129/DFF/d10-v21-t1-x786936/SID/EZ","link*")</f>
        <v>link*</v>
      </c>
      <c r="M9" s="334"/>
      <c r="N9" s="334"/>
      <c r="O9" s="336">
        <v>2.0</v>
      </c>
      <c r="P9" s="337" t="s">
        <v>26</v>
      </c>
      <c r="Q9" s="317">
        <v>3.0</v>
      </c>
      <c r="R9" s="341">
        <v>43561.0</v>
      </c>
      <c r="S9" s="332" t="s">
        <v>177</v>
      </c>
      <c r="T9" s="332"/>
      <c r="U9" s="317" t="s">
        <v>178</v>
      </c>
    </row>
    <row r="10">
      <c r="A10" s="318" t="s">
        <v>179</v>
      </c>
      <c r="B10" s="39">
        <v>474.0</v>
      </c>
      <c r="C10" s="43">
        <v>24.0</v>
      </c>
      <c r="D10" s="41">
        <v>14.0</v>
      </c>
      <c r="E10" s="319">
        <v>38.0</v>
      </c>
      <c r="F10" s="320">
        <v>408.0</v>
      </c>
      <c r="G10" s="321" t="s">
        <v>24</v>
      </c>
      <c r="H10" s="45" t="s">
        <v>25</v>
      </c>
      <c r="I10" s="46">
        <v>2.0</v>
      </c>
      <c r="J10" s="50">
        <v>1499.0</v>
      </c>
      <c r="K10" s="184"/>
      <c r="L10" s="51" t="str">
        <f>HYPERLINK("https://www.bhphotovideo.com/c/product/1430596-REG/venus_optics_laowa_24mm_f_14_probe.html/BI/19619/KBID/12129/DFF/d10-v21-t1-x916725/SID/EZ","link*")</f>
        <v>link*</v>
      </c>
      <c r="M10" s="184"/>
      <c r="N10" s="184"/>
      <c r="O10" s="47">
        <v>4.7</v>
      </c>
      <c r="P10" s="44" t="s">
        <v>26</v>
      </c>
      <c r="Q10" s="68">
        <v>7.0</v>
      </c>
      <c r="R10" s="46" t="s">
        <v>180</v>
      </c>
      <c r="S10" s="46" t="s">
        <v>168</v>
      </c>
      <c r="T10" s="46"/>
      <c r="U10" s="68" t="s">
        <v>169</v>
      </c>
    </row>
    <row r="11">
      <c r="A11" s="342" t="s">
        <v>181</v>
      </c>
      <c r="B11" s="76">
        <v>590.0</v>
      </c>
      <c r="C11" s="122">
        <v>24.0</v>
      </c>
      <c r="D11" s="121">
        <v>1.4</v>
      </c>
      <c r="E11" s="343">
        <v>83.0</v>
      </c>
      <c r="F11" s="344">
        <v>123.0</v>
      </c>
      <c r="G11" s="345" t="s">
        <v>24</v>
      </c>
      <c r="H11" s="82">
        <v>77.0</v>
      </c>
      <c r="I11" s="81"/>
      <c r="J11" s="87">
        <v>549.0</v>
      </c>
      <c r="K11" s="130"/>
      <c r="L11" s="88" t="str">
        <f>HYPERLINK("https://www.bhphotovideo.com/c/product/1040178-REG/rokinon_rk24m_e_24mm_hd_f1_4_photo.html/BI/19619/KBID/12129/DFF/d10-v21-t1-x516635/SID/EZ","link*")</f>
        <v>link*</v>
      </c>
      <c r="M11" s="130"/>
      <c r="N11" s="130"/>
      <c r="O11" s="83">
        <v>25.0</v>
      </c>
      <c r="P11" s="84" t="s">
        <v>26</v>
      </c>
      <c r="Q11" s="81">
        <v>8.0</v>
      </c>
      <c r="R11" s="123">
        <v>43812.0</v>
      </c>
      <c r="S11" s="81" t="s">
        <v>46</v>
      </c>
      <c r="T11" s="346"/>
      <c r="U11" s="68" t="s">
        <v>169</v>
      </c>
    </row>
    <row r="12">
      <c r="A12" s="342" t="s">
        <v>182</v>
      </c>
      <c r="B12" s="76"/>
      <c r="C12" s="122">
        <v>24.0</v>
      </c>
      <c r="D12" s="121">
        <v>2.4</v>
      </c>
      <c r="E12" s="79"/>
      <c r="F12" s="79"/>
      <c r="G12" s="345" t="s">
        <v>24</v>
      </c>
      <c r="H12" s="82" t="s">
        <v>25</v>
      </c>
      <c r="I12" s="81"/>
      <c r="J12" s="87">
        <v>389.0</v>
      </c>
      <c r="K12" s="130"/>
      <c r="L12" s="88" t="str">
        <f>HYPERLINK("https://www.bhphotovideo.com/c/product/1456688-REG/kipon_24mm_f2_4_for_sony_e_24mm_f_2_4_lens_for.html/BI/19619/KBID/12129/DFF/d10-v21-t1-x945435/SID/EZ","link*")</f>
        <v>link*</v>
      </c>
      <c r="M12" s="130"/>
      <c r="N12" s="130"/>
      <c r="O12" s="83">
        <v>25.0</v>
      </c>
      <c r="P12" s="84" t="s">
        <v>26</v>
      </c>
      <c r="Q12" s="68">
        <v>6.0</v>
      </c>
      <c r="R12" s="123">
        <v>43654.0</v>
      </c>
      <c r="S12" s="81" t="s">
        <v>183</v>
      </c>
      <c r="T12" s="346"/>
      <c r="U12" s="68" t="s">
        <v>169</v>
      </c>
    </row>
    <row r="13">
      <c r="A13" s="347" t="s">
        <v>184</v>
      </c>
      <c r="B13" s="304">
        <v>734.0</v>
      </c>
      <c r="C13" s="305">
        <v>24.0</v>
      </c>
      <c r="D13" s="348">
        <v>3.5</v>
      </c>
      <c r="E13" s="349">
        <v>86.0</v>
      </c>
      <c r="F13" s="350">
        <v>139.0</v>
      </c>
      <c r="G13" s="308" t="s">
        <v>24</v>
      </c>
      <c r="H13" s="309">
        <v>82.0</v>
      </c>
      <c r="I13" s="310"/>
      <c r="J13" s="311">
        <v>799.0</v>
      </c>
      <c r="K13" s="312"/>
      <c r="L13" s="313" t="str">
        <f>HYPERLINK("https://www.bhphotovideo.com/c/product/1246780-REG/rokinon_tsl24me_t_s_24mm_f_3_5_ed.html/BI/19619/KBID/12129/DFF/d10-v21-t1-x727594/SID/EZ","link*")</f>
        <v>link*</v>
      </c>
      <c r="M13" s="312"/>
      <c r="N13" s="312"/>
      <c r="O13" s="314">
        <v>20.0</v>
      </c>
      <c r="P13" s="315" t="s">
        <v>26</v>
      </c>
      <c r="Q13" s="317"/>
      <c r="R13" s="351">
        <v>43785.0</v>
      </c>
      <c r="S13" s="310" t="s">
        <v>46</v>
      </c>
      <c r="T13" s="352"/>
      <c r="U13" s="317" t="s">
        <v>185</v>
      </c>
    </row>
    <row r="14">
      <c r="A14" s="347" t="s">
        <v>186</v>
      </c>
      <c r="B14" s="325">
        <v>400.0</v>
      </c>
      <c r="C14" s="326">
        <v>25.0</v>
      </c>
      <c r="D14" s="353">
        <v>2.8</v>
      </c>
      <c r="E14" s="354">
        <v>65.0</v>
      </c>
      <c r="F14" s="355">
        <v>82.0</v>
      </c>
      <c r="G14" s="330" t="s">
        <v>24</v>
      </c>
      <c r="H14" s="331" t="s">
        <v>25</v>
      </c>
      <c r="I14" s="332">
        <v>5.0</v>
      </c>
      <c r="J14" s="333">
        <v>399.0</v>
      </c>
      <c r="K14" s="334"/>
      <c r="L14" s="335" t="str">
        <f>HYPERLINK("https://www.bhphotovideo.com/c/product/1399604-REG/venus_optics_ve2528sfe_laowa_25mm_f_2_8_2_5_5x.html/BI/19619/KBID/12129/DFF/d10-v21-t1-x886312/SID/EZ","link*")</f>
        <v>link*</v>
      </c>
      <c r="M14" s="334"/>
      <c r="N14" s="334"/>
      <c r="O14" s="336">
        <v>17.0</v>
      </c>
      <c r="P14" s="337" t="s">
        <v>26</v>
      </c>
      <c r="Q14" s="317">
        <v>8.0</v>
      </c>
      <c r="R14" s="356">
        <v>43624.0</v>
      </c>
      <c r="S14" s="332" t="s">
        <v>168</v>
      </c>
      <c r="T14" s="357"/>
      <c r="U14" s="317" t="s">
        <v>187</v>
      </c>
    </row>
    <row r="15">
      <c r="A15" s="347" t="s">
        <v>188</v>
      </c>
      <c r="B15" s="325">
        <v>220.0</v>
      </c>
      <c r="C15" s="326">
        <v>30.0</v>
      </c>
      <c r="D15" s="353">
        <v>3.5</v>
      </c>
      <c r="E15" s="354"/>
      <c r="F15" s="354"/>
      <c r="G15" s="330" t="s">
        <v>24</v>
      </c>
      <c r="H15" s="331"/>
      <c r="I15" s="332"/>
      <c r="J15" s="333">
        <v>598.0</v>
      </c>
      <c r="K15" s="334"/>
      <c r="L15" s="335" t="str">
        <f>HYPERLINK("https://www.bhphotovideo.com/c/product/1407076-REG/meyer_optik_gorlitz_mog3530se_lydith_30mm_f_3_5_lens.html/BI/19619/KBID/12129/DFF/d10-v21-t1-x895134/SID/EZ","link*")</f>
        <v>link*</v>
      </c>
      <c r="M15" s="334"/>
      <c r="N15" s="334"/>
      <c r="O15" s="336">
        <v>16.0</v>
      </c>
      <c r="P15" s="337" t="s">
        <v>26</v>
      </c>
      <c r="Q15" s="317">
        <v>12.0</v>
      </c>
      <c r="R15" s="356">
        <v>43590.0</v>
      </c>
      <c r="S15" s="332" t="s">
        <v>189</v>
      </c>
      <c r="T15" s="357"/>
      <c r="U15" s="317" t="s">
        <v>169</v>
      </c>
    </row>
    <row r="16">
      <c r="A16" s="358" t="str">
        <f>HYPERLINK("https://phillipreeve.net/blog/review-slrmagic-35mm-1-2-cine/","SLR Magic Cine 35mm f/1.2")</f>
        <v>SLR Magic Cine 35mm f/1.2</v>
      </c>
      <c r="B16" s="76">
        <v>466.0</v>
      </c>
      <c r="C16" s="122">
        <v>35.0</v>
      </c>
      <c r="D16" s="121">
        <v>1.2</v>
      </c>
      <c r="E16" s="79">
        <v>65.0</v>
      </c>
      <c r="F16" s="79">
        <v>72.0</v>
      </c>
      <c r="G16" s="345" t="s">
        <v>24</v>
      </c>
      <c r="H16" s="82">
        <v>52.0</v>
      </c>
      <c r="I16" s="81">
        <v>0.12</v>
      </c>
      <c r="J16" s="87">
        <v>399.0</v>
      </c>
      <c r="K16" s="130"/>
      <c r="L16" s="88" t="str">
        <f>HYPERLINK("https://www.bhphotovideo.com/c/product/1258395-REG/slr_magic_cine_35mm_f_1_2_fe.html/BI/19619/KBID/12129/DFF/d10-v21-t1-x739492/SID/EZ","link*")</f>
        <v>link*</v>
      </c>
      <c r="M16" s="130"/>
      <c r="N16" s="130"/>
      <c r="O16" s="83">
        <v>40.0</v>
      </c>
      <c r="P16" s="84" t="s">
        <v>26</v>
      </c>
      <c r="Q16" s="68">
        <v>13.0</v>
      </c>
      <c r="R16" s="123">
        <v>43686.0</v>
      </c>
      <c r="S16" s="81" t="s">
        <v>190</v>
      </c>
      <c r="T16" s="346"/>
      <c r="U16" s="68"/>
    </row>
    <row r="17">
      <c r="A17" s="358" t="str">
        <f>HYPERLINK("https://phillipreeve.net/blog/review-7artisans-35-1-4/","7artisans 35mm f/1.4")</f>
        <v>7artisans 35mm f/1.4</v>
      </c>
      <c r="B17" s="39">
        <v>275.0</v>
      </c>
      <c r="C17" s="43">
        <v>35.0</v>
      </c>
      <c r="D17" s="71">
        <v>1.4</v>
      </c>
      <c r="E17" s="72"/>
      <c r="F17" s="359">
        <v>63.0</v>
      </c>
      <c r="G17" s="321" t="s">
        <v>24</v>
      </c>
      <c r="H17" s="45">
        <v>46.0</v>
      </c>
      <c r="I17" s="46"/>
      <c r="J17" s="50">
        <v>199.0</v>
      </c>
      <c r="K17" s="184"/>
      <c r="L17" s="184"/>
      <c r="M17" s="184"/>
      <c r="N17" s="184"/>
      <c r="O17" s="47">
        <v>40.0</v>
      </c>
      <c r="P17" s="44" t="s">
        <v>26</v>
      </c>
      <c r="Q17" s="68">
        <v>11.0</v>
      </c>
      <c r="R17" s="74">
        <v>43718.0</v>
      </c>
      <c r="S17" s="46" t="s">
        <v>191</v>
      </c>
      <c r="T17" s="46" t="s">
        <v>192</v>
      </c>
      <c r="U17" s="68" t="s">
        <v>193</v>
      </c>
    </row>
    <row r="18">
      <c r="A18" s="342" t="s">
        <v>194</v>
      </c>
      <c r="B18" s="76">
        <v>735.0</v>
      </c>
      <c r="C18" s="122">
        <v>35.0</v>
      </c>
      <c r="D18" s="121">
        <v>1.4</v>
      </c>
      <c r="E18" s="343">
        <v>83.0</v>
      </c>
      <c r="F18" s="344">
        <v>137.0</v>
      </c>
      <c r="G18" s="345" t="s">
        <v>24</v>
      </c>
      <c r="H18" s="82">
        <v>77.0</v>
      </c>
      <c r="I18" s="81"/>
      <c r="J18" s="87">
        <v>369.0</v>
      </c>
      <c r="K18" s="130"/>
      <c r="L18" s="88" t="str">
        <f>HYPERLINK("https://www.bhphotovideo.com/c/product/1040176-REG/rokinon_rk35m_e_35mm_hd_f1_4_photo.html/BI/19619/KBID/12129/DFF/d10-v21-t1-x516633/SID/EZ","link*")</f>
        <v>link*</v>
      </c>
      <c r="M18" s="130"/>
      <c r="N18" s="130"/>
      <c r="O18" s="83">
        <v>30.0</v>
      </c>
      <c r="P18" s="84" t="s">
        <v>26</v>
      </c>
      <c r="Q18" s="81">
        <v>8.0</v>
      </c>
      <c r="R18" s="123">
        <v>43750.0</v>
      </c>
      <c r="S18" s="81" t="s">
        <v>46</v>
      </c>
      <c r="T18" s="346"/>
      <c r="U18" s="68" t="s">
        <v>169</v>
      </c>
    </row>
    <row r="19">
      <c r="A19" s="342" t="s">
        <v>195</v>
      </c>
      <c r="B19" s="76">
        <v>320.0</v>
      </c>
      <c r="C19" s="122">
        <v>35.0</v>
      </c>
      <c r="D19" s="121">
        <v>2.0</v>
      </c>
      <c r="E19" s="343">
        <v>50.0</v>
      </c>
      <c r="F19" s="344">
        <v>41.0</v>
      </c>
      <c r="G19" s="345" t="s">
        <v>24</v>
      </c>
      <c r="H19" s="82">
        <v>43.0</v>
      </c>
      <c r="I19" s="81"/>
      <c r="J19" s="87">
        <v>179.0</v>
      </c>
      <c r="K19" s="130"/>
      <c r="L19" s="88" t="str">
        <f>HYPERLINK("https://www.bhphotovideo.com/c/product/1387955-REG/7artisans_photoelectric_7a35f2svsfeblk_35mm_f2_full_frame.html/BI/19619/KBID/12129/DFF/d10-v21-t1-x874918/SID/EZ","link*")</f>
        <v>link*</v>
      </c>
      <c r="M19" s="130"/>
      <c r="N19" s="130"/>
      <c r="O19" s="83">
        <v>35.0</v>
      </c>
      <c r="P19" s="84" t="s">
        <v>26</v>
      </c>
      <c r="Q19" s="81">
        <v>10.0</v>
      </c>
      <c r="R19" s="123">
        <v>43592.0</v>
      </c>
      <c r="S19" s="81" t="s">
        <v>191</v>
      </c>
      <c r="T19" s="346"/>
      <c r="U19" s="68" t="s">
        <v>169</v>
      </c>
    </row>
    <row r="20">
      <c r="A20" s="342" t="s">
        <v>196</v>
      </c>
      <c r="B20" s="76">
        <v>280.0</v>
      </c>
      <c r="C20" s="122">
        <v>35.0</v>
      </c>
      <c r="D20" s="121">
        <v>2.4</v>
      </c>
      <c r="E20" s="343">
        <v>58.0</v>
      </c>
      <c r="F20" s="344">
        <v>45.0</v>
      </c>
      <c r="G20" s="345" t="s">
        <v>24</v>
      </c>
      <c r="H20" s="82">
        <v>49.0</v>
      </c>
      <c r="I20" s="81"/>
      <c r="J20" s="87">
        <v>375.0</v>
      </c>
      <c r="K20" s="130"/>
      <c r="L20" s="88" t="str">
        <f>HYPERLINK("https://www.bhphotovideo.com/c/product/1456694-REG/kipon_35mm_f2_4_for_sony_e_35mm_f_2_4_lens_for.html/BI/19619/KBID/12129/DFF/d10-v21-t1-x945440/SID/EZ","link*")</f>
        <v>link*</v>
      </c>
      <c r="M20" s="130"/>
      <c r="N20" s="130"/>
      <c r="O20" s="83">
        <v>35.0</v>
      </c>
      <c r="P20" s="84" t="s">
        <v>26</v>
      </c>
      <c r="Q20" s="81">
        <v>6.0</v>
      </c>
      <c r="R20" s="123">
        <v>43622.0</v>
      </c>
      <c r="S20" s="81" t="s">
        <v>183</v>
      </c>
      <c r="T20" s="346"/>
      <c r="U20" s="68" t="s">
        <v>169</v>
      </c>
    </row>
    <row r="21">
      <c r="A21" s="347" t="s">
        <v>197</v>
      </c>
      <c r="B21" s="304">
        <v>374.0</v>
      </c>
      <c r="C21" s="305">
        <v>35.0</v>
      </c>
      <c r="D21" s="348">
        <v>2.8</v>
      </c>
      <c r="E21" s="349">
        <v>70.0</v>
      </c>
      <c r="F21" s="350">
        <v>67.0</v>
      </c>
      <c r="G21" s="308" t="s">
        <v>24</v>
      </c>
      <c r="H21" s="309">
        <v>62.0</v>
      </c>
      <c r="I21" s="310"/>
      <c r="J21" s="311">
        <v>499.0</v>
      </c>
      <c r="K21" s="312"/>
      <c r="L21" s="313" t="str">
        <f>HYPERLINK("https://www.bhphotovideo.com/c/product/1387206-REG/lensbaby_lbb35x_burnside_35mm_f_2_8_lens.html/BI/19619/KBID/12129/DFF/d10-v21-t1-x878506/SID/EZ","link*")</f>
        <v>link*</v>
      </c>
      <c r="M21" s="312"/>
      <c r="N21" s="312"/>
      <c r="O21" s="314">
        <v>15.2</v>
      </c>
      <c r="P21" s="315" t="s">
        <v>26</v>
      </c>
      <c r="Q21" s="310">
        <v>6.0</v>
      </c>
      <c r="R21" s="351">
        <v>43561.0</v>
      </c>
      <c r="S21" s="310" t="s">
        <v>198</v>
      </c>
      <c r="T21" s="352"/>
      <c r="U21" s="317" t="s">
        <v>199</v>
      </c>
    </row>
    <row r="22">
      <c r="A22" s="358" t="str">
        <f>HYPERLINK("https://phillipreeve.net/blog/review-zhong-yi-mitakon-50mm-0-95-dark-knight/","Mitakon Zhong Yi 0.95/50 II Speedmaster")</f>
        <v>Mitakon Zhong Yi 0.95/50 II Speedmaster</v>
      </c>
      <c r="B22" s="39">
        <v>780.0</v>
      </c>
      <c r="C22" s="43">
        <v>50.0</v>
      </c>
      <c r="D22" s="71">
        <v>0.95</v>
      </c>
      <c r="E22" s="72">
        <v>77.0</v>
      </c>
      <c r="F22" s="359">
        <v>82.0</v>
      </c>
      <c r="G22" s="321" t="s">
        <v>24</v>
      </c>
      <c r="H22" s="45">
        <v>67.0</v>
      </c>
      <c r="I22" s="46"/>
      <c r="J22" s="50">
        <v>799.0</v>
      </c>
      <c r="K22" s="184"/>
      <c r="L22" s="51" t="str">
        <f>HYPERLINK("https://www.bhphotovideo.com/c/product/1072733-REG/mitakon_mtk50mf095bk_50mm_for_0_95_lens.html/BI/19619/KBID/12129/DFF/d10-v21-t1-x546124/SID/EZ","link*")</f>
        <v>link*</v>
      </c>
      <c r="M22" s="184"/>
      <c r="N22" s="184"/>
      <c r="O22" s="47">
        <v>100.0</v>
      </c>
      <c r="P22" s="44" t="s">
        <v>26</v>
      </c>
      <c r="Q22" s="46">
        <v>9.0</v>
      </c>
      <c r="R22" s="74">
        <v>43656.0</v>
      </c>
      <c r="S22" s="46" t="s">
        <v>177</v>
      </c>
      <c r="T22" s="360"/>
      <c r="U22" s="68" t="s">
        <v>169</v>
      </c>
    </row>
    <row r="23">
      <c r="A23" s="361" t="str">
        <f>HYPERLINK("https://phillipreeve.net/blog/review-zhong-yi-mitakon-50mm-0-95-iii/","Mitakon Zhongyi 0.95/50mm III Speedmaster ")</f>
        <v>Mitakon Zhongyi 0.95/50mm III Speedmaster </v>
      </c>
      <c r="B23" s="76">
        <v>775.0</v>
      </c>
      <c r="C23" s="122">
        <v>50.0</v>
      </c>
      <c r="D23" s="78">
        <v>0.95</v>
      </c>
      <c r="E23" s="79">
        <v>74.0</v>
      </c>
      <c r="F23" s="344">
        <v>85.0</v>
      </c>
      <c r="G23" s="345" t="s">
        <v>24</v>
      </c>
      <c r="H23" s="82">
        <v>67.0</v>
      </c>
      <c r="I23" s="81">
        <v>0.128</v>
      </c>
      <c r="J23" s="87">
        <v>799.0</v>
      </c>
      <c r="K23" s="130"/>
      <c r="L23" s="88" t="str">
        <f>HYPERLINK("https://www.bhphotovideo.com/c/product/1475646-REG/mitakon_zhongyi_mtk50f095m3fe_speedmaster_50mm_f_0_95_iii.html/BI/19619/KBID/12129/DFF/d10-v21-t1-x959565/SID/EZ","link*")</f>
        <v>link*</v>
      </c>
      <c r="M23" s="89"/>
      <c r="N23" s="130"/>
      <c r="O23" s="83">
        <v>50.0</v>
      </c>
      <c r="P23" s="84" t="s">
        <v>26</v>
      </c>
      <c r="Q23" s="81">
        <v>11.0</v>
      </c>
      <c r="R23" s="123">
        <v>43656.0</v>
      </c>
      <c r="S23" s="81" t="s">
        <v>177</v>
      </c>
      <c r="T23" s="81"/>
      <c r="U23" s="301" t="str">
        <f>HYPERLINK("https://phillipreeve.net/blog/review-zhong-yi-mitakon-50mm-0-95-iii/","See review for some issues.")</f>
        <v>See review for some issues.</v>
      </c>
    </row>
    <row r="24">
      <c r="A24" s="361" t="str">
        <f>HYPERLINK("https://phillipreeve.net/blog/quick-review-zenitar-50mm-0-95-e/","Zenitar 0.95/50")</f>
        <v>Zenitar 0.95/50</v>
      </c>
      <c r="B24" s="76">
        <v>1110.0</v>
      </c>
      <c r="C24" s="122">
        <v>50.0</v>
      </c>
      <c r="D24" s="78">
        <v>0.95</v>
      </c>
      <c r="E24" s="79">
        <v>85.0</v>
      </c>
      <c r="F24" s="344">
        <v>119.0</v>
      </c>
      <c r="G24" s="345" t="s">
        <v>24</v>
      </c>
      <c r="H24" s="82">
        <v>72.0</v>
      </c>
      <c r="I24" s="81">
        <v>0.09</v>
      </c>
      <c r="J24" s="87">
        <v>900.0</v>
      </c>
      <c r="K24" s="130"/>
      <c r="L24" s="130"/>
      <c r="M24" s="89"/>
      <c r="N24" s="130"/>
      <c r="O24" s="83">
        <v>0.7</v>
      </c>
      <c r="P24" s="84" t="s">
        <v>26</v>
      </c>
      <c r="Q24" s="81">
        <v>14.0</v>
      </c>
      <c r="R24" s="123">
        <v>43686.0</v>
      </c>
      <c r="S24" s="81" t="s">
        <v>200</v>
      </c>
      <c r="T24" s="81"/>
      <c r="U24" s="116"/>
    </row>
    <row r="25">
      <c r="A25" s="362" t="s">
        <v>201</v>
      </c>
      <c r="B25" s="76">
        <v>556.0</v>
      </c>
      <c r="C25" s="122">
        <v>50.0</v>
      </c>
      <c r="D25" s="78">
        <v>1.4</v>
      </c>
      <c r="E25" s="79">
        <v>81.0</v>
      </c>
      <c r="F25" s="344">
        <v>102.0</v>
      </c>
      <c r="G25" s="345" t="s">
        <v>24</v>
      </c>
      <c r="H25" s="82">
        <v>77.0</v>
      </c>
      <c r="I25" s="81"/>
      <c r="J25" s="87">
        <v>399.0</v>
      </c>
      <c r="K25" s="130"/>
      <c r="L25" s="88" t="str">
        <f>HYPERLINK("https://www.bhphotovideo.com/c/product/1089940-REG/rokinon_50m_e_50mm_f_1_4_lens_for.html/BI/19619/KBID/12129/DFF/d10-v21-t1-x569675/SID/EZ","link*")</f>
        <v>link*</v>
      </c>
      <c r="M25" s="89"/>
      <c r="N25" s="130"/>
      <c r="O25" s="83">
        <v>45.0</v>
      </c>
      <c r="P25" s="84" t="s">
        <v>26</v>
      </c>
      <c r="Q25" s="81">
        <v>8.0</v>
      </c>
      <c r="R25" s="123">
        <v>43625.0</v>
      </c>
      <c r="S25" s="81" t="s">
        <v>46</v>
      </c>
      <c r="T25" s="81"/>
      <c r="U25" s="68" t="s">
        <v>169</v>
      </c>
    </row>
    <row r="26" ht="13.5" customHeight="1">
      <c r="A26" s="362" t="s">
        <v>202</v>
      </c>
      <c r="B26" s="76">
        <v>310.0</v>
      </c>
      <c r="C26" s="122">
        <v>50.0</v>
      </c>
      <c r="D26" s="78">
        <v>1.7</v>
      </c>
      <c r="E26" s="79">
        <v>55.0</v>
      </c>
      <c r="F26" s="344">
        <v>61.0</v>
      </c>
      <c r="G26" s="345" t="s">
        <v>24</v>
      </c>
      <c r="H26" s="82">
        <v>52.0</v>
      </c>
      <c r="I26" s="81"/>
      <c r="J26" s="87">
        <v>109.0</v>
      </c>
      <c r="K26" s="130"/>
      <c r="L26" s="88" t="str">
        <f>HYPERLINK("https://www.bhphotovideo.com/c/product/1450522-REG/meike_mk50f1_7nex_mk_50mm_f1_7_for_full.html/BI/19619/KBID/12129/DFF/d10-v21-t1-x935920/SID/EZ","link*")</f>
        <v>link*</v>
      </c>
      <c r="M26" s="89"/>
      <c r="N26" s="130"/>
      <c r="O26" s="83">
        <v>50.0</v>
      </c>
      <c r="P26" s="84" t="s">
        <v>26</v>
      </c>
      <c r="Q26" s="81"/>
      <c r="R26" s="123">
        <v>43591.0</v>
      </c>
      <c r="S26" s="81" t="s">
        <v>131</v>
      </c>
      <c r="T26" s="81"/>
      <c r="U26" s="68" t="s">
        <v>169</v>
      </c>
    </row>
    <row r="27">
      <c r="A27" s="362" t="s">
        <v>203</v>
      </c>
      <c r="B27" s="76">
        <v>310.0</v>
      </c>
      <c r="C27" s="122">
        <v>50.0</v>
      </c>
      <c r="D27" s="78">
        <v>2.4</v>
      </c>
      <c r="E27" s="79">
        <v>58.0</v>
      </c>
      <c r="F27" s="344">
        <v>65.0</v>
      </c>
      <c r="G27" s="345" t="s">
        <v>24</v>
      </c>
      <c r="H27" s="82">
        <v>49.0</v>
      </c>
      <c r="I27" s="81"/>
      <c r="J27" s="87">
        <v>325.0</v>
      </c>
      <c r="K27" s="130"/>
      <c r="L27" s="88" t="str">
        <f>HYPERLINK("https://www.bhphotovideo.com/c/product/1456705-REG/kipon_50mm_f2_4_for_sony_e_50mm_f_2_4_lens_for.html/BI/19619/KBID/12129/DFF/d10-v21-t1-x945448/SID/EZ","link*")</f>
        <v>link*</v>
      </c>
      <c r="M27" s="89"/>
      <c r="N27" s="130"/>
      <c r="O27" s="83">
        <v>60.0</v>
      </c>
      <c r="P27" s="84" t="s">
        <v>26</v>
      </c>
      <c r="Q27" s="81">
        <v>6.0</v>
      </c>
      <c r="R27" s="123">
        <v>43622.0</v>
      </c>
      <c r="S27" s="81" t="s">
        <v>183</v>
      </c>
      <c r="T27" s="81"/>
    </row>
    <row r="28">
      <c r="A28" s="363" t="s">
        <v>204</v>
      </c>
      <c r="B28" s="304">
        <v>200.0</v>
      </c>
      <c r="C28" s="305">
        <v>50.0</v>
      </c>
      <c r="D28" s="306">
        <v>2.9</v>
      </c>
      <c r="G28" s="308" t="s">
        <v>24</v>
      </c>
      <c r="H28" s="309">
        <v>35.5</v>
      </c>
      <c r="I28" s="310">
        <v>0.25</v>
      </c>
      <c r="J28" s="311">
        <v>548.0</v>
      </c>
      <c r="K28" s="312"/>
      <c r="L28" s="313" t="str">
        <f>HYPERLINK("https://www.bhphotovideo.com/c/product/1297915-REG/meyer_optik_g_rlitz_mog2950se_2_9_50_trioplan_lens_for.html/BI/19619/KBID/12129/DFF/d10-v21-t1-x778661/SID/EZ","link*")</f>
        <v>link*</v>
      </c>
      <c r="M28" s="364"/>
      <c r="N28" s="312"/>
      <c r="O28" s="314">
        <v>25.0</v>
      </c>
      <c r="P28" s="315" t="s">
        <v>26</v>
      </c>
      <c r="Q28" s="310">
        <v>12.0</v>
      </c>
      <c r="R28" s="351">
        <v>43527.0</v>
      </c>
      <c r="S28" s="310" t="s">
        <v>189</v>
      </c>
      <c r="T28" s="310"/>
      <c r="U28" s="365"/>
    </row>
    <row r="29">
      <c r="A29" s="363" t="s">
        <v>205</v>
      </c>
      <c r="B29" s="325">
        <v>272.0</v>
      </c>
      <c r="C29" s="326">
        <v>55.0</v>
      </c>
      <c r="D29" s="327">
        <v>1.8</v>
      </c>
      <c r="E29" s="307">
        <v>60.0</v>
      </c>
      <c r="F29" s="307">
        <v>52.0</v>
      </c>
      <c r="G29" s="330" t="s">
        <v>24</v>
      </c>
      <c r="H29" s="331">
        <v>49.0</v>
      </c>
      <c r="I29" s="332"/>
      <c r="J29" s="333">
        <v>99.0</v>
      </c>
      <c r="K29" s="335" t="str">
        <f>HYPERLINK("https://amzn.to/2Uybk8g","link*")</f>
        <v>link*</v>
      </c>
      <c r="L29" s="334"/>
      <c r="M29" s="335" t="str">
        <f>HYPERLINK("https://amzn.to/2MYcusN","link*")</f>
        <v>link*</v>
      </c>
      <c r="N29" s="88" t="str">
        <f>HYPERLINK("http://rover.ebay.com/rover/1/711-53200-19255-0/1?icep_ff3=9&amp;pub=5575076376&amp;toolid=10001&amp;campid=5338573609&amp;customid=&amp;icep_uq=brightin+star+55mm+1.8+sony&amp;icep_sellerId=&amp;icep_ex_kw=&amp;icep_sortBy=12&amp;icep_catId=3323&amp;icep_minPrice=&amp;icep_maxPrice=&amp;ipn=psmain&amp;ice"&amp;"p_vectorid=229466&amp;kwid=902099&amp;mtid=824&amp;kw=lg","link*")</f>
        <v>link*</v>
      </c>
      <c r="O29" s="336">
        <v>50.0</v>
      </c>
      <c r="P29" s="337" t="s">
        <v>26</v>
      </c>
      <c r="Q29" s="332">
        <v>12.0</v>
      </c>
      <c r="R29" s="356">
        <v>43592.0</v>
      </c>
      <c r="S29" s="332" t="s">
        <v>206</v>
      </c>
      <c r="T29" s="317"/>
      <c r="U29" s="365"/>
    </row>
    <row r="30">
      <c r="A30" s="363" t="s">
        <v>207</v>
      </c>
      <c r="B30" s="325">
        <v>400.0</v>
      </c>
      <c r="C30" s="326">
        <v>56.0</v>
      </c>
      <c r="D30" s="327">
        <v>1.6</v>
      </c>
      <c r="E30" s="354">
        <v>72.0</v>
      </c>
      <c r="F30" s="355">
        <v>95.0</v>
      </c>
      <c r="G30" s="330" t="s">
        <v>24</v>
      </c>
      <c r="H30" s="331">
        <v>62.0</v>
      </c>
      <c r="I30" s="332">
        <v>0.5</v>
      </c>
      <c r="J30" s="333">
        <v>449.0</v>
      </c>
      <c r="K30" s="334"/>
      <c r="L30" s="335" t="str">
        <f>HYPERLINK("https://www.bhphotovideo.com/c/product/1152532-REG/lensbaby_lbv56bx_velvet_56mm_f_1_6_lens.html/BI/19619/KBID/12129/DFF/d10-v21-t1-x638949/SID/EZ","link*")</f>
        <v>link*</v>
      </c>
      <c r="M30" s="366"/>
      <c r="N30" s="334"/>
      <c r="O30" s="336">
        <v>12.7</v>
      </c>
      <c r="P30" s="337" t="s">
        <v>26</v>
      </c>
      <c r="Q30" s="332"/>
      <c r="R30" s="356">
        <v>43528.0</v>
      </c>
      <c r="S30" s="332" t="s">
        <v>198</v>
      </c>
      <c r="T30" s="365"/>
      <c r="U30" s="365"/>
    </row>
    <row r="31">
      <c r="A31" s="367" t="s">
        <v>208</v>
      </c>
      <c r="B31" s="325"/>
      <c r="C31" s="326">
        <v>58.0</v>
      </c>
      <c r="D31" s="327">
        <v>1.9</v>
      </c>
      <c r="E31" s="354"/>
      <c r="F31" s="354"/>
      <c r="G31" s="330" t="s">
        <v>24</v>
      </c>
      <c r="H31" s="331">
        <v>52.0</v>
      </c>
      <c r="I31" s="332"/>
      <c r="J31" s="333">
        <v>899.0</v>
      </c>
      <c r="K31" s="334"/>
      <c r="L31" s="335" t="str">
        <f>HYPERLINK("https://www.bhphotovideo.com/c/product/1486218-REG/meyer_optik_gorlitz_mog5819iise_primoplan_58_f1_9_ii.html/BI/19619/KBID/12129/DFF/d10-v21-t1-x969561/SID/EZ","link*")</f>
        <v>link*</v>
      </c>
      <c r="M31" s="366"/>
      <c r="N31" s="334"/>
      <c r="O31" s="336">
        <v>60.0</v>
      </c>
      <c r="P31" s="337" t="s">
        <v>209</v>
      </c>
      <c r="Q31" s="332">
        <v>12.0</v>
      </c>
      <c r="R31" s="356">
        <v>43560.0</v>
      </c>
      <c r="S31" s="332" t="s">
        <v>189</v>
      </c>
      <c r="T31" s="368" t="s">
        <v>210</v>
      </c>
      <c r="U31" s="365"/>
    </row>
    <row r="32">
      <c r="A32" s="347" t="s">
        <v>211</v>
      </c>
      <c r="B32" s="325">
        <v>330.0</v>
      </c>
      <c r="C32" s="326">
        <v>75.0</v>
      </c>
      <c r="D32" s="327">
        <v>2.4</v>
      </c>
      <c r="E32" s="354">
        <v>58.0</v>
      </c>
      <c r="F32" s="354">
        <v>75.0</v>
      </c>
      <c r="G32" s="330" t="s">
        <v>24</v>
      </c>
      <c r="H32" s="331">
        <v>49.0</v>
      </c>
      <c r="I32" s="332"/>
      <c r="J32" s="333">
        <v>299.0</v>
      </c>
      <c r="K32" s="334"/>
      <c r="L32" s="335" t="str">
        <f>HYPERLINK("https://www.bhphotovideo.com/c/product/1456711-REG/kipon_75mm_f2_4_for_sony_e_75mm_f_2_4_lens_for.html/BI/19619/KBID/12129/DFF/d10-v21-t1-x945453/SID/EZ","link*")</f>
        <v>link*</v>
      </c>
      <c r="M32" s="334"/>
      <c r="N32" s="334"/>
      <c r="O32" s="336">
        <v>60.0</v>
      </c>
      <c r="P32" s="337" t="s">
        <v>26</v>
      </c>
      <c r="Q32" s="332">
        <v>6.0</v>
      </c>
      <c r="R32" s="356">
        <v>43590.0</v>
      </c>
      <c r="S32" s="332" t="s">
        <v>177</v>
      </c>
      <c r="T32" s="357"/>
      <c r="U32" s="365"/>
    </row>
    <row r="33">
      <c r="A33" s="362" t="s">
        <v>212</v>
      </c>
      <c r="B33" s="39">
        <v>921.0</v>
      </c>
      <c r="C33" s="43">
        <v>85.0</v>
      </c>
      <c r="D33" s="41">
        <v>1.2</v>
      </c>
      <c r="E33" s="42"/>
      <c r="F33" s="42"/>
      <c r="G33" s="321" t="s">
        <v>24</v>
      </c>
      <c r="H33" s="45">
        <v>77.0</v>
      </c>
      <c r="I33" s="46"/>
      <c r="J33" s="50">
        <v>749.0</v>
      </c>
      <c r="K33" s="184"/>
      <c r="L33" s="51" t="str">
        <f>HYPERLINK("https://www.bhphotovideo.com/c/product/1148608-REG/mitakon_zhongyi_mtk85mf12se_mitakon_speedmaster_85mm_f_1_2.html/BI/19619/KBID/12129/DFF/d10-v21-t1-x635054/SID/EZ","link*")</f>
        <v>link*</v>
      </c>
      <c r="M33" s="146"/>
      <c r="N33" s="184"/>
      <c r="O33" s="47">
        <v>100.0</v>
      </c>
      <c r="P33" s="44" t="s">
        <v>26</v>
      </c>
      <c r="Q33" s="46">
        <v>11.0</v>
      </c>
      <c r="R33" s="74">
        <v>43625.0</v>
      </c>
      <c r="S33" s="46" t="s">
        <v>177</v>
      </c>
      <c r="T33" s="46"/>
    </row>
    <row r="34">
      <c r="A34" s="342" t="s">
        <v>213</v>
      </c>
      <c r="B34" s="76">
        <v>570.0</v>
      </c>
      <c r="C34" s="122">
        <v>85.0</v>
      </c>
      <c r="D34" s="78">
        <v>1.4</v>
      </c>
      <c r="E34" s="79">
        <v>78.0</v>
      </c>
      <c r="F34" s="79">
        <v>101.0</v>
      </c>
      <c r="G34" s="345" t="s">
        <v>24</v>
      </c>
      <c r="H34" s="82">
        <v>72.0</v>
      </c>
      <c r="I34" s="81"/>
      <c r="J34" s="87">
        <v>279.0</v>
      </c>
      <c r="K34" s="130"/>
      <c r="L34" s="88" t="str">
        <f>HYPERLINK("https://www.bhphotovideo.com/c/product/1024119-REG/samyang_sy85m_e_85mm_f_1_4_lens_for.html/BI/19619/KBID/12129/DFF/d10-v21-t1-x500622/SID/EZ","link*")</f>
        <v>link*</v>
      </c>
      <c r="M34" s="130"/>
      <c r="N34" s="130"/>
      <c r="O34" s="83">
        <v>100.0</v>
      </c>
      <c r="P34" s="84" t="s">
        <v>26</v>
      </c>
      <c r="Q34" s="81">
        <v>8.0</v>
      </c>
      <c r="R34" s="123">
        <v>43655.0</v>
      </c>
      <c r="S34" s="81" t="s">
        <v>46</v>
      </c>
      <c r="T34" s="346"/>
    </row>
    <row r="35">
      <c r="A35" s="342" t="s">
        <v>214</v>
      </c>
      <c r="B35" s="76">
        <v>644.0</v>
      </c>
      <c r="C35" s="122">
        <v>85.0</v>
      </c>
      <c r="D35" s="78">
        <v>1.8</v>
      </c>
      <c r="E35" s="79">
        <v>76.0</v>
      </c>
      <c r="F35" s="79">
        <v>128.0</v>
      </c>
      <c r="G35" s="345" t="s">
        <v>24</v>
      </c>
      <c r="H35" s="82">
        <v>67.0</v>
      </c>
      <c r="I35" s="81">
        <v>0.5</v>
      </c>
      <c r="J35" s="87">
        <v>499.0</v>
      </c>
      <c r="K35" s="130"/>
      <c r="L35" s="88" t="str">
        <f>HYPERLINK("https://www.bhphotovideo.com/c/product/1338157-REG/lensbaby_lbv85x_velvet_85_for_sony.html/BI/19619/KBID/12129/DFF/d10-v21-t1-x830878/SID/EZ","link*")</f>
        <v>link*</v>
      </c>
      <c r="M35" s="130"/>
      <c r="N35" s="130"/>
      <c r="O35" s="83">
        <v>24.0</v>
      </c>
      <c r="P35" s="84" t="s">
        <v>26</v>
      </c>
      <c r="Q35" s="81">
        <v>12.0</v>
      </c>
      <c r="R35" s="123">
        <v>43528.0</v>
      </c>
      <c r="S35" s="81" t="s">
        <v>198</v>
      </c>
      <c r="T35" s="346"/>
    </row>
    <row r="36">
      <c r="A36" s="347" t="s">
        <v>215</v>
      </c>
      <c r="B36" s="304">
        <v>500.0</v>
      </c>
      <c r="C36" s="305">
        <v>85.0</v>
      </c>
      <c r="D36" s="306">
        <v>2.8</v>
      </c>
      <c r="E36" s="307">
        <v>64.0</v>
      </c>
      <c r="F36" s="307">
        <v>117.0</v>
      </c>
      <c r="G36" s="308" t="s">
        <v>24</v>
      </c>
      <c r="H36" s="309">
        <v>55.0</v>
      </c>
      <c r="I36" s="310">
        <v>1.5</v>
      </c>
      <c r="J36" s="311">
        <v>269.0</v>
      </c>
      <c r="K36" s="312"/>
      <c r="L36" s="313" t="str">
        <f>HYPERLINK("https://www.bhphotovideo.com/c/product/1451858-REG/meike_mk85f2_8e_85mm_f2_8_manual_macro.html/BI/19619/KBID/12129/DFF/d10-v21-t1-x936762/SID/EZ","link*")</f>
        <v>link*</v>
      </c>
      <c r="M36" s="312"/>
      <c r="N36" s="312"/>
      <c r="O36" s="314">
        <v>25.0</v>
      </c>
      <c r="P36" s="315" t="s">
        <v>26</v>
      </c>
      <c r="Q36" s="310">
        <v>12.0</v>
      </c>
      <c r="R36" s="351">
        <v>43688.0</v>
      </c>
      <c r="S36" s="310" t="s">
        <v>131</v>
      </c>
      <c r="T36" s="352"/>
      <c r="U36" s="365"/>
    </row>
    <row r="37">
      <c r="A37" s="347" t="s">
        <v>216</v>
      </c>
      <c r="B37" s="325">
        <v>340.0</v>
      </c>
      <c r="C37" s="326">
        <v>90.0</v>
      </c>
      <c r="D37" s="327">
        <v>2.4</v>
      </c>
      <c r="E37" s="354">
        <v>58.0</v>
      </c>
      <c r="F37" s="354">
        <v>79.0</v>
      </c>
      <c r="G37" s="330" t="s">
        <v>24</v>
      </c>
      <c r="H37" s="331">
        <v>49.0</v>
      </c>
      <c r="I37" s="332"/>
      <c r="J37" s="333">
        <v>386.0</v>
      </c>
      <c r="K37" s="334"/>
      <c r="L37" s="335" t="str">
        <f>HYPERLINK("https://www.bhphotovideo.com/c/product/1456717-REG/kipon_90mm_f2_4_for_sony_e_90mm_f_2_4_lens_for.html/BI/19619/KBID/12129/DFF/d10-v21-t1-x945458/SID/EZ","link*")</f>
        <v>link*</v>
      </c>
      <c r="M37" s="334"/>
      <c r="N37" s="334"/>
      <c r="O37" s="336">
        <v>70.0</v>
      </c>
      <c r="P37" s="337" t="s">
        <v>26</v>
      </c>
      <c r="Q37" s="332">
        <v>10.0</v>
      </c>
      <c r="R37" s="356">
        <v>43559.0</v>
      </c>
      <c r="S37" s="332" t="s">
        <v>183</v>
      </c>
      <c r="T37" s="357"/>
      <c r="U37" s="365"/>
    </row>
    <row r="38">
      <c r="A38" s="342" t="s">
        <v>217</v>
      </c>
      <c r="B38" s="39"/>
      <c r="C38" s="43">
        <v>100.0</v>
      </c>
      <c r="D38" s="41">
        <v>2.8</v>
      </c>
      <c r="E38" s="42"/>
      <c r="F38" s="42"/>
      <c r="G38" s="321" t="s">
        <v>24</v>
      </c>
      <c r="H38" s="45">
        <v>52.0</v>
      </c>
      <c r="I38" s="46"/>
      <c r="J38" s="50">
        <v>648.0</v>
      </c>
      <c r="K38" s="184"/>
      <c r="L38" s="51" t="str">
        <f>HYPERLINK("https://www.bhphotovideo.com/c/product/1297908-REG/meyer_optik_g_rlitz_mog28100se_2_8_100_trioplan_lens_for.html/BI/19619/KBID/12129/DFF/d10-v21-t1-x778654/SID/EZ","link*")</f>
        <v>link*</v>
      </c>
      <c r="M38" s="184"/>
      <c r="N38" s="184"/>
      <c r="O38" s="47">
        <v>100.0</v>
      </c>
      <c r="P38" s="44" t="s">
        <v>26</v>
      </c>
      <c r="Q38" s="46">
        <v>15.0</v>
      </c>
      <c r="R38" s="74">
        <v>43527.0</v>
      </c>
      <c r="S38" s="46" t="s">
        <v>189</v>
      </c>
      <c r="T38" s="360"/>
    </row>
    <row r="39">
      <c r="A39" s="152" t="str">
        <f>HYPERLINK("https://phillipreeve.net/blog/laowa-100mm-f2-8-ca-dreamer-macro-2x-a-review/","Venus Optics Laowa 100mm f/2.8 Ultra Macro APO")</f>
        <v>Venus Optics Laowa 100mm f/2.8 Ultra Macro APO</v>
      </c>
      <c r="B39" s="76">
        <v>657.0</v>
      </c>
      <c r="C39" s="122">
        <v>100.0</v>
      </c>
      <c r="D39" s="78">
        <v>2.8</v>
      </c>
      <c r="E39" s="79">
        <v>72.0</v>
      </c>
      <c r="F39" s="79">
        <v>155.0</v>
      </c>
      <c r="G39" s="345" t="s">
        <v>24</v>
      </c>
      <c r="H39" s="82">
        <v>67.0</v>
      </c>
      <c r="I39" s="81">
        <v>2.0</v>
      </c>
      <c r="J39" s="87">
        <v>449.0</v>
      </c>
      <c r="K39" s="130"/>
      <c r="L39" s="88" t="str">
        <f>HYPERLINK("https://www.bhphotovideo.com/c/product/1478041-REG/venus_optics_ve10028sfe_laowa_100mm_f_2_8_2x.html/BI/19619/KBID/12129/DFF/d10-v21-t1-x962119/SID/EZ","link*")</f>
        <v>link*</v>
      </c>
      <c r="M39" s="130"/>
      <c r="N39" s="130"/>
      <c r="O39" s="83">
        <v>25.0</v>
      </c>
      <c r="P39" s="84" t="s">
        <v>26</v>
      </c>
      <c r="Q39" s="81">
        <v>13.0</v>
      </c>
      <c r="R39" s="123">
        <v>43750.0</v>
      </c>
      <c r="S39" s="81" t="s">
        <v>168</v>
      </c>
      <c r="T39" s="346"/>
    </row>
    <row r="40">
      <c r="A40" s="369" t="s">
        <v>218</v>
      </c>
      <c r="B40" s="304">
        <v>730.0</v>
      </c>
      <c r="C40" s="305">
        <v>100.0</v>
      </c>
      <c r="D40" s="306">
        <v>2.8</v>
      </c>
      <c r="E40" s="307">
        <v>72.5</v>
      </c>
      <c r="F40" s="307">
        <v>149.0</v>
      </c>
      <c r="G40" s="308" t="s">
        <v>24</v>
      </c>
      <c r="H40" s="309">
        <v>67.0</v>
      </c>
      <c r="I40" s="310">
        <v>1.0</v>
      </c>
      <c r="J40" s="311">
        <v>549.0</v>
      </c>
      <c r="K40" s="312"/>
      <c r="L40" s="313" t="str">
        <f>HYPERLINK("https://www.bhphotovideo.com/c/product/1140597-REG/samyang_sy100m_e_100mm_f_2_8_ed_umc.html/BI/19619/KBID/12129/DFF/d10-v21-t1-x627223/SID/EZ","link*")</f>
        <v>link*</v>
      </c>
      <c r="M40" s="312"/>
      <c r="N40" s="312"/>
      <c r="O40" s="314">
        <v>30.7</v>
      </c>
      <c r="P40" s="315" t="s">
        <v>26</v>
      </c>
      <c r="Q40" s="310">
        <v>9.0</v>
      </c>
      <c r="R40" s="316" t="s">
        <v>85</v>
      </c>
      <c r="S40" s="310" t="s">
        <v>46</v>
      </c>
      <c r="T40" s="310"/>
      <c r="U40" s="365"/>
    </row>
    <row r="41">
      <c r="A41" s="324" t="str">
        <f>HYPERLINK("https://phillipreeve.net/blog/review-laowa-stf-105mm-f2-0-t3-2/","Venus Optics Laowa 105mm f/2 STF")</f>
        <v>Venus Optics Laowa 105mm f/2 STF</v>
      </c>
      <c r="B41" s="325">
        <v>745.0</v>
      </c>
      <c r="C41" s="326">
        <v>105.0</v>
      </c>
      <c r="D41" s="327">
        <v>2.0</v>
      </c>
      <c r="E41" s="370">
        <v>76.0</v>
      </c>
      <c r="F41" s="371">
        <v>99.0</v>
      </c>
      <c r="G41" s="372" t="s">
        <v>24</v>
      </c>
      <c r="H41" s="331">
        <v>67.0</v>
      </c>
      <c r="I41" s="332">
        <v>0.16</v>
      </c>
      <c r="J41" s="333">
        <v>699.0</v>
      </c>
      <c r="K41" s="334"/>
      <c r="L41" s="335" t="str">
        <f>HYPERLINK("https://www.bhphotovideo.com/c/product/1240051-REG/venus_optics_ve10520sfe_laowa_105mm_f_2_smooth.html/BI/19619/KBID/12129/DFF/d10-v21-t1-x721877/SID/EZ","link*")</f>
        <v>link*</v>
      </c>
      <c r="M41" s="334"/>
      <c r="N41" s="334"/>
      <c r="O41" s="336">
        <v>90.0</v>
      </c>
      <c r="P41" s="337" t="s">
        <v>26</v>
      </c>
      <c r="Q41" s="332">
        <v>8.0</v>
      </c>
      <c r="R41" s="338" t="s">
        <v>219</v>
      </c>
      <c r="S41" s="332" t="s">
        <v>168</v>
      </c>
      <c r="T41" s="332"/>
      <c r="U41" s="317" t="s">
        <v>220</v>
      </c>
    </row>
    <row r="42">
      <c r="A42" s="324" t="str">
        <f>HYPERLINK("https://phillipreeve.net/blog/review-samyang/","Samyang 135mm f/2.0 ED UMC")</f>
        <v>Samyang 135mm f/2.0 ED UMC</v>
      </c>
      <c r="B42" s="325">
        <v>840.0</v>
      </c>
      <c r="C42" s="326">
        <v>135.0</v>
      </c>
      <c r="D42" s="327">
        <v>2.0</v>
      </c>
      <c r="E42" s="354">
        <v>82.0</v>
      </c>
      <c r="F42" s="354">
        <v>148.0</v>
      </c>
      <c r="G42" s="330" t="s">
        <v>24</v>
      </c>
      <c r="H42" s="331">
        <v>77.0</v>
      </c>
      <c r="I42" s="332"/>
      <c r="J42" s="333">
        <v>549.0</v>
      </c>
      <c r="K42" s="334"/>
      <c r="L42" s="335" t="str">
        <f>HYPERLINK("https://www.bhphotovideo.com/c/product/1110690-REG/samyang_sy135m_e_135mm_f_2_lens_for.html/BI/19619/KBID/12129/DFF/d10-v21-t1-x594188/SID/EZ","link*")</f>
        <v>link*</v>
      </c>
      <c r="M42" s="334"/>
      <c r="N42" s="334"/>
      <c r="O42" s="336">
        <v>90.0</v>
      </c>
      <c r="P42" s="337" t="s">
        <v>26</v>
      </c>
      <c r="Q42" s="332">
        <v>9.0</v>
      </c>
      <c r="R42" s="338" t="s">
        <v>221</v>
      </c>
      <c r="S42" s="332" t="s">
        <v>46</v>
      </c>
      <c r="T42" s="332"/>
      <c r="U42" s="365"/>
    </row>
    <row r="43" hidden="1">
      <c r="A43" s="275"/>
      <c r="B43" s="276"/>
      <c r="C43" s="277"/>
      <c r="D43" s="278"/>
      <c r="E43" s="144"/>
      <c r="F43" s="373"/>
      <c r="G43" s="68"/>
      <c r="H43" s="279"/>
      <c r="I43" s="68"/>
      <c r="J43" s="282"/>
      <c r="K43" s="283"/>
      <c r="L43" s="283"/>
      <c r="M43" s="283"/>
      <c r="N43" s="283"/>
      <c r="O43" s="280"/>
      <c r="P43" s="68"/>
      <c r="Q43" s="68"/>
      <c r="R43" s="68"/>
      <c r="S43" s="68"/>
      <c r="T43" s="68"/>
    </row>
    <row r="44" hidden="1">
      <c r="A44" s="275"/>
      <c r="B44" s="276"/>
      <c r="C44" s="277"/>
      <c r="D44" s="278"/>
      <c r="E44" s="144"/>
      <c r="F44" s="373"/>
      <c r="G44" s="68"/>
      <c r="H44" s="279"/>
      <c r="I44" s="68"/>
      <c r="J44" s="282"/>
      <c r="K44" s="283"/>
      <c r="L44" s="283"/>
      <c r="M44" s="283"/>
      <c r="N44" s="283"/>
      <c r="O44" s="280"/>
      <c r="P44" s="68"/>
      <c r="Q44" s="68"/>
      <c r="R44" s="68"/>
      <c r="S44" s="68"/>
      <c r="T44" s="68"/>
    </row>
    <row r="45" hidden="1">
      <c r="A45" s="275"/>
      <c r="B45" s="276"/>
      <c r="C45" s="277"/>
      <c r="D45" s="278"/>
      <c r="E45" s="144"/>
      <c r="F45" s="373"/>
      <c r="G45" s="68"/>
      <c r="H45" s="279"/>
      <c r="I45" s="68"/>
      <c r="J45" s="282"/>
      <c r="K45" s="283"/>
      <c r="L45" s="283"/>
      <c r="M45" s="283"/>
      <c r="N45" s="283"/>
      <c r="O45" s="280"/>
      <c r="P45" s="68"/>
      <c r="Q45" s="68"/>
      <c r="R45" s="68"/>
      <c r="S45" s="68"/>
      <c r="T45" s="68"/>
    </row>
    <row r="46" hidden="1">
      <c r="A46" s="275"/>
      <c r="B46" s="276"/>
      <c r="C46" s="277"/>
      <c r="D46" s="278"/>
      <c r="E46" s="144"/>
      <c r="F46" s="373"/>
      <c r="G46" s="68"/>
      <c r="H46" s="279"/>
      <c r="I46" s="68"/>
      <c r="J46" s="282"/>
      <c r="K46" s="283"/>
      <c r="L46" s="283"/>
      <c r="M46" s="283"/>
      <c r="N46" s="283"/>
      <c r="O46" s="280"/>
      <c r="P46" s="68"/>
      <c r="Q46" s="68"/>
      <c r="R46" s="68"/>
      <c r="S46" s="68"/>
      <c r="T46" s="68"/>
    </row>
    <row r="47" hidden="1">
      <c r="A47" s="275"/>
      <c r="B47" s="276"/>
      <c r="C47" s="277"/>
      <c r="D47" s="278"/>
      <c r="E47" s="144"/>
      <c r="F47" s="374"/>
      <c r="G47" s="68"/>
      <c r="H47" s="279"/>
      <c r="I47" s="68"/>
      <c r="J47" s="282"/>
      <c r="K47" s="283"/>
      <c r="L47" s="283"/>
      <c r="M47" s="283"/>
      <c r="N47" s="283"/>
      <c r="O47" s="280"/>
      <c r="P47" s="68"/>
      <c r="Q47" s="68"/>
      <c r="R47" s="68"/>
      <c r="S47" s="68"/>
      <c r="T47" s="68"/>
    </row>
    <row r="48" hidden="1">
      <c r="A48" s="275"/>
      <c r="B48" s="276"/>
      <c r="C48" s="277"/>
      <c r="D48" s="278"/>
      <c r="E48" s="144"/>
      <c r="F48" s="373"/>
      <c r="G48" s="68"/>
      <c r="H48" s="279"/>
      <c r="I48" s="68"/>
      <c r="J48" s="282"/>
      <c r="K48" s="283"/>
      <c r="L48" s="283"/>
      <c r="M48" s="283"/>
      <c r="N48" s="283"/>
      <c r="O48" s="280"/>
      <c r="P48" s="68"/>
      <c r="Q48" s="68"/>
      <c r="R48" s="68"/>
      <c r="S48" s="68"/>
      <c r="T48" s="68"/>
    </row>
    <row r="49" hidden="1">
      <c r="A49" s="275"/>
      <c r="B49" s="276"/>
      <c r="C49" s="277"/>
      <c r="D49" s="278"/>
      <c r="E49" s="144"/>
      <c r="F49" s="373"/>
      <c r="G49" s="68"/>
      <c r="H49" s="279"/>
      <c r="I49" s="68"/>
      <c r="J49" s="282"/>
      <c r="K49" s="283"/>
      <c r="L49" s="283"/>
      <c r="M49" s="283"/>
      <c r="N49" s="283"/>
      <c r="O49" s="280"/>
      <c r="P49" s="68"/>
      <c r="Q49" s="68"/>
      <c r="R49" s="68"/>
      <c r="S49" s="68"/>
      <c r="T49" s="68"/>
    </row>
    <row r="50" hidden="1">
      <c r="A50" s="275"/>
      <c r="B50" s="276"/>
      <c r="C50" s="277"/>
      <c r="D50" s="278"/>
      <c r="E50" s="144"/>
      <c r="F50" s="373"/>
      <c r="G50" s="68"/>
      <c r="H50" s="279"/>
      <c r="I50" s="68"/>
      <c r="J50" s="282"/>
      <c r="K50" s="283"/>
      <c r="L50" s="283"/>
      <c r="M50" s="283"/>
      <c r="N50" s="283"/>
      <c r="O50" s="280"/>
      <c r="P50" s="68"/>
      <c r="Q50" s="68"/>
      <c r="R50" s="68"/>
      <c r="S50" s="68"/>
      <c r="T50" s="68"/>
    </row>
    <row r="51" hidden="1">
      <c r="A51" s="275"/>
      <c r="B51" s="276"/>
      <c r="C51" s="277"/>
      <c r="D51" s="278"/>
      <c r="E51" s="144"/>
      <c r="F51" s="373"/>
      <c r="G51" s="68"/>
      <c r="H51" s="279"/>
      <c r="I51" s="68"/>
      <c r="J51" s="282"/>
      <c r="K51" s="283"/>
      <c r="L51" s="283"/>
      <c r="M51" s="283"/>
      <c r="N51" s="283"/>
      <c r="O51" s="280"/>
      <c r="P51" s="68"/>
      <c r="Q51" s="68"/>
      <c r="R51" s="68"/>
      <c r="S51" s="68"/>
      <c r="T51" s="68"/>
    </row>
    <row r="52" hidden="1">
      <c r="A52" s="275"/>
      <c r="B52" s="276"/>
      <c r="C52" s="277"/>
      <c r="D52" s="278"/>
      <c r="E52" s="144"/>
      <c r="F52" s="373"/>
      <c r="G52" s="68"/>
      <c r="H52" s="279"/>
      <c r="I52" s="68"/>
      <c r="J52" s="282"/>
      <c r="K52" s="283"/>
      <c r="L52" s="283"/>
      <c r="M52" s="283"/>
      <c r="N52" s="283"/>
      <c r="O52" s="280"/>
      <c r="P52" s="68"/>
      <c r="Q52" s="68"/>
      <c r="R52" s="68"/>
      <c r="S52" s="68"/>
      <c r="T52" s="68"/>
    </row>
    <row r="53" hidden="1">
      <c r="A53" s="275"/>
      <c r="B53" s="276"/>
      <c r="C53" s="277"/>
      <c r="D53" s="278"/>
      <c r="E53" s="144"/>
      <c r="F53" s="374"/>
      <c r="G53" s="68"/>
      <c r="H53" s="279"/>
      <c r="I53" s="68"/>
      <c r="J53" s="282"/>
      <c r="K53" s="283"/>
      <c r="L53" s="283"/>
      <c r="M53" s="283"/>
      <c r="N53" s="283"/>
      <c r="O53" s="280"/>
      <c r="P53" s="68"/>
      <c r="Q53" s="68"/>
      <c r="R53" s="68"/>
      <c r="S53" s="68"/>
      <c r="T53" s="68"/>
    </row>
    <row r="54" hidden="1">
      <c r="A54" s="275"/>
      <c r="B54" s="276"/>
      <c r="C54" s="277"/>
      <c r="D54" s="278"/>
      <c r="E54" s="144"/>
      <c r="F54" s="373"/>
      <c r="G54" s="68"/>
      <c r="H54" s="279"/>
      <c r="I54" s="68"/>
      <c r="J54" s="282"/>
      <c r="K54" s="283"/>
      <c r="L54" s="283"/>
      <c r="M54" s="283"/>
      <c r="N54" s="283"/>
      <c r="O54" s="280"/>
      <c r="P54" s="68"/>
      <c r="Q54" s="68"/>
      <c r="R54" s="68"/>
      <c r="S54" s="68"/>
      <c r="T54" s="68"/>
    </row>
    <row r="55" hidden="1">
      <c r="A55" s="275"/>
      <c r="B55" s="276"/>
      <c r="C55" s="277"/>
      <c r="D55" s="278"/>
      <c r="E55" s="175"/>
      <c r="F55" s="375"/>
      <c r="G55" s="68"/>
      <c r="H55" s="279"/>
      <c r="I55" s="68"/>
      <c r="J55" s="282"/>
      <c r="K55" s="283"/>
      <c r="L55" s="283"/>
      <c r="M55" s="283"/>
      <c r="N55" s="283"/>
      <c r="O55" s="280"/>
      <c r="P55" s="68"/>
      <c r="Q55" s="68"/>
      <c r="R55" s="68"/>
      <c r="S55" s="68"/>
      <c r="T55" s="68"/>
    </row>
    <row r="56" hidden="1">
      <c r="A56" s="275"/>
      <c r="B56" s="276"/>
      <c r="C56" s="277"/>
      <c r="D56" s="278"/>
      <c r="E56" s="284"/>
      <c r="F56" s="293"/>
      <c r="G56" s="68"/>
      <c r="H56" s="279"/>
      <c r="I56" s="68"/>
      <c r="J56" s="282"/>
      <c r="K56" s="283"/>
      <c r="L56" s="283"/>
      <c r="M56" s="283"/>
      <c r="N56" s="283"/>
      <c r="O56" s="280"/>
      <c r="P56" s="68"/>
      <c r="Q56" s="68"/>
      <c r="R56" s="68"/>
      <c r="S56" s="68"/>
      <c r="T56" s="68"/>
    </row>
    <row r="57" hidden="1">
      <c r="A57" s="275"/>
      <c r="B57" s="276"/>
      <c r="C57" s="277"/>
      <c r="D57" s="278"/>
      <c r="E57" s="284"/>
      <c r="F57" s="293"/>
      <c r="G57" s="68"/>
      <c r="H57" s="279"/>
      <c r="I57" s="68"/>
      <c r="J57" s="282"/>
      <c r="K57" s="283"/>
      <c r="L57" s="283"/>
      <c r="M57" s="283"/>
      <c r="N57" s="283"/>
      <c r="O57" s="280"/>
      <c r="P57" s="68"/>
      <c r="Q57" s="68"/>
      <c r="R57" s="68"/>
      <c r="S57" s="68"/>
      <c r="T57" s="68"/>
    </row>
    <row r="58" hidden="1">
      <c r="A58" s="275"/>
      <c r="B58" s="276"/>
      <c r="C58" s="277"/>
      <c r="D58" s="278"/>
      <c r="E58" s="284"/>
      <c r="F58" s="293"/>
      <c r="G58" s="68"/>
      <c r="H58" s="279"/>
      <c r="I58" s="68"/>
      <c r="J58" s="282"/>
      <c r="K58" s="283"/>
      <c r="L58" s="283"/>
      <c r="M58" s="283"/>
      <c r="N58" s="283"/>
      <c r="O58" s="280"/>
      <c r="P58" s="68"/>
      <c r="Q58" s="68"/>
      <c r="R58" s="68"/>
      <c r="S58" s="68"/>
      <c r="T58" s="68"/>
    </row>
    <row r="59" hidden="1">
      <c r="A59" s="275"/>
      <c r="B59" s="276"/>
      <c r="C59" s="277"/>
      <c r="D59" s="278"/>
      <c r="E59" s="284"/>
      <c r="F59" s="293"/>
      <c r="G59" s="68"/>
      <c r="H59" s="279"/>
      <c r="I59" s="68"/>
      <c r="J59" s="282"/>
      <c r="K59" s="283"/>
      <c r="L59" s="283"/>
      <c r="M59" s="283"/>
      <c r="N59" s="283"/>
      <c r="O59" s="280"/>
      <c r="P59" s="68"/>
      <c r="Q59" s="68"/>
      <c r="R59" s="68"/>
      <c r="S59" s="68"/>
      <c r="T59" s="68"/>
    </row>
    <row r="60" hidden="1">
      <c r="A60" s="275"/>
      <c r="B60" s="276"/>
      <c r="C60" s="277"/>
      <c r="D60" s="278"/>
      <c r="E60" s="284"/>
      <c r="F60" s="293"/>
      <c r="G60" s="68"/>
      <c r="H60" s="279"/>
      <c r="I60" s="68"/>
      <c r="J60" s="282"/>
      <c r="K60" s="283"/>
      <c r="L60" s="283"/>
      <c r="M60" s="283"/>
      <c r="N60" s="283"/>
      <c r="O60" s="280"/>
      <c r="P60" s="68"/>
      <c r="Q60" s="68"/>
      <c r="R60" s="68"/>
      <c r="S60" s="68"/>
      <c r="T60" s="68"/>
    </row>
    <row r="61" hidden="1">
      <c r="A61" s="275"/>
      <c r="B61" s="276"/>
      <c r="C61" s="277"/>
      <c r="D61" s="278"/>
      <c r="E61" s="284"/>
      <c r="F61" s="293"/>
      <c r="G61" s="68"/>
      <c r="H61" s="279"/>
      <c r="I61" s="68"/>
      <c r="J61" s="282"/>
      <c r="K61" s="283"/>
      <c r="L61" s="283"/>
      <c r="M61" s="283"/>
      <c r="N61" s="283"/>
      <c r="O61" s="280"/>
      <c r="P61" s="68"/>
      <c r="Q61" s="68"/>
      <c r="R61" s="68"/>
      <c r="S61" s="68"/>
      <c r="T61" s="68"/>
    </row>
    <row r="62">
      <c r="A62" s="275"/>
      <c r="B62" s="276"/>
      <c r="C62" s="277"/>
      <c r="D62" s="278"/>
      <c r="E62" s="284"/>
      <c r="F62" s="293"/>
      <c r="G62" s="68"/>
      <c r="H62" s="279"/>
      <c r="I62" s="68"/>
      <c r="J62" s="282"/>
      <c r="K62" s="283"/>
      <c r="L62" s="283"/>
      <c r="M62" s="283"/>
      <c r="N62" s="283"/>
      <c r="O62" s="280"/>
      <c r="P62" s="68"/>
      <c r="Q62" s="68"/>
      <c r="R62" s="68"/>
      <c r="S62" s="68"/>
      <c r="T62" s="68"/>
    </row>
    <row r="63">
      <c r="A63" s="291" t="s">
        <v>153</v>
      </c>
      <c r="B63" s="376">
        <f>Count(C2:C61)</f>
        <v>40</v>
      </c>
      <c r="C63" s="68" t="s">
        <v>222</v>
      </c>
      <c r="D63" s="68"/>
      <c r="E63" s="284"/>
      <c r="F63" s="293"/>
      <c r="G63" s="68"/>
      <c r="H63" s="279"/>
      <c r="I63" s="68"/>
      <c r="J63" s="68"/>
      <c r="K63" s="283"/>
      <c r="L63" s="283"/>
      <c r="M63" s="283"/>
      <c r="N63" s="283"/>
      <c r="O63" s="68"/>
      <c r="P63" s="68"/>
      <c r="Q63" s="68"/>
      <c r="R63" s="68"/>
      <c r="S63" s="68"/>
      <c r="T63" s="68"/>
    </row>
    <row r="64">
      <c r="A64" s="294" t="s">
        <v>223</v>
      </c>
      <c r="E64" s="284"/>
      <c r="F64" s="293"/>
      <c r="H64" s="295"/>
      <c r="K64" s="283"/>
      <c r="L64" s="283"/>
      <c r="M64" s="283"/>
      <c r="N64" s="283"/>
    </row>
    <row r="65">
      <c r="A65" s="275"/>
      <c r="B65" s="68"/>
      <c r="C65" s="68"/>
      <c r="D65" s="68"/>
      <c r="E65" s="284"/>
      <c r="F65" s="293"/>
      <c r="G65" s="68"/>
      <c r="H65" s="279"/>
      <c r="I65" s="68"/>
      <c r="J65" s="68"/>
      <c r="K65" s="283"/>
      <c r="L65" s="283"/>
      <c r="M65" s="283"/>
      <c r="N65" s="283"/>
      <c r="O65" s="68"/>
      <c r="P65" s="68"/>
      <c r="Q65" s="68"/>
      <c r="R65" s="68"/>
      <c r="S65" s="68"/>
      <c r="T65" s="68"/>
    </row>
    <row r="66">
      <c r="A66" s="377" t="str">
        <f>HYPERLINK("https://phillipreeve.net/blog/sony-fe-lenses/fe-list/","If you have a question or want to report any mistake please leave a comment on the blog.")</f>
        <v>If you have a question or want to report any mistake please leave a comment on the blog.</v>
      </c>
      <c r="B66" s="297"/>
      <c r="C66" s="297"/>
      <c r="D66" s="297"/>
      <c r="E66" s="298"/>
      <c r="F66" s="299"/>
      <c r="G66" s="297"/>
      <c r="H66" s="300"/>
      <c r="I66" s="297"/>
      <c r="J66" s="297"/>
      <c r="K66" s="283"/>
      <c r="L66" s="283"/>
      <c r="M66" s="283"/>
      <c r="N66" s="283"/>
    </row>
    <row r="67">
      <c r="E67" s="284"/>
      <c r="F67" s="293"/>
      <c r="H67" s="295"/>
      <c r="K67" s="283"/>
      <c r="L67" s="283"/>
      <c r="M67" s="283"/>
      <c r="N67" s="283"/>
    </row>
    <row r="68">
      <c r="A68" s="275" t="s">
        <v>155</v>
      </c>
      <c r="E68" s="284"/>
      <c r="F68" s="293"/>
      <c r="H68" s="295"/>
      <c r="K68" s="283"/>
      <c r="L68" s="283"/>
      <c r="M68" s="283"/>
      <c r="N68" s="283"/>
    </row>
    <row r="69">
      <c r="A69" s="301" t="str">
        <f>HYPERLINK("https://phillipreeve.net/blog/fe-lenses-sony-comprehensive-independent-guide/","Our Guide to FE-mount lenses - If you need any help on finding the right lens.")</f>
        <v>Our Guide to FE-mount lenses - If you need any help on finding the right lens.</v>
      </c>
      <c r="E69" s="284"/>
      <c r="F69" s="293"/>
      <c r="H69" s="295"/>
      <c r="K69" s="283"/>
      <c r="L69" s="283"/>
      <c r="M69" s="283"/>
      <c r="N69" s="283"/>
    </row>
    <row r="70">
      <c r="A70" s="301" t="str">
        <f>HYPERLINK("https://phillipreeve.net/blog/9-golden-rules-to-buy-the-wrong-lens/","10 golden rules to buy the wrong lens.")</f>
        <v>10 golden rules to buy the wrong lens.</v>
      </c>
      <c r="E70" s="284"/>
      <c r="F70" s="293"/>
      <c r="H70" s="295"/>
      <c r="K70" s="283"/>
      <c r="L70" s="283"/>
      <c r="M70" s="283"/>
      <c r="N70" s="283"/>
    </row>
    <row r="71">
      <c r="A71" s="301" t="str">
        <f>HYPERLINK("https://phillipreeve.net/blog/user-guide-ultra-wideangle-lenses-sony-alpha-7-series/","Our Guide to Ultra-Wideangle lenses")</f>
        <v>Our Guide to Ultra-Wideangle lenses</v>
      </c>
      <c r="E71" s="284"/>
      <c r="F71" s="293"/>
      <c r="H71" s="295"/>
      <c r="K71" s="283"/>
      <c r="L71" s="283"/>
      <c r="M71" s="283"/>
      <c r="N71" s="283"/>
    </row>
    <row r="72">
      <c r="A72" s="301" t="str">
        <f>HYPERLINK("https://phillipreeve.net/blog/wideangle-lenses-for-the-sony-alpha-7-series/","Our Guide to Wideangle lenses")</f>
        <v>Our Guide to Wideangle lenses</v>
      </c>
      <c r="E72" s="284"/>
      <c r="F72" s="293"/>
      <c r="H72" s="295"/>
      <c r="K72" s="283"/>
      <c r="L72" s="283"/>
      <c r="M72" s="283"/>
      <c r="N72" s="283"/>
    </row>
    <row r="73">
      <c r="A73" s="301" t="str">
        <f>HYPERLINK("https://phillipreeve.net/blog/guide-to-macro-lenses-for-the-sony-a7-series/","Our Guide to Macro lenses")</f>
        <v>Our Guide to Macro lenses</v>
      </c>
      <c r="E73" s="284"/>
      <c r="F73" s="293"/>
      <c r="H73" s="295"/>
      <c r="K73" s="283"/>
      <c r="L73" s="283"/>
      <c r="M73" s="283"/>
      <c r="N73" s="283"/>
    </row>
    <row r="74">
      <c r="A74" s="301" t="str">
        <f>HYPERLINK("https://phillipreeve.net/blog/user-guide-to-portrait-lenses-sony-a7-series/","Our Guide to Portrait lenses")</f>
        <v>Our Guide to Portrait lenses</v>
      </c>
      <c r="E74" s="284"/>
      <c r="F74" s="293"/>
      <c r="H74" s="295"/>
      <c r="K74" s="283"/>
      <c r="L74" s="283"/>
      <c r="M74" s="283"/>
      <c r="N74" s="283"/>
    </row>
    <row r="75">
      <c r="A75" s="301" t="str">
        <f>HYPERLINK("https://phillipreeve.net/blog/building-a-lens-kit/","Building a lens kit")</f>
        <v>Building a lens kit</v>
      </c>
      <c r="E75" s="284"/>
      <c r="F75" s="293"/>
      <c r="H75" s="295"/>
      <c r="K75" s="283"/>
      <c r="L75" s="283"/>
      <c r="M75" s="283"/>
      <c r="N75" s="283"/>
    </row>
    <row r="76">
      <c r="A76" s="301" t="str">
        <f>HYPERLINK("https://phillipreeve.net/blog/affordable-manual-lenses-for-the-sony-alpha-77r7ii7rii-and-7s/","Guide to affordable lenses which cost less than $499")</f>
        <v>Guide to affordable lenses which cost less than $499</v>
      </c>
      <c r="H76" s="295"/>
      <c r="K76" s="283"/>
      <c r="L76" s="283"/>
      <c r="M76" s="283"/>
      <c r="N76" s="283"/>
    </row>
    <row r="77">
      <c r="A77" s="301" t="str">
        <f>HYPERLINK("https://phillipreeve.net/blog/affordable-manual-lenses-for-the-sony-alpha-77r7ii7rii-and-7s/","Guide to lenses that cost less than $99")</f>
        <v>Guide to lenses that cost less than $99</v>
      </c>
      <c r="H77" s="295"/>
      <c r="K77" s="283"/>
      <c r="L77" s="283"/>
      <c r="M77" s="283"/>
      <c r="N77" s="283"/>
    </row>
    <row r="78">
      <c r="A78" s="68"/>
      <c r="H78" s="295"/>
      <c r="K78" s="283"/>
      <c r="L78" s="283"/>
      <c r="M78" s="283"/>
      <c r="N78" s="283"/>
    </row>
    <row r="79">
      <c r="A79" s="275" t="s">
        <v>163</v>
      </c>
      <c r="H79" s="295"/>
      <c r="K79" s="283"/>
      <c r="L79" s="283"/>
      <c r="M79" s="283"/>
      <c r="N79" s="283"/>
    </row>
    <row r="80">
      <c r="A80" s="68" t="s">
        <v>224</v>
      </c>
      <c r="D80" s="302"/>
      <c r="H80" s="295"/>
      <c r="K80" s="283"/>
      <c r="L80" s="283"/>
      <c r="M80" s="283"/>
      <c r="N80" s="283"/>
    </row>
    <row r="81">
      <c r="A81" s="68" t="s">
        <v>164</v>
      </c>
      <c r="D81" s="302"/>
      <c r="H81" s="295"/>
      <c r="K81" s="283"/>
      <c r="L81" s="283"/>
      <c r="M81" s="283"/>
      <c r="N81" s="283"/>
    </row>
    <row r="82">
      <c r="H82" s="295"/>
      <c r="K82" s="283"/>
      <c r="L82" s="283"/>
      <c r="M82" s="283"/>
      <c r="N82" s="283"/>
    </row>
    <row r="83">
      <c r="H83" s="295"/>
      <c r="K83" s="283"/>
      <c r="L83" s="283"/>
      <c r="M83" s="283"/>
      <c r="N83" s="283"/>
    </row>
    <row r="84">
      <c r="H84" s="295"/>
      <c r="K84" s="283"/>
      <c r="L84" s="283"/>
      <c r="M84" s="283"/>
      <c r="N84" s="283"/>
    </row>
    <row r="85">
      <c r="H85" s="295"/>
      <c r="K85" s="283"/>
      <c r="L85" s="283"/>
      <c r="M85" s="283"/>
      <c r="N85" s="283"/>
    </row>
    <row r="86">
      <c r="H86" s="295"/>
      <c r="K86" s="283"/>
      <c r="L86" s="283"/>
      <c r="M86" s="283"/>
      <c r="N86" s="283"/>
    </row>
    <row r="87">
      <c r="H87" s="295"/>
      <c r="K87" s="283"/>
      <c r="L87" s="283"/>
      <c r="M87" s="283"/>
      <c r="N87" s="283"/>
    </row>
    <row r="88">
      <c r="H88" s="295"/>
      <c r="K88" s="283"/>
      <c r="L88" s="283"/>
      <c r="M88" s="283"/>
      <c r="N88" s="283"/>
    </row>
    <row r="89">
      <c r="A89" s="275"/>
      <c r="H89" s="295"/>
      <c r="K89" s="283"/>
      <c r="L89" s="283"/>
      <c r="M89" s="283"/>
      <c r="N89" s="283"/>
    </row>
    <row r="90">
      <c r="A90" s="275"/>
      <c r="H90" s="295"/>
      <c r="K90" s="283"/>
      <c r="L90" s="283"/>
      <c r="M90" s="283"/>
      <c r="N90" s="283"/>
    </row>
    <row r="91">
      <c r="A91" s="275"/>
      <c r="H91" s="295"/>
      <c r="K91" s="283"/>
      <c r="L91" s="283"/>
      <c r="M91" s="283"/>
      <c r="N91" s="283"/>
    </row>
    <row r="92">
      <c r="A92" s="275"/>
      <c r="H92" s="295"/>
      <c r="K92" s="283"/>
      <c r="L92" s="283"/>
      <c r="M92" s="283"/>
      <c r="N92" s="283"/>
    </row>
    <row r="93">
      <c r="A93" s="275"/>
      <c r="H93" s="295"/>
      <c r="K93" s="283"/>
      <c r="L93" s="283"/>
      <c r="M93" s="283"/>
      <c r="N93" s="283"/>
    </row>
    <row r="94">
      <c r="A94" s="275"/>
      <c r="H94" s="295"/>
      <c r="K94" s="283"/>
      <c r="L94" s="283"/>
      <c r="M94" s="283"/>
      <c r="N94" s="283"/>
    </row>
    <row r="95">
      <c r="A95" s="302"/>
      <c r="H95" s="295"/>
      <c r="K95" s="283"/>
      <c r="L95" s="283"/>
      <c r="M95" s="283"/>
      <c r="N95" s="283"/>
    </row>
    <row r="96">
      <c r="A96" s="275"/>
      <c r="H96" s="295"/>
      <c r="K96" s="283"/>
      <c r="L96" s="283"/>
      <c r="M96" s="283"/>
      <c r="N96" s="283"/>
    </row>
    <row r="97">
      <c r="A97" s="275"/>
      <c r="H97" s="295"/>
      <c r="K97" s="283"/>
      <c r="L97" s="283"/>
      <c r="M97" s="283"/>
      <c r="N97" s="283"/>
    </row>
    <row r="98">
      <c r="A98" s="302"/>
      <c r="H98" s="295"/>
      <c r="K98" s="283"/>
      <c r="L98" s="283"/>
      <c r="M98" s="283"/>
      <c r="N98" s="283"/>
    </row>
    <row r="99">
      <c r="A99" s="275"/>
      <c r="H99" s="295"/>
      <c r="K99" s="283"/>
      <c r="L99" s="283"/>
      <c r="M99" s="283"/>
      <c r="N99" s="283"/>
    </row>
    <row r="100">
      <c r="A100" s="275"/>
      <c r="H100" s="295"/>
      <c r="K100" s="283"/>
      <c r="L100" s="283"/>
      <c r="M100" s="283"/>
      <c r="N100" s="283"/>
    </row>
    <row r="101">
      <c r="A101" s="275"/>
      <c r="H101" s="295"/>
      <c r="K101" s="283"/>
      <c r="L101" s="283"/>
      <c r="M101" s="283"/>
      <c r="N101" s="283"/>
    </row>
    <row r="102">
      <c r="A102" s="275"/>
      <c r="H102" s="295"/>
      <c r="K102" s="283"/>
      <c r="L102" s="283"/>
      <c r="M102" s="283"/>
      <c r="N102" s="283"/>
    </row>
    <row r="103">
      <c r="A103" s="275"/>
      <c r="H103" s="295"/>
      <c r="K103" s="283"/>
      <c r="L103" s="283"/>
      <c r="M103" s="283"/>
      <c r="N103" s="283"/>
    </row>
    <row r="104">
      <c r="A104" s="275"/>
      <c r="H104" s="295"/>
      <c r="K104" s="283"/>
      <c r="L104" s="283"/>
      <c r="M104" s="283"/>
      <c r="N104" s="283"/>
    </row>
    <row r="105">
      <c r="A105" s="275"/>
      <c r="H105" s="295"/>
      <c r="K105" s="283"/>
      <c r="L105" s="283"/>
      <c r="M105" s="283"/>
      <c r="N105" s="283"/>
    </row>
    <row r="106">
      <c r="A106" s="275"/>
      <c r="H106" s="295"/>
      <c r="K106" s="283"/>
      <c r="L106" s="283"/>
      <c r="M106" s="283"/>
      <c r="N106" s="283"/>
    </row>
    <row r="107">
      <c r="A107" s="275"/>
      <c r="H107" s="295"/>
      <c r="K107" s="283"/>
      <c r="L107" s="283"/>
      <c r="M107" s="283"/>
      <c r="N107" s="283"/>
    </row>
    <row r="108">
      <c r="A108" s="302"/>
      <c r="H108" s="295"/>
      <c r="K108" s="283"/>
      <c r="L108" s="283"/>
      <c r="M108" s="283"/>
      <c r="N108" s="283"/>
    </row>
    <row r="109">
      <c r="A109" s="302"/>
      <c r="H109" s="295"/>
      <c r="K109" s="283"/>
      <c r="L109" s="283"/>
      <c r="M109" s="283"/>
      <c r="N109" s="283"/>
    </row>
    <row r="110">
      <c r="H110" s="295"/>
      <c r="K110" s="283"/>
      <c r="L110" s="283"/>
      <c r="M110" s="283"/>
      <c r="N110" s="283"/>
    </row>
    <row r="111">
      <c r="H111" s="295"/>
      <c r="K111" s="283"/>
      <c r="L111" s="283"/>
      <c r="M111" s="283"/>
      <c r="N111" s="283"/>
    </row>
    <row r="112">
      <c r="H112" s="295"/>
      <c r="K112" s="283"/>
      <c r="L112" s="283"/>
      <c r="M112" s="283"/>
      <c r="N112" s="283"/>
    </row>
    <row r="113">
      <c r="H113" s="295"/>
      <c r="K113" s="283"/>
      <c r="L113" s="283"/>
      <c r="M113" s="283"/>
      <c r="N113" s="283"/>
    </row>
    <row r="114">
      <c r="H114" s="295"/>
    </row>
    <row r="115">
      <c r="H115" s="295"/>
    </row>
    <row r="116">
      <c r="H116" s="295"/>
    </row>
    <row r="117">
      <c r="H117" s="295"/>
    </row>
    <row r="118">
      <c r="H118" s="295"/>
    </row>
    <row r="119">
      <c r="H119" s="295"/>
    </row>
    <row r="120">
      <c r="H120" s="295"/>
    </row>
    <row r="121">
      <c r="H121" s="295"/>
    </row>
    <row r="122">
      <c r="H122" s="295"/>
    </row>
    <row r="123">
      <c r="H123" s="295"/>
    </row>
    <row r="124">
      <c r="H124" s="295"/>
    </row>
    <row r="125">
      <c r="H125" s="295"/>
    </row>
    <row r="126">
      <c r="H126" s="295"/>
    </row>
    <row r="127">
      <c r="H127" s="295"/>
    </row>
    <row r="128">
      <c r="H128" s="295"/>
    </row>
    <row r="129">
      <c r="H129" s="295"/>
    </row>
    <row r="130">
      <c r="H130" s="295"/>
    </row>
    <row r="131">
      <c r="H131" s="295"/>
    </row>
    <row r="132">
      <c r="H132" s="295"/>
    </row>
    <row r="133">
      <c r="H133" s="295"/>
    </row>
    <row r="134">
      <c r="H134" s="295"/>
    </row>
    <row r="135">
      <c r="H135" s="295"/>
    </row>
    <row r="136">
      <c r="H136" s="295"/>
    </row>
    <row r="137">
      <c r="H137" s="295"/>
    </row>
    <row r="138">
      <c r="H138" s="295"/>
    </row>
    <row r="139">
      <c r="H139" s="295"/>
    </row>
    <row r="140">
      <c r="H140" s="295"/>
    </row>
    <row r="141">
      <c r="H141" s="295"/>
    </row>
    <row r="142">
      <c r="H142" s="295"/>
    </row>
    <row r="143">
      <c r="H143" s="295"/>
    </row>
    <row r="144">
      <c r="H144" s="295"/>
    </row>
    <row r="145">
      <c r="H145" s="295"/>
    </row>
    <row r="146">
      <c r="H146" s="295"/>
    </row>
    <row r="147">
      <c r="H147" s="295"/>
    </row>
    <row r="148">
      <c r="H148" s="295"/>
    </row>
    <row r="149">
      <c r="H149" s="295"/>
    </row>
    <row r="150">
      <c r="H150" s="295"/>
    </row>
    <row r="151">
      <c r="H151" s="295"/>
    </row>
    <row r="152">
      <c r="H152" s="295"/>
    </row>
    <row r="153">
      <c r="H153" s="295"/>
    </row>
    <row r="154">
      <c r="H154" s="295"/>
    </row>
    <row r="155">
      <c r="H155" s="295"/>
    </row>
    <row r="156">
      <c r="H156" s="295"/>
    </row>
    <row r="157">
      <c r="H157" s="295"/>
    </row>
    <row r="158">
      <c r="H158" s="295"/>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sheetData>
  <conditionalFormatting sqref="B1 B3:B1019">
    <cfRule type="cellIs" dxfId="0" priority="1" operator="between">
      <formula>50</formula>
      <formula>200</formula>
    </cfRule>
  </conditionalFormatting>
  <conditionalFormatting sqref="B1 B3:B1019">
    <cfRule type="cellIs" dxfId="1" priority="2" operator="between">
      <formula>201</formula>
      <formula>400</formula>
    </cfRule>
  </conditionalFormatting>
  <conditionalFormatting sqref="B3:B1014">
    <cfRule type="cellIs" dxfId="2" priority="3" operator="between">
      <formula>401</formula>
      <formula>650</formula>
    </cfRule>
  </conditionalFormatting>
  <conditionalFormatting sqref="B3:B1014">
    <cfRule type="cellIs" dxfId="3" priority="4" operator="between">
      <formula>651</formula>
      <formula>900</formula>
    </cfRule>
  </conditionalFormatting>
  <conditionalFormatting sqref="B3:B1014">
    <cfRule type="cellIs" dxfId="4" priority="5" operator="greaterThan">
      <formula>900</formula>
    </cfRule>
  </conditionalFormatting>
  <conditionalFormatting sqref="P3:P1014">
    <cfRule type="containsText" dxfId="5" priority="6" operator="containsText" text="yes">
      <formula>NOT(ISERROR(SEARCH(("yes"),(P3))))</formula>
    </cfRule>
  </conditionalFormatting>
  <conditionalFormatting sqref="F1:F27 F29:F1019">
    <cfRule type="colorScale" priority="7">
      <colorScale>
        <cfvo type="min"/>
        <cfvo type="formula" val="150"/>
        <color rgb="FFEAD1DC"/>
        <color rgb="FFA64D79"/>
      </colorScale>
    </cfRule>
  </conditionalFormatting>
  <conditionalFormatting sqref="D3:D42">
    <cfRule type="colorScale" priority="8">
      <colorScale>
        <cfvo type="formula" val="1.2"/>
        <cfvo type="formula" val="4"/>
        <color rgb="FF0B5394"/>
        <color rgb="FFFFFFFF"/>
      </colorScale>
    </cfRule>
  </conditionalFormatting>
  <conditionalFormatting sqref="E3:E27 E29:E42">
    <cfRule type="colorScale" priority="9">
      <colorScale>
        <cfvo type="formula" val="65"/>
        <cfvo type="formula" val="100"/>
        <color rgb="FFD9D2E9"/>
        <color rgb="FF674EA7"/>
      </colorScale>
    </cfRule>
  </conditionalFormatting>
  <conditionalFormatting sqref="D3:D42">
    <cfRule type="containsText" dxfId="6" priority="10" operator="containsText" text="1.2">
      <formula>NOT(ISERROR(SEARCH(("1.2"),(D3))))</formula>
    </cfRule>
  </conditionalFormatting>
  <conditionalFormatting sqref="D3:D42">
    <cfRule type="containsText" dxfId="8" priority="11" operator="containsText" text="1.4">
      <formula>NOT(ISERROR(SEARCH(("1.4"),(D3))))</formula>
    </cfRule>
  </conditionalFormatting>
  <conditionalFormatting sqref="D3:D61">
    <cfRule type="containsText" dxfId="9" priority="12" operator="containsText" text="1.8">
      <formula>NOT(ISERROR(SEARCH(("1.8"),(D3))))</formula>
    </cfRule>
  </conditionalFormatting>
  <conditionalFormatting sqref="C3:C42">
    <cfRule type="colorScale" priority="13">
      <colorScale>
        <cfvo type="formula" val="10"/>
        <cfvo type="formula" val="50"/>
        <cfvo type="formula" val="400"/>
        <color rgb="FFCFE2F3"/>
        <color rgb="FF709CE0"/>
        <color rgb="FF1155CC"/>
      </colorScale>
    </cfRule>
  </conditionalFormatting>
  <dataValidations>
    <dataValidation type="list" allowBlank="1" sqref="S3:S42">
      <formula1>"Sony,Voigtlander,Zeiss,Sigma,Samyang,Viltrox,Tokina,Tamron"</formula1>
    </dataValidation>
  </dataValidations>
  <hyperlinks>
    <hyperlink r:id="rId1" ref="K1"/>
    <hyperlink r:id="rId2" ref="M1"/>
    <hyperlink r:id="rId3" ref="N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6.86"/>
    <col customWidth="1" min="17" max="17" width="5.57"/>
    <col customWidth="1" min="18" max="18" width="6.14"/>
    <col customWidth="1" min="19" max="19" width="13.29"/>
    <col customWidth="1" min="20" max="20" width="7.43"/>
  </cols>
  <sheetData>
    <row r="1" ht="76.5" customHeight="1">
      <c r="A1" s="1" t="s">
        <v>0</v>
      </c>
      <c r="B1" s="2" t="s">
        <v>1</v>
      </c>
      <c r="C1" s="3" t="s">
        <v>2</v>
      </c>
      <c r="D1" s="4" t="s">
        <v>3</v>
      </c>
      <c r="E1" s="5" t="s">
        <v>4</v>
      </c>
      <c r="F1" s="6" t="s">
        <v>5</v>
      </c>
      <c r="G1" s="7" t="s">
        <v>6</v>
      </c>
      <c r="H1" s="8" t="s">
        <v>7</v>
      </c>
      <c r="I1" s="3" t="s">
        <v>8</v>
      </c>
      <c r="J1" s="11" t="s">
        <v>15</v>
      </c>
      <c r="K1" s="13" t="s">
        <v>17</v>
      </c>
      <c r="L1" s="14" t="s">
        <v>18</v>
      </c>
      <c r="M1" s="13" t="s">
        <v>19</v>
      </c>
      <c r="N1" s="15" t="s">
        <v>20</v>
      </c>
      <c r="O1" s="3" t="s">
        <v>9</v>
      </c>
      <c r="P1" s="5" t="s">
        <v>10</v>
      </c>
      <c r="Q1" s="3" t="s">
        <v>11</v>
      </c>
      <c r="R1" s="3" t="s">
        <v>12</v>
      </c>
      <c r="S1" s="3" t="s">
        <v>13</v>
      </c>
      <c r="T1" s="3" t="s">
        <v>14</v>
      </c>
      <c r="U1" s="16" t="s">
        <v>21</v>
      </c>
    </row>
    <row r="2" ht="18.0" hidden="1" customHeight="1">
      <c r="A2" s="17" t="s">
        <v>166</v>
      </c>
      <c r="B2" s="18"/>
      <c r="C2" s="18"/>
      <c r="D2" s="18"/>
      <c r="E2" s="18"/>
      <c r="F2" s="18"/>
      <c r="G2" s="19"/>
      <c r="H2" s="20"/>
      <c r="I2" s="18"/>
      <c r="J2" s="18"/>
      <c r="K2" s="18"/>
      <c r="L2" s="18"/>
      <c r="M2" s="18"/>
      <c r="N2" s="18"/>
      <c r="O2" s="18"/>
      <c r="P2" s="19"/>
      <c r="Q2" s="18"/>
      <c r="R2" s="19"/>
      <c r="S2" s="21"/>
      <c r="T2" s="19"/>
    </row>
    <row r="3">
      <c r="A3" s="22" t="str">
        <f>HYPERLINK("https://phillipreeve.net/blog/review-voigtlander-10mm-5-6-e-hyper-wide-heliar/","Voigtlander 10mm F5.6 Hyper Wide ")</f>
        <v>Voigtlander 10mm F5.6 Hyper Wide </v>
      </c>
      <c r="B3" s="23">
        <v>375.0</v>
      </c>
      <c r="C3" s="24">
        <v>10.0</v>
      </c>
      <c r="D3" s="25">
        <v>5.6</v>
      </c>
      <c r="E3" s="26">
        <v>67.0</v>
      </c>
      <c r="F3" s="27" t="s">
        <v>23</v>
      </c>
      <c r="G3" s="28" t="s">
        <v>24</v>
      </c>
      <c r="H3" s="29" t="s">
        <v>25</v>
      </c>
      <c r="I3" s="30">
        <v>0.067</v>
      </c>
      <c r="J3" s="31">
        <v>30.0</v>
      </c>
      <c r="K3" s="32" t="s">
        <v>26</v>
      </c>
      <c r="L3" s="30">
        <v>10.0</v>
      </c>
      <c r="M3" s="33" t="s">
        <v>27</v>
      </c>
      <c r="N3" s="30" t="s">
        <v>28</v>
      </c>
      <c r="O3" s="34">
        <v>42552.0</v>
      </c>
      <c r="P3" s="35">
        <v>1099.0</v>
      </c>
      <c r="Q3" s="35">
        <v>750.0</v>
      </c>
      <c r="R3" s="36" t="str">
        <f>HYPERLINK("https://amzn.to/2jJ8WxH","link*")</f>
        <v>link*</v>
      </c>
      <c r="S3" s="36" t="str">
        <f>HYPERLINK("https://www.bhphotovideo.com/c/product/1219550-REG/voigtlander_ba334b_heliar_hyper_wide_10mm_f_5_6.html/BI/19619/KBID/12129/DFF/d10-v21-t1-x732282/SID/EZ","link*")</f>
        <v>link*</v>
      </c>
      <c r="T3" s="36" t="str">
        <f>HYPERLINK("https://amzn.to/2jG72hr","link*")</f>
        <v>link*</v>
      </c>
      <c r="U3" s="36"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V3" s="37" t="s">
        <v>225</v>
      </c>
    </row>
    <row r="4" hidden="1">
      <c r="A4" s="75" t="s">
        <v>29</v>
      </c>
      <c r="B4" s="76">
        <v>565.0</v>
      </c>
      <c r="C4" s="77">
        <v>12.0</v>
      </c>
      <c r="D4" s="78">
        <v>4.0</v>
      </c>
      <c r="E4" s="79">
        <v>87.0</v>
      </c>
      <c r="F4" s="122">
        <v>117.0</v>
      </c>
      <c r="G4" s="84" t="s">
        <v>30</v>
      </c>
      <c r="H4" s="82" t="s">
        <v>25</v>
      </c>
      <c r="I4" s="81">
        <v>0.14</v>
      </c>
      <c r="J4" s="87">
        <v>1699.0</v>
      </c>
      <c r="K4" s="88" t="str">
        <f>HYPERLINK("https://amzn.to/2SSzKc4","link*")</f>
        <v>link*</v>
      </c>
      <c r="L4" s="88" t="str">
        <f>HYPERLINK("https://www.bhphotovideo.com/c/product/1338517-REG/sony_sel1224g_fe_12_24mm_f_4_g.html/BI/19619/KBID/12129/DFF/d10-v21-t1-x822838/SID/EZ","link*")</f>
        <v>link*</v>
      </c>
      <c r="M4" s="88" t="str">
        <f>HYPERLINK("https://amzn.to/2Kg94zb","link*")</f>
        <v>link*</v>
      </c>
      <c r="N4"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4" s="83">
        <v>24.0</v>
      </c>
      <c r="P4" s="84" t="s">
        <v>26</v>
      </c>
      <c r="Q4" s="81">
        <v>7.0</v>
      </c>
      <c r="R4" s="378" t="s">
        <v>31</v>
      </c>
      <c r="S4" s="81" t="s">
        <v>32</v>
      </c>
      <c r="T4" s="86">
        <v>42856.0</v>
      </c>
    </row>
    <row r="5" hidden="1">
      <c r="A5" s="38" t="s">
        <v>29</v>
      </c>
      <c r="B5" s="39">
        <v>565.0</v>
      </c>
      <c r="C5" s="40">
        <v>12.0</v>
      </c>
      <c r="D5" s="41">
        <v>4.0</v>
      </c>
      <c r="E5" s="42">
        <v>87.0</v>
      </c>
      <c r="F5" s="43">
        <v>117.0</v>
      </c>
      <c r="G5" s="44" t="s">
        <v>30</v>
      </c>
      <c r="H5" s="45" t="s">
        <v>25</v>
      </c>
      <c r="I5" s="46">
        <v>0.14</v>
      </c>
      <c r="J5" s="47">
        <v>24.0</v>
      </c>
      <c r="K5" s="44" t="s">
        <v>26</v>
      </c>
      <c r="L5" s="46">
        <v>7.0</v>
      </c>
      <c r="M5" s="48" t="s">
        <v>31</v>
      </c>
      <c r="N5" s="46" t="s">
        <v>32</v>
      </c>
      <c r="O5" s="49">
        <v>42856.0</v>
      </c>
      <c r="P5" s="50">
        <v>1699.0</v>
      </c>
      <c r="Q5" s="50">
        <v>1250.0</v>
      </c>
      <c r="R5" s="51" t="str">
        <f>HYPERLINK("https://amzn.to/2SSzKc4","link*")</f>
        <v>link*</v>
      </c>
      <c r="S5" s="51" t="str">
        <f>HYPERLINK("https://www.bhphotovideo.com/c/product/1338517-REG/sony_sel1224g_fe_12_24mm_f_4_g.html/BI/19619/KBID/12129/DFF/d10-v21-t1-x822838/SID/EZ","link*")</f>
        <v>link*</v>
      </c>
      <c r="T5" s="51" t="str">
        <f>HYPERLINK("https://amzn.to/2Kg94zb","link*")</f>
        <v>link*</v>
      </c>
      <c r="U5" s="51"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row>
    <row r="6" hidden="1">
      <c r="A6" s="75" t="s">
        <v>40</v>
      </c>
      <c r="B6" s="76">
        <v>1170.0</v>
      </c>
      <c r="C6" s="77">
        <v>14.0</v>
      </c>
      <c r="D6" s="121">
        <v>1.8</v>
      </c>
      <c r="E6" s="343">
        <v>95.0</v>
      </c>
      <c r="F6" s="80">
        <v>126.0</v>
      </c>
      <c r="G6" s="81" t="s">
        <v>30</v>
      </c>
      <c r="H6" s="82" t="s">
        <v>25</v>
      </c>
      <c r="I6" s="81">
        <v>0.1</v>
      </c>
      <c r="J6" s="87">
        <v>1599.0</v>
      </c>
      <c r="K6" s="88" t="str">
        <f>HYPERLINK("https://amzn.to/2SOWTvV","link*")</f>
        <v>link*</v>
      </c>
      <c r="L6" s="88" t="str">
        <f>HYPERLINK("https://www.bhphotovideo.com/c/product/1393489-REG/sigma_14mm_f_1_8_dg_hsm.html/BI/19619/KBID/12129/DFF/d10-v21-t1-x881154/SID/EZ","link*")</f>
        <v>link*</v>
      </c>
      <c r="M6" s="88" t="str">
        <f>HYPERLINK("https://amzn.to/2ZDl4QJ","link*")</f>
        <v>link*</v>
      </c>
      <c r="N6" s="88"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6" s="83">
        <v>27.0</v>
      </c>
      <c r="P6" s="84" t="s">
        <v>26</v>
      </c>
      <c r="Q6" s="81">
        <v>9.0</v>
      </c>
      <c r="R6" s="123">
        <v>43785.0</v>
      </c>
      <c r="S6" s="81" t="s">
        <v>41</v>
      </c>
      <c r="T6" s="86">
        <v>43221.0</v>
      </c>
      <c r="U6" s="68" t="s">
        <v>42</v>
      </c>
    </row>
    <row r="7" hidden="1">
      <c r="A7" s="75" t="s">
        <v>43</v>
      </c>
      <c r="B7" s="76">
        <v>795.0</v>
      </c>
      <c r="C7" s="77">
        <v>14.0</v>
      </c>
      <c r="D7" s="78">
        <v>2.8</v>
      </c>
      <c r="E7" s="79">
        <v>85.0</v>
      </c>
      <c r="F7" s="80">
        <v>131.0</v>
      </c>
      <c r="G7" s="81" t="s">
        <v>30</v>
      </c>
      <c r="H7" s="82" t="s">
        <v>25</v>
      </c>
      <c r="I7" s="81">
        <v>0.14</v>
      </c>
      <c r="J7" s="87">
        <v>1399.0</v>
      </c>
      <c r="K7" s="88" t="str">
        <f>HYPERLINK("https://amzn.to/2zt8rMC","link*")</f>
        <v>link*</v>
      </c>
      <c r="L7" s="88" t="str">
        <f>HYPERLINK("https://www.bhphotovideo.com/c/product/1492972-REG/sigma_213965_14_24mm_f_2_8_dg_dn.html/BI/19619/KBID/12129/DFF/d10-v21-t1-x976041/SID/EZ","link*")</f>
        <v>link*</v>
      </c>
      <c r="M7" s="89" t="s">
        <v>33</v>
      </c>
      <c r="N7"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7" s="83">
        <v>28.0</v>
      </c>
      <c r="P7" s="84" t="s">
        <v>26</v>
      </c>
      <c r="Q7" s="81">
        <v>11.0</v>
      </c>
      <c r="R7" s="85" t="s">
        <v>44</v>
      </c>
      <c r="S7" s="81" t="s">
        <v>41</v>
      </c>
      <c r="T7" s="86">
        <v>43739.0</v>
      </c>
      <c r="U7" s="68" t="s">
        <v>37</v>
      </c>
    </row>
    <row r="8" hidden="1">
      <c r="A8" s="75" t="s">
        <v>45</v>
      </c>
      <c r="B8" s="76">
        <v>505.0</v>
      </c>
      <c r="C8" s="77">
        <v>14.0</v>
      </c>
      <c r="D8" s="78">
        <v>2.8</v>
      </c>
      <c r="E8" s="79">
        <v>86.0</v>
      </c>
      <c r="F8" s="122">
        <v>98.0</v>
      </c>
      <c r="G8" s="81" t="s">
        <v>30</v>
      </c>
      <c r="H8" s="82" t="s">
        <v>25</v>
      </c>
      <c r="I8" s="81">
        <v>0.12</v>
      </c>
      <c r="J8" s="87">
        <v>799.0</v>
      </c>
      <c r="K8" s="88" t="str">
        <f>HYPERLINK("https://amzn.to/2SX2HUi","link*")</f>
        <v>link*</v>
      </c>
      <c r="L8" s="88" t="str">
        <f>HYPERLINK("https://www.bhphotovideo.com/c/product/1352863-REG/samyang_syio14af_e_14mm_f_2_8_f_f_wide.html/BI/19619/KBID/12129/DFF/d10-v21-t1-x837928/SID/EZ","link*")</f>
        <v>link*</v>
      </c>
      <c r="M8" s="88" t="str">
        <f>HYPERLINK("https://amzn.to/31hwSIL","link*")</f>
        <v>link*</v>
      </c>
      <c r="N8"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8" s="83">
        <v>20.0</v>
      </c>
      <c r="P8" s="84" t="s">
        <v>26</v>
      </c>
      <c r="Q8" s="81">
        <v>7.0</v>
      </c>
      <c r="R8" s="123">
        <v>43752.0</v>
      </c>
      <c r="S8" s="81" t="s">
        <v>46</v>
      </c>
      <c r="T8" s="86">
        <v>43221.0</v>
      </c>
    </row>
    <row r="9">
      <c r="A9" s="22" t="str">
        <f>HYPERLINK("https://phillipreeve.net/blog/review-voigtlander-12mm-5-6-aspherical-ultra-wide-heliar/","Voigtlander 12mm F5.6 Ultra Wide-Heliar Aspherical")</f>
        <v>Voigtlander 12mm F5.6 Ultra Wide-Heliar Aspherical</v>
      </c>
      <c r="B9" s="23">
        <v>350.0</v>
      </c>
      <c r="C9" s="24">
        <v>12.0</v>
      </c>
      <c r="D9" s="25">
        <v>5.6</v>
      </c>
      <c r="E9" s="69">
        <v>67.0</v>
      </c>
      <c r="F9" s="27">
        <v>68.0</v>
      </c>
      <c r="G9" s="32" t="s">
        <v>24</v>
      </c>
      <c r="H9" s="29" t="s">
        <v>25</v>
      </c>
      <c r="I9" s="30"/>
      <c r="J9" s="31">
        <v>30.0</v>
      </c>
      <c r="K9" s="32" t="s">
        <v>26</v>
      </c>
      <c r="L9" s="30">
        <v>10.0</v>
      </c>
      <c r="M9" s="33" t="s">
        <v>38</v>
      </c>
      <c r="N9" s="30" t="s">
        <v>28</v>
      </c>
      <c r="O9" s="34">
        <v>42583.0</v>
      </c>
      <c r="P9" s="35">
        <v>749.0</v>
      </c>
      <c r="Q9" s="35" t="s">
        <v>36</v>
      </c>
      <c r="R9" s="70"/>
      <c r="S9" s="70"/>
      <c r="T9" s="70"/>
      <c r="U9" s="36"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V9" s="37" t="s">
        <v>39</v>
      </c>
    </row>
    <row r="10" hidden="1">
      <c r="A10" s="131" t="str">
        <f>HYPERLINK("https://phillipreeve.net/blog/sony-fe-16-35mm-f4-za-t-review/","Sony ZA 4/16-35 OSS ")</f>
        <v>Sony ZA 4/16-35 OSS </v>
      </c>
      <c r="B10" s="76">
        <v>523.0</v>
      </c>
      <c r="C10" s="77">
        <v>16.0</v>
      </c>
      <c r="D10" s="78">
        <v>4.0</v>
      </c>
      <c r="E10" s="79">
        <v>78.0</v>
      </c>
      <c r="F10" s="122">
        <v>98.0</v>
      </c>
      <c r="G10" s="84" t="s">
        <v>30</v>
      </c>
      <c r="H10" s="82" t="s">
        <v>48</v>
      </c>
      <c r="I10" s="81">
        <v>0.19</v>
      </c>
      <c r="J10" s="87">
        <v>1349.0</v>
      </c>
      <c r="K10" s="88" t="str">
        <f>HYPERLINK("http://amzn.to/2v2sY7q","link*")</f>
        <v>link*</v>
      </c>
      <c r="L10" s="88" t="str">
        <f>HYPERLINK("https://www.bhphotovideo.com/c/product/1380866-REG/sony_16_35mm_f_4_vario_tsr.html/BI/19619/KBID/12129/kw/SO16354F/DFF/d10-v2-t1-xSO16354F","link*")</f>
        <v>link*</v>
      </c>
      <c r="M10" s="88" t="str">
        <f>HYPERLINK("http://amzn.to/2wyMLuP","link*")</f>
        <v>link*</v>
      </c>
      <c r="N10"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10" s="83">
        <v>28.0</v>
      </c>
      <c r="P10" s="154" t="s">
        <v>49</v>
      </c>
      <c r="Q10" s="81">
        <v>7.0</v>
      </c>
      <c r="R10" s="128" t="s">
        <v>38</v>
      </c>
      <c r="S10" s="81" t="s">
        <v>32</v>
      </c>
      <c r="T10" s="86">
        <v>41883.0</v>
      </c>
    </row>
    <row r="11" hidden="1">
      <c r="A11" s="75" t="s">
        <v>50</v>
      </c>
      <c r="B11" s="76">
        <v>680.0</v>
      </c>
      <c r="C11" s="77">
        <v>16.0</v>
      </c>
      <c r="D11" s="78">
        <v>2.8</v>
      </c>
      <c r="E11" s="79">
        <v>89.0</v>
      </c>
      <c r="F11" s="122">
        <v>122.0</v>
      </c>
      <c r="G11" s="84" t="s">
        <v>30</v>
      </c>
      <c r="H11" s="82" t="s">
        <v>51</v>
      </c>
      <c r="I11" s="81">
        <v>0.19</v>
      </c>
      <c r="J11" s="87">
        <v>2199.0</v>
      </c>
      <c r="K11" s="88" t="str">
        <f>HYPERLINK("https://amzn.to/2SR0IRl","link*")</f>
        <v>link*</v>
      </c>
      <c r="L11" s="88" t="str">
        <f>HYPERLINK("https://www.bhphotovideo.com/c/product/1338516-REG/sony_sel1635gm_fe_16_35mm_f_2_8_gm.html/BI/19619/KBID/12129/DFF/d10-v21-t1-x822837/SID/EZ","link*")</f>
        <v>link*</v>
      </c>
      <c r="M11" s="88" t="str">
        <f>HYPERLINK("https://amzn.to/2T1ZxOU","link*")</f>
        <v>link*</v>
      </c>
      <c r="N11"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11" s="83">
        <v>28.0</v>
      </c>
      <c r="P11" s="84" t="s">
        <v>26</v>
      </c>
      <c r="Q11" s="81">
        <v>11.0</v>
      </c>
      <c r="R11" s="128" t="s">
        <v>52</v>
      </c>
      <c r="S11" s="81" t="s">
        <v>32</v>
      </c>
      <c r="T11" s="86">
        <v>42856.0</v>
      </c>
    </row>
    <row r="12" hidden="1">
      <c r="A12" s="131" t="str">
        <f>HYPERLINK("https://phillipreeve.net/blog/review-tamron-17-28mm-f-2-8-di-iii-rxd/","Tamron 17-28mm f/2.8 Di III RXD")</f>
        <v>Tamron 17-28mm f/2.8 Di III RXD</v>
      </c>
      <c r="B12" s="76">
        <v>420.0</v>
      </c>
      <c r="C12" s="77">
        <v>17.0</v>
      </c>
      <c r="D12" s="78">
        <v>2.8</v>
      </c>
      <c r="E12" s="379">
        <v>73.0</v>
      </c>
      <c r="F12" s="122">
        <v>99.0</v>
      </c>
      <c r="G12" s="84" t="s">
        <v>30</v>
      </c>
      <c r="H12" s="82" t="s">
        <v>53</v>
      </c>
      <c r="I12" s="81">
        <v>0.19</v>
      </c>
      <c r="J12" s="153">
        <v>899.0</v>
      </c>
      <c r="K12" s="88" t="str">
        <f>HYPERLINK("https://amzn.to/2Hv3AyB","link*")</f>
        <v>link*</v>
      </c>
      <c r="L12" s="88" t="str">
        <f>HYPERLINK("https://www.bhphotovideo.com/c/product/1461529-REG/tamron_a046_17_28mm_f_2_8_di_iii.html/BI/19619/KBID/12129/DFF/d10-v21-t1-x946694/SID/EZ","link*")</f>
        <v>link*</v>
      </c>
      <c r="M12" s="88" t="str">
        <f>HYPERLINK("https://amzn.to/2YkrkQB","link*")</f>
        <v>link*</v>
      </c>
      <c r="N12"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12" s="83">
        <v>19.0</v>
      </c>
      <c r="P12" s="84" t="s">
        <v>26</v>
      </c>
      <c r="Q12" s="81">
        <v>9.0</v>
      </c>
      <c r="R12" s="128" t="s">
        <v>54</v>
      </c>
      <c r="S12" s="81" t="s">
        <v>55</v>
      </c>
      <c r="T12" s="86">
        <v>43647.0</v>
      </c>
      <c r="V12" s="116"/>
    </row>
    <row r="13" hidden="1">
      <c r="A13" s="131" t="str">
        <f>HYPERLINK("https://phillipreeve.net/blog/review-zeiss-batis-18mm-2-8/","Zeiss Batis 2.8/18")</f>
        <v>Zeiss Batis 2.8/18</v>
      </c>
      <c r="B13" s="76">
        <v>330.0</v>
      </c>
      <c r="C13" s="77">
        <v>18.0</v>
      </c>
      <c r="D13" s="78">
        <v>2.8</v>
      </c>
      <c r="E13" s="79">
        <v>100.0</v>
      </c>
      <c r="F13" s="122">
        <v>80.0</v>
      </c>
      <c r="G13" s="84" t="s">
        <v>30</v>
      </c>
      <c r="H13" s="82" t="s">
        <v>56</v>
      </c>
      <c r="I13" s="81">
        <v>0.1</v>
      </c>
      <c r="J13" s="87">
        <v>1499.0</v>
      </c>
      <c r="K13" s="88" t="str">
        <f>HYPERLINK("https://amzn.to/2SRFBhL","link*")</f>
        <v>link*</v>
      </c>
      <c r="L13" s="88" t="str">
        <f>HYPERLINK("https://www.bhphotovideo.com/c/product/1243591-REG/zeiss_2136_691_batis_18mm_f_2_8_lens.html/BI/19619/KBID/12129/DFF/d10-v21-t1-x727488/SID/EZ","link*")</f>
        <v>link*</v>
      </c>
      <c r="M13" s="88" t="str">
        <f>HYPERLINK("https://amzn.to/334PqNT","link*")</f>
        <v>link*</v>
      </c>
      <c r="N13"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13" s="83">
        <v>25.0</v>
      </c>
      <c r="P13" s="84" t="s">
        <v>26</v>
      </c>
      <c r="Q13" s="81">
        <v>9.0</v>
      </c>
      <c r="R13" s="128" t="s">
        <v>57</v>
      </c>
      <c r="S13" s="81" t="s">
        <v>58</v>
      </c>
      <c r="T13" s="86">
        <v>42491.0</v>
      </c>
    </row>
    <row r="14" hidden="1">
      <c r="A14" s="124" t="s">
        <v>59</v>
      </c>
      <c r="B14" s="76">
        <v>145.0</v>
      </c>
      <c r="C14" s="77">
        <v>18.0</v>
      </c>
      <c r="D14" s="78">
        <v>2.8</v>
      </c>
      <c r="E14" s="79">
        <v>63.5</v>
      </c>
      <c r="F14" s="122">
        <v>60.5</v>
      </c>
      <c r="G14" s="84" t="s">
        <v>30</v>
      </c>
      <c r="H14" s="82" t="s">
        <v>47</v>
      </c>
      <c r="I14" s="81">
        <v>0.09</v>
      </c>
      <c r="J14" s="87">
        <v>399.0</v>
      </c>
      <c r="K14" s="130"/>
      <c r="L14" s="88" t="str">
        <f>HYPERLINK("https://www.bhphotovideo.com/c/product/1503295-REG/samyang_syio18af_e_af_18mm_f_2_8_fe.html/BI/19619/KBID/12129/DFF/d10-v21-t1-x985623/SID/EZ","link*")</f>
        <v>link*</v>
      </c>
      <c r="M14" s="130"/>
      <c r="N14" s="130"/>
      <c r="O14" s="83">
        <v>25.0</v>
      </c>
      <c r="P14" s="84" t="s">
        <v>26</v>
      </c>
      <c r="Q14" s="81">
        <v>7.0</v>
      </c>
      <c r="R14" s="128" t="s">
        <v>60</v>
      </c>
      <c r="S14" s="81" t="s">
        <v>46</v>
      </c>
      <c r="T14" s="86">
        <v>43723.0</v>
      </c>
    </row>
    <row r="15" hidden="1" customHeight="1">
      <c r="A15" s="75" t="s">
        <v>61</v>
      </c>
      <c r="B15" s="76">
        <v>950.0</v>
      </c>
      <c r="C15" s="77">
        <v>20.0</v>
      </c>
      <c r="D15" s="380">
        <v>1.4</v>
      </c>
      <c r="E15" s="79">
        <v>91.0</v>
      </c>
      <c r="F15" s="122">
        <v>130.0</v>
      </c>
      <c r="G15" s="81" t="s">
        <v>30</v>
      </c>
      <c r="H15" s="82" t="s">
        <v>25</v>
      </c>
      <c r="I15" s="81">
        <v>0.14</v>
      </c>
      <c r="J15" s="87">
        <v>899.0</v>
      </c>
      <c r="K15" s="88" t="str">
        <f>HYPERLINK("https://amzn.to/2K4J7nh","link*")</f>
        <v>link*</v>
      </c>
      <c r="L15" s="88" t="str">
        <f>HYPERLINK("https://amzn.to/31hxv55","link*")</f>
        <v>link*</v>
      </c>
      <c r="M15" s="88" t="str">
        <f>HYPERLINK("https://amzn.to/2Wy0d3F","link*")</f>
        <v>link*</v>
      </c>
      <c r="N15" s="88"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15" s="83">
        <v>28.0</v>
      </c>
      <c r="P15" s="84" t="s">
        <v>26</v>
      </c>
      <c r="Q15" s="81">
        <v>9.0</v>
      </c>
      <c r="R15" s="123">
        <v>43784.0</v>
      </c>
      <c r="S15" s="81" t="s">
        <v>41</v>
      </c>
      <c r="T15" s="86">
        <v>43221.0</v>
      </c>
      <c r="U15" s="68" t="s">
        <v>42</v>
      </c>
    </row>
    <row r="16" hidden="1">
      <c r="A16" s="38" t="s">
        <v>40</v>
      </c>
      <c r="B16" s="39">
        <v>1220.0</v>
      </c>
      <c r="C16" s="40">
        <v>14.0</v>
      </c>
      <c r="D16" s="71">
        <v>1.8</v>
      </c>
      <c r="E16" s="72">
        <v>95.0</v>
      </c>
      <c r="F16" s="73">
        <v>152.0</v>
      </c>
      <c r="G16" s="46" t="s">
        <v>30</v>
      </c>
      <c r="H16" s="45" t="s">
        <v>25</v>
      </c>
      <c r="I16" s="46">
        <v>0.1</v>
      </c>
      <c r="J16" s="47">
        <v>27.0</v>
      </c>
      <c r="K16" s="44" t="s">
        <v>26</v>
      </c>
      <c r="L16" s="46">
        <v>9.0</v>
      </c>
      <c r="M16" s="74">
        <v>43785.0</v>
      </c>
      <c r="N16" s="46" t="s">
        <v>41</v>
      </c>
      <c r="O16" s="49">
        <v>43221.0</v>
      </c>
      <c r="P16" s="50">
        <v>1599.0</v>
      </c>
      <c r="Q16" s="50">
        <v>1100.0</v>
      </c>
      <c r="R16" s="51" t="str">
        <f>HYPERLINK("https://amzn.to/2SOWTvV","link*")</f>
        <v>link*</v>
      </c>
      <c r="S16" s="51" t="str">
        <f>HYPERLINK("https://www.bhphotovideo.com/c/product/1393489-REG/sigma_14mm_f_1_8_dg_hsm.html/BI/19619/KBID/12129/DFF/d10-v21-t1-x881154/SID/EZ","link*")</f>
        <v>link*</v>
      </c>
      <c r="T16" s="51" t="str">
        <f>HYPERLINK("https://amzn.to/2ZDl4QJ","link*")</f>
        <v>link*</v>
      </c>
      <c r="U16" s="51"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V16" s="68" t="s">
        <v>42</v>
      </c>
    </row>
    <row r="17" hidden="1">
      <c r="A17" s="75" t="s">
        <v>43</v>
      </c>
      <c r="B17" s="76">
        <v>795.0</v>
      </c>
      <c r="C17" s="77">
        <v>14.0</v>
      </c>
      <c r="D17" s="78">
        <v>2.8</v>
      </c>
      <c r="E17" s="79">
        <v>85.0</v>
      </c>
      <c r="F17" s="80">
        <v>131.0</v>
      </c>
      <c r="G17" s="81" t="s">
        <v>30</v>
      </c>
      <c r="H17" s="82" t="s">
        <v>25</v>
      </c>
      <c r="I17" s="81">
        <v>0.14</v>
      </c>
      <c r="J17" s="83">
        <v>28.0</v>
      </c>
      <c r="K17" s="84" t="s">
        <v>26</v>
      </c>
      <c r="L17" s="81">
        <v>11.0</v>
      </c>
      <c r="M17" s="85" t="s">
        <v>44</v>
      </c>
      <c r="N17" s="81" t="s">
        <v>41</v>
      </c>
      <c r="O17" s="86">
        <v>43693.0</v>
      </c>
      <c r="P17" s="87">
        <v>1399.0</v>
      </c>
      <c r="Q17" s="87" t="s">
        <v>36</v>
      </c>
      <c r="R17" s="88" t="str">
        <f>HYPERLINK("https://amzn.to/2zt8rMC","link*")</f>
        <v>link*</v>
      </c>
      <c r="S17" s="88" t="str">
        <f>HYPERLINK("https://www.bhphotovideo.com/c/product/1492972-REG/sigma_213965_14_24mm_f_2_8_dg_dn.html/BI/19619/KBID/12129/DFF/d10-v21-t1-x976041/SID/EZ","link*")</f>
        <v>link*</v>
      </c>
      <c r="T17" s="89" t="s">
        <v>33</v>
      </c>
      <c r="U17"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V17" s="68" t="s">
        <v>37</v>
      </c>
    </row>
    <row r="18" hidden="1">
      <c r="A18" s="75" t="s">
        <v>68</v>
      </c>
      <c r="B18" s="76">
        <v>464.0</v>
      </c>
      <c r="C18" s="77">
        <v>20.0</v>
      </c>
      <c r="D18" s="125">
        <v>2.0</v>
      </c>
      <c r="E18" s="381">
        <v>73.0</v>
      </c>
      <c r="F18" s="151">
        <v>82.0</v>
      </c>
      <c r="G18" s="84" t="s">
        <v>30</v>
      </c>
      <c r="H18" s="82" t="s">
        <v>66</v>
      </c>
      <c r="I18" s="81">
        <v>0.1</v>
      </c>
      <c r="J18" s="87">
        <v>949.0</v>
      </c>
      <c r="K18" s="88" t="str">
        <f>HYPERLINK("https://amzn.to/2GDurZb","link*")</f>
        <v>link*</v>
      </c>
      <c r="L18" s="88" t="str">
        <f>HYPERLINK("https://www.bhphotovideo.com/c/product/1393327-REG/tokina_firin_20mm_f_2_fe.html/BI/19619/KBID/12129/DFF/d10-v21-t1-x880327/SID/EZ","link*")</f>
        <v>link*</v>
      </c>
      <c r="M18" s="88" t="str">
        <f>HYPERLINK("https://amzn.to/2GJYCxw","link*")</f>
        <v>link*</v>
      </c>
      <c r="N18"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18" s="83">
        <v>30.0</v>
      </c>
      <c r="P18" s="84" t="s">
        <v>26</v>
      </c>
      <c r="Q18" s="81">
        <v>9.0</v>
      </c>
      <c r="R18" s="128" t="s">
        <v>54</v>
      </c>
      <c r="S18" s="81" t="s">
        <v>67</v>
      </c>
      <c r="T18" s="86">
        <v>43221.0</v>
      </c>
    </row>
    <row r="19" hidden="1">
      <c r="A19" s="90" t="s">
        <v>45</v>
      </c>
      <c r="B19" s="23">
        <v>505.0</v>
      </c>
      <c r="C19" s="24">
        <v>14.0</v>
      </c>
      <c r="D19" s="25">
        <v>2.8</v>
      </c>
      <c r="E19" s="91">
        <v>86.0</v>
      </c>
      <c r="F19" s="92">
        <v>98.0</v>
      </c>
      <c r="G19" s="30" t="s">
        <v>30</v>
      </c>
      <c r="H19" s="29" t="s">
        <v>25</v>
      </c>
      <c r="I19" s="30">
        <v>0.12</v>
      </c>
      <c r="J19" s="31">
        <v>20.0</v>
      </c>
      <c r="K19" s="32" t="s">
        <v>26</v>
      </c>
      <c r="L19" s="30">
        <v>7.0</v>
      </c>
      <c r="M19" s="93">
        <v>43752.0</v>
      </c>
      <c r="N19" s="30" t="s">
        <v>46</v>
      </c>
      <c r="O19" s="34">
        <v>43221.0</v>
      </c>
      <c r="P19" s="35">
        <v>799.0</v>
      </c>
      <c r="Q19" s="35">
        <v>450.0</v>
      </c>
      <c r="R19" s="36" t="str">
        <f>HYPERLINK("https://amzn.to/2SX2HUi","link*")</f>
        <v>link*</v>
      </c>
      <c r="S19" s="36" t="str">
        <f>HYPERLINK("https://www.bhphotovideo.com/c/product/1352863-REG/samyang_syio14af_e_14mm_f_2_8_f_f_wide.html/BI/19619/KBID/12129/DFF/d10-v21-t1-x837928/SID/EZ","link*")</f>
        <v>link*</v>
      </c>
      <c r="T19" s="36" t="str">
        <f>HYPERLINK("https://amzn.to/31hwSIL","link*")</f>
        <v>link*</v>
      </c>
      <c r="U19" s="36"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V19" s="94"/>
    </row>
    <row r="20">
      <c r="A20" s="95" t="str">
        <f>HYPERLINK("https://phillipreeve.net/blog/review-voigtlander-15mm-4-5-e-super-wide-heliar/","Voigtlander 15mm F4.5 Super Wide Heliar")</f>
        <v>Voigtlander 15mm F4.5 Super Wide Heliar</v>
      </c>
      <c r="B20" s="96">
        <v>298.0</v>
      </c>
      <c r="C20" s="97">
        <v>15.0</v>
      </c>
      <c r="D20" s="98">
        <v>4.5</v>
      </c>
      <c r="E20" s="99">
        <v>67.0</v>
      </c>
      <c r="F20" s="100">
        <v>62.0</v>
      </c>
      <c r="G20" s="101" t="s">
        <v>24</v>
      </c>
      <c r="H20" s="102" t="s">
        <v>47</v>
      </c>
      <c r="I20" s="103">
        <v>0.083</v>
      </c>
      <c r="J20" s="104">
        <v>30.0</v>
      </c>
      <c r="K20" s="101" t="s">
        <v>26</v>
      </c>
      <c r="L20" s="103">
        <v>10.0</v>
      </c>
      <c r="M20" s="105" t="s">
        <v>38</v>
      </c>
      <c r="N20" s="103" t="s">
        <v>28</v>
      </c>
      <c r="O20" s="106">
        <v>42401.0</v>
      </c>
      <c r="P20" s="107">
        <v>799.0</v>
      </c>
      <c r="Q20" s="107">
        <v>500.0</v>
      </c>
      <c r="R20" s="108" t="str">
        <f>HYPERLINK("https://amzn.to/2YwplrQ","link*")</f>
        <v>link*</v>
      </c>
      <c r="S20" s="108" t="str">
        <f>HYPERLINK("https://www.bhphotovideo.com/c/product/1219549-REG/voigtlander_ba329b_super_wide_heliar_15mm_f_4_5.html/BI/19619/KBID/12129/DFF/d10-v21-t1-x618202/SID/EZ","link*")</f>
        <v>link*</v>
      </c>
      <c r="T20" s="108" t="str">
        <f>HYPERLINK("https://amzn.to/2ZpTKt5","link*")</f>
        <v>link*</v>
      </c>
      <c r="U20" s="10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V20" s="94"/>
    </row>
    <row r="21" hidden="1">
      <c r="A21" s="109" t="str">
        <f>HYPERLINK("https://phillipreeve.net/blog/sony-fe-16-35mm-f4-za-t-review/","Sony ZA 4/16-35 OSS ")</f>
        <v>Sony ZA 4/16-35 OSS </v>
      </c>
      <c r="B21" s="39">
        <v>523.0</v>
      </c>
      <c r="C21" s="40">
        <v>16.0</v>
      </c>
      <c r="D21" s="41">
        <v>4.0</v>
      </c>
      <c r="E21" s="42">
        <v>78.0</v>
      </c>
      <c r="F21" s="43">
        <v>98.0</v>
      </c>
      <c r="G21" s="44" t="s">
        <v>30</v>
      </c>
      <c r="H21" s="45" t="s">
        <v>48</v>
      </c>
      <c r="I21" s="46">
        <v>0.19</v>
      </c>
      <c r="J21" s="47">
        <v>28.0</v>
      </c>
      <c r="K21" s="110" t="s">
        <v>49</v>
      </c>
      <c r="L21" s="46">
        <v>7.0</v>
      </c>
      <c r="M21" s="111" t="s">
        <v>38</v>
      </c>
      <c r="N21" s="46" t="s">
        <v>32</v>
      </c>
      <c r="O21" s="49">
        <v>41883.0</v>
      </c>
      <c r="P21" s="50">
        <v>1349.0</v>
      </c>
      <c r="Q21" s="50">
        <v>800.0</v>
      </c>
      <c r="R21" s="51" t="str">
        <f>HYPERLINK("http://amzn.to/2v2sY7q","link*")</f>
        <v>link*</v>
      </c>
      <c r="S21" s="51" t="str">
        <f>HYPERLINK("https://www.bhphotovideo.com/c/product/1380866-REG/sony_16_35mm_f_4_vario_tsr.html/BI/19619/KBID/12129/kw/SO16354F/DFF/d10-v2-t1-xSO16354F","link*")</f>
        <v>link*</v>
      </c>
      <c r="T21" s="51" t="str">
        <f>HYPERLINK("http://amzn.to/2wyMLuP","link*")</f>
        <v>link*</v>
      </c>
      <c r="U21" s="51"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row>
    <row r="22" hidden="1">
      <c r="A22" s="131" t="str">
        <f>HYPERLINK("https://phillipreeve.net/blog/review-sony-fe-24mm-1-4-gm/","Sony GM 1.4/24")</f>
        <v>Sony GM 1.4/24</v>
      </c>
      <c r="B22" s="76">
        <v>445.0</v>
      </c>
      <c r="C22" s="77">
        <v>24.0</v>
      </c>
      <c r="D22" s="149">
        <v>1.4</v>
      </c>
      <c r="E22" s="144">
        <v>75.0</v>
      </c>
      <c r="F22" s="145">
        <v>92.0</v>
      </c>
      <c r="G22" s="84" t="s">
        <v>30</v>
      </c>
      <c r="H22" s="82" t="s">
        <v>53</v>
      </c>
      <c r="I22" s="81">
        <v>0.17</v>
      </c>
      <c r="J22" s="87">
        <v>1399.0</v>
      </c>
      <c r="K22" s="88" t="str">
        <f>HYPERLINK("https://amzn.to/2ywcbw1","link*")</f>
        <v>link*</v>
      </c>
      <c r="L22" s="88" t="str">
        <f>HYPERLINK("https://www.bhphotovideo.com/c/product/1435887-REG/sony_fe_24mm_f_1_4_gm.html/BI/19619/KBID/12129/DFF/d10-v21-t1-x915647/SID/EZ","link*")</f>
        <v>link*</v>
      </c>
      <c r="M22" s="88" t="str">
        <f>HYPERLINK("https://amzn.to/2L2tV9y","link*")</f>
        <v>link*</v>
      </c>
      <c r="N22" s="88" t="str">
        <f>HYPERLINK("https://amzn.to/338yg28","link*")</f>
        <v>link*</v>
      </c>
      <c r="O22" s="83">
        <v>25.0</v>
      </c>
      <c r="P22" s="84" t="s">
        <v>26</v>
      </c>
      <c r="Q22" s="81">
        <v>11.0</v>
      </c>
      <c r="R22" s="128" t="s">
        <v>27</v>
      </c>
      <c r="S22" s="81" t="s">
        <v>32</v>
      </c>
      <c r="T22" s="86">
        <v>43374.0</v>
      </c>
    </row>
    <row r="23" hidden="1">
      <c r="A23" s="75" t="s">
        <v>73</v>
      </c>
      <c r="B23" s="76">
        <v>665.0</v>
      </c>
      <c r="C23" s="77">
        <v>24.0</v>
      </c>
      <c r="D23" s="149">
        <v>1.4</v>
      </c>
      <c r="E23" s="144">
        <v>85.0</v>
      </c>
      <c r="F23" s="145">
        <v>90.0</v>
      </c>
      <c r="G23" s="81" t="s">
        <v>30</v>
      </c>
      <c r="H23" s="82" t="s">
        <v>56</v>
      </c>
      <c r="I23" s="81">
        <v>0.19</v>
      </c>
      <c r="J23" s="87">
        <v>849.0</v>
      </c>
      <c r="K23" s="88" t="str">
        <f>HYPERLINK("https://amzn.to/2Isw2Rv","link*")</f>
        <v>link*</v>
      </c>
      <c r="L23" s="88" t="str">
        <f>HYPERLINK("https://www.bhphotovideo.com/c/product/1393491-REG/sigma_24mm_f_1_4_dg_hsm.html/BI/19619/KBID/12129/kw/SI2414SO/DFF/d10-v2-t1-xSI2414SO","link*")</f>
        <v>link*</v>
      </c>
      <c r="M23" s="88" t="str">
        <f>HYPERLINK("https://amzn.to/2K7sIP4","link*")</f>
        <v>link*</v>
      </c>
      <c r="N23"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23" s="83">
        <v>25.0</v>
      </c>
      <c r="P23" s="84" t="s">
        <v>26</v>
      </c>
      <c r="Q23" s="81">
        <v>9.0</v>
      </c>
      <c r="R23" s="123">
        <v>43784.0</v>
      </c>
      <c r="S23" s="81" t="s">
        <v>41</v>
      </c>
      <c r="T23" s="86">
        <v>43221.0</v>
      </c>
      <c r="U23" s="68" t="s">
        <v>42</v>
      </c>
    </row>
    <row r="24" hidden="1">
      <c r="A24" s="131" t="str">
        <f>HYPERLINK("https://phillipreeve.net/blog/review-samyang-af-2-4-28-fe-at-least-its-small/","Samyang AF 24mm F/2.8")</f>
        <v>Samyang AF 24mm F/2.8</v>
      </c>
      <c r="B24" s="76">
        <v>93.0</v>
      </c>
      <c r="C24" s="77">
        <v>24.0</v>
      </c>
      <c r="D24" s="78">
        <v>2.8</v>
      </c>
      <c r="E24" s="144">
        <v>61.0</v>
      </c>
      <c r="F24" s="151">
        <v>37.0</v>
      </c>
      <c r="G24" s="84" t="s">
        <v>30</v>
      </c>
      <c r="H24" s="82" t="s">
        <v>74</v>
      </c>
      <c r="I24" s="81">
        <v>0.15</v>
      </c>
      <c r="J24" s="129">
        <v>279.0</v>
      </c>
      <c r="K24" s="88" t="str">
        <f>HYPERLINK("https://amzn.to/2NEHZ7c","link*")</f>
        <v>link*</v>
      </c>
      <c r="L24" s="88" t="str">
        <f>HYPERLINK("https://www.bhphotovideo.com/c/product/1413350-REG/samyang_syio24af_e_af_24mm_f_2_8_fe.html/BI/19619/KBID/12129/kw/SASYIO24AFE/DFF/d10-v2-t1-xSASYIO24AFE","link*")</f>
        <v>link*</v>
      </c>
      <c r="M24" s="88" t="str">
        <f>HYPERLINK("https://amzn.to/2Onv1QE","link*")</f>
        <v>link*</v>
      </c>
      <c r="N24"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24" s="83">
        <v>20.0</v>
      </c>
      <c r="P24" s="84" t="s">
        <v>26</v>
      </c>
      <c r="Q24" s="81">
        <v>9.0</v>
      </c>
      <c r="R24" s="128" t="s">
        <v>75</v>
      </c>
      <c r="S24" s="81" t="s">
        <v>46</v>
      </c>
      <c r="T24" s="86">
        <v>43282.0</v>
      </c>
    </row>
    <row r="25" hidden="1">
      <c r="A25" s="152" t="str">
        <f>HYPERLINK("https://phillipreeve.net/blog/review-sony-fe-2-824-70mm-gm/","Sony GM 2.8/24-70")</f>
        <v>Sony GM 2.8/24-70</v>
      </c>
      <c r="B25" s="76">
        <v>886.0</v>
      </c>
      <c r="C25" s="77">
        <v>24.0</v>
      </c>
      <c r="D25" s="78">
        <v>2.8</v>
      </c>
      <c r="E25" s="144">
        <v>88.0</v>
      </c>
      <c r="F25" s="151">
        <v>136.0</v>
      </c>
      <c r="G25" s="84" t="s">
        <v>30</v>
      </c>
      <c r="H25" s="82" t="s">
        <v>51</v>
      </c>
      <c r="I25" s="140">
        <v>0.25</v>
      </c>
      <c r="J25" s="87">
        <v>2199.0</v>
      </c>
      <c r="K25" s="88" t="str">
        <f>HYPERLINK("https://amzn.to/2STHavK","link*")</f>
        <v>link*</v>
      </c>
      <c r="L25" s="88" t="str">
        <f>HYPERLINK("https://www.bhphotovideo.com/c/search?Ntt=gm%2024-70&amp;N=0&amp;InitialSearch=yes&amp;sts=ma&amp;Top+Nav-Search=&amp;BI=19619&amp;KBID=12129&amp;KWID=EZ","link*")</f>
        <v>link*</v>
      </c>
      <c r="M25" s="88" t="str">
        <f>HYPERLINK("https://amzn.to/2ZwoyU7","link*")</f>
        <v>link*</v>
      </c>
      <c r="N25"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25" s="83">
        <v>38.0</v>
      </c>
      <c r="P25" s="84" t="s">
        <v>26</v>
      </c>
      <c r="Q25" s="81">
        <v>11.0</v>
      </c>
      <c r="R25" s="128" t="s">
        <v>44</v>
      </c>
      <c r="S25" s="81" t="s">
        <v>32</v>
      </c>
      <c r="T25" s="86">
        <v>42401.0</v>
      </c>
    </row>
    <row r="26" hidden="1">
      <c r="A26" s="75" t="s">
        <v>79</v>
      </c>
      <c r="B26" s="76">
        <v>780.0</v>
      </c>
      <c r="C26" s="77">
        <v>24.0</v>
      </c>
      <c r="D26" s="78" t="s">
        <v>80</v>
      </c>
      <c r="E26" s="144">
        <v>80.0</v>
      </c>
      <c r="F26" s="151">
        <v>119.0</v>
      </c>
      <c r="G26" s="84" t="s">
        <v>30</v>
      </c>
      <c r="H26" s="82" t="s">
        <v>48</v>
      </c>
      <c r="I26" s="140">
        <v>0.27</v>
      </c>
      <c r="J26" s="87">
        <v>998.0</v>
      </c>
      <c r="K26" s="88" t="str">
        <f>HYPERLINK("http://amzn.to/2fbX5FU","link*")</f>
        <v>link*</v>
      </c>
      <c r="L26" s="88" t="str">
        <f>HYPERLINK("https://www.bhphotovideo.com/c/search?Ntt=sony%2024-240&amp;N=0&amp;InitialSearch=yes&amp;sts=ma&amp;Top+Nav-Search=&amp;BI=19619&amp;KBID=12129&amp;KWID=EZ","link*")</f>
        <v>link*</v>
      </c>
      <c r="M26" s="88" t="str">
        <f>HYPERLINK("http://amzn.to/2wyrL7A","link*")</f>
        <v>link*</v>
      </c>
      <c r="N26"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26" s="83">
        <v>50.0</v>
      </c>
      <c r="P26" s="154" t="s">
        <v>49</v>
      </c>
      <c r="Q26" s="81">
        <v>7.0</v>
      </c>
      <c r="R26" s="128" t="s">
        <v>81</v>
      </c>
      <c r="S26" s="81" t="s">
        <v>32</v>
      </c>
      <c r="T26" s="86">
        <v>42064.0</v>
      </c>
    </row>
    <row r="27" hidden="1">
      <c r="A27" s="75" t="s">
        <v>82</v>
      </c>
      <c r="B27" s="76">
        <v>663.0</v>
      </c>
      <c r="C27" s="77">
        <v>24.0</v>
      </c>
      <c r="D27" s="78">
        <v>4.0</v>
      </c>
      <c r="E27" s="144">
        <v>83.0</v>
      </c>
      <c r="F27" s="145">
        <v>113.0</v>
      </c>
      <c r="G27" s="84" t="s">
        <v>30</v>
      </c>
      <c r="H27" s="82" t="s">
        <v>56</v>
      </c>
      <c r="I27" s="140">
        <v>0.31</v>
      </c>
      <c r="J27" s="87">
        <v>1398.0</v>
      </c>
      <c r="K27" s="88" t="str">
        <f>HYPERLINK("https://amzn.to/2K7LwMR","link*")</f>
        <v>link*</v>
      </c>
      <c r="L27" s="88" t="str">
        <f>HYPERLINK("https://www.bhphotovideo.com/c/search?Ntt=sony%2024-105&amp;N=0&amp;InitialSearch=yes&amp;sts=ma&amp;Top+Nav-Search=&amp;BI=19619&amp;KBID=12129&amp;KWID=EZ","link*")</f>
        <v>link*</v>
      </c>
      <c r="M27" s="88" t="str">
        <f>HYPERLINK("https://amzn.to/2Ld8hOS","link*")</f>
        <v>link*</v>
      </c>
      <c r="N27"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27" s="83">
        <v>38.0</v>
      </c>
      <c r="P27" s="154" t="s">
        <v>49</v>
      </c>
      <c r="Q27" s="81">
        <v>9.0</v>
      </c>
      <c r="R27" s="128" t="s">
        <v>35</v>
      </c>
      <c r="S27" s="81" t="s">
        <v>32</v>
      </c>
      <c r="T27" s="86">
        <v>43009.0</v>
      </c>
    </row>
    <row r="28" hidden="1">
      <c r="A28" s="131" t="str">
        <f>HYPERLINK("https://phillipreeve.net/blog/rolling-review-carl-zeiss-vario-tessar-t-fe-424-70-za/","Sony ZA 4/24-70 OSS")</f>
        <v>Sony ZA 4/24-70 OSS</v>
      </c>
      <c r="B28" s="76">
        <v>426.0</v>
      </c>
      <c r="C28" s="77">
        <v>24.0</v>
      </c>
      <c r="D28" s="78">
        <v>4.0</v>
      </c>
      <c r="E28" s="144">
        <v>73.0</v>
      </c>
      <c r="F28" s="145">
        <v>95.0</v>
      </c>
      <c r="G28" s="84" t="s">
        <v>30</v>
      </c>
      <c r="H28" s="82" t="s">
        <v>53</v>
      </c>
      <c r="I28" s="81">
        <v>0.2</v>
      </c>
      <c r="J28" s="87">
        <v>898.0</v>
      </c>
      <c r="K28" s="88" t="str">
        <f>HYPERLINK("http://amzn.to/2vlG2Yq","link*")</f>
        <v>link*</v>
      </c>
      <c r="L28" s="88" t="str">
        <f>HYPERLINK("https://www.bhphotovideo.com/c/product/1008126-REG/sony_sel2470z_vario_tessar_t_fe_24_70mm.html/BI/19619/KBID/12129/DFF/d10-v21-t1-x466842/SID/EZ","link*")</f>
        <v>link*</v>
      </c>
      <c r="M28" s="88" t="str">
        <f>HYPERLINK("http://amzn.to/2fl1XZk","link*")</f>
        <v>link*</v>
      </c>
      <c r="N28"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28" s="83">
        <v>40.0</v>
      </c>
      <c r="P28" s="154" t="s">
        <v>49</v>
      </c>
      <c r="Q28" s="81">
        <v>7.0</v>
      </c>
      <c r="R28" s="128" t="s">
        <v>38</v>
      </c>
      <c r="S28" s="81" t="s">
        <v>32</v>
      </c>
      <c r="T28" s="86">
        <v>41640.0</v>
      </c>
    </row>
    <row r="29" hidden="1">
      <c r="A29" s="131" t="str">
        <f>HYPERLINK("https://phillipreeve.net/blog/review-zeiss-batis-distagon-t-25mm-f2/","Zeiss Batis 2/25")</f>
        <v>Zeiss Batis 2/25</v>
      </c>
      <c r="B29" s="76">
        <v>335.0</v>
      </c>
      <c r="C29" s="77">
        <v>25.0</v>
      </c>
      <c r="D29" s="78">
        <v>2.0</v>
      </c>
      <c r="E29" s="144">
        <v>92.0</v>
      </c>
      <c r="F29" s="145">
        <v>78.0</v>
      </c>
      <c r="G29" s="84" t="s">
        <v>30</v>
      </c>
      <c r="H29" s="82" t="s">
        <v>53</v>
      </c>
      <c r="I29" s="81">
        <v>0.19</v>
      </c>
      <c r="J29" s="87">
        <v>1299.0</v>
      </c>
      <c r="K29" s="88" t="str">
        <f>HYPERLINK("https://amzn.to/2ypHQiT","link*")</f>
        <v>link*</v>
      </c>
      <c r="L29" s="88" t="str">
        <f>HYPERLINK("https://www.bhphotovideo.com/c/product/1140832-REG/zeiss_2103_750_25mm_f_2_0_batis_wide.html/BI/19619/KBID/12129/DFF/d10-v21-t1-x627141/SID/EZ","link*")</f>
        <v>link*</v>
      </c>
      <c r="M29" s="88" t="str">
        <f>HYPERLINK("https://amzn.to/2L20DIj","link*")</f>
        <v>link*</v>
      </c>
      <c r="N29"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29" s="83">
        <v>20.0</v>
      </c>
      <c r="P29" s="84" t="s">
        <v>26</v>
      </c>
      <c r="Q29" s="81">
        <v>9.0</v>
      </c>
      <c r="R29" s="128" t="s">
        <v>83</v>
      </c>
      <c r="S29" s="81" t="s">
        <v>58</v>
      </c>
      <c r="T29" s="86">
        <v>42125.0</v>
      </c>
    </row>
    <row r="30" hidden="1">
      <c r="A30" s="90" t="s">
        <v>50</v>
      </c>
      <c r="B30" s="23">
        <v>680.0</v>
      </c>
      <c r="C30" s="24">
        <v>16.0</v>
      </c>
      <c r="D30" s="25">
        <v>2.8</v>
      </c>
      <c r="E30" s="91">
        <v>89.0</v>
      </c>
      <c r="F30" s="92">
        <v>122.0</v>
      </c>
      <c r="G30" s="32" t="s">
        <v>30</v>
      </c>
      <c r="H30" s="29" t="s">
        <v>51</v>
      </c>
      <c r="I30" s="30">
        <v>0.19</v>
      </c>
      <c r="J30" s="31">
        <v>28.0</v>
      </c>
      <c r="K30" s="32" t="s">
        <v>26</v>
      </c>
      <c r="L30" s="30">
        <v>11.0</v>
      </c>
      <c r="M30" s="112" t="s">
        <v>52</v>
      </c>
      <c r="N30" s="30" t="s">
        <v>32</v>
      </c>
      <c r="O30" s="34">
        <v>42856.0</v>
      </c>
      <c r="P30" s="35">
        <v>2199.0</v>
      </c>
      <c r="Q30" s="35">
        <v>1800.0</v>
      </c>
      <c r="R30" s="36" t="str">
        <f>HYPERLINK("https://amzn.to/2SR0IRl","link*")</f>
        <v>link*</v>
      </c>
      <c r="S30" s="36" t="str">
        <f>HYPERLINK("https://www.bhphotovideo.com/c/product/1338516-REG/sony_sel1635gm_fe_16_35mm_f_2_8_gm.html/BI/19619/KBID/12129/DFF/d10-v21-t1-x822837/SID/EZ","link*")</f>
        <v>link*</v>
      </c>
      <c r="T30" s="36" t="str">
        <f>HYPERLINK("https://amzn.to/2T1ZxOU","link*")</f>
        <v>link*</v>
      </c>
      <c r="U30" s="36"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V30" s="94"/>
    </row>
    <row r="31" hidden="1">
      <c r="A31" s="75" t="s">
        <v>84</v>
      </c>
      <c r="B31" s="76">
        <v>965.0</v>
      </c>
      <c r="C31" s="77">
        <v>28.0</v>
      </c>
      <c r="D31" s="78">
        <v>1.4</v>
      </c>
      <c r="E31" s="144">
        <v>83.0</v>
      </c>
      <c r="F31" s="145">
        <v>134.0</v>
      </c>
      <c r="G31" s="84" t="s">
        <v>30</v>
      </c>
      <c r="H31" s="82" t="s">
        <v>56</v>
      </c>
      <c r="I31" s="81">
        <v>0.19</v>
      </c>
      <c r="J31" s="87">
        <v>1399.0</v>
      </c>
      <c r="K31" s="88" t="str">
        <f>HYPERLINK("https://amzn.to/2Wn0pxO","link*")</f>
        <v>link*</v>
      </c>
      <c r="L31" s="88" t="str">
        <f>HYPERLINK("https://www.bhphotovideo.com/c/product/1436285-REG/sigma_28mm_f_1_4_dg_hsm.html/BI/19619/KBID/12129/kw/SI2814DGSE/DFF/d10-v2-t1-xSI2814DGSE","link*")</f>
        <v>link*</v>
      </c>
      <c r="M31" s="88" t="str">
        <f>HYPERLINK("https://amzn.to/2WzVkHd","link*")</f>
        <v>link*</v>
      </c>
      <c r="N31" s="88"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31" s="83">
        <v>28.0</v>
      </c>
      <c r="P31" s="84" t="s">
        <v>26</v>
      </c>
      <c r="Q31" s="81">
        <v>9.0</v>
      </c>
      <c r="R31" s="128" t="s">
        <v>81</v>
      </c>
      <c r="S31" s="81" t="s">
        <v>41</v>
      </c>
      <c r="T31" s="86">
        <v>43435.0</v>
      </c>
    </row>
    <row r="32" hidden="1">
      <c r="A32" s="131" t="str">
        <f>HYPERLINK("https://www.systemkamera-forum.de/blog/2015/05/sony-fe-28mm-f2-test-und-erfahrungsbericht/","Sony FE 2/28")</f>
        <v>Sony FE 2/28</v>
      </c>
      <c r="B32" s="76">
        <v>200.0</v>
      </c>
      <c r="C32" s="77">
        <v>28.0</v>
      </c>
      <c r="D32" s="78">
        <v>2.0</v>
      </c>
      <c r="E32" s="144">
        <v>60.0</v>
      </c>
      <c r="F32" s="145">
        <v>60.0</v>
      </c>
      <c r="G32" s="84" t="s">
        <v>30</v>
      </c>
      <c r="H32" s="82" t="s">
        <v>74</v>
      </c>
      <c r="I32" s="81">
        <v>0.13</v>
      </c>
      <c r="J32" s="153">
        <v>448.0</v>
      </c>
      <c r="K32" s="88" t="str">
        <f>HYPERLINK("https://amzn.to/2GXJWdo","link*")</f>
        <v>link*</v>
      </c>
      <c r="L32" s="88" t="str">
        <f>HYPERLINK("https://www.bhphotovideo.com/c/product/1402637-REG/sony_fe_28mm_f_2_lens.html/BI/19619/KBID/12129/kw/SO2820F/DFF/d10-v2-t1-xSO2820F","link*")</f>
        <v>link*</v>
      </c>
      <c r="M32" s="88" t="str">
        <f>HYPERLINK("http://amzn.to/2wyLOCO","link*")</f>
        <v>link*</v>
      </c>
      <c r="N32"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32" s="83">
        <v>29.0</v>
      </c>
      <c r="P32" s="84" t="s">
        <v>26</v>
      </c>
      <c r="Q32" s="81">
        <v>9.0</v>
      </c>
      <c r="R32" s="128" t="s">
        <v>60</v>
      </c>
      <c r="S32" s="81" t="s">
        <v>32</v>
      </c>
      <c r="T32" s="86">
        <v>42064.0</v>
      </c>
    </row>
    <row r="33" hidden="1">
      <c r="A33" s="131" t="str">
        <f>HYPERLINK("https://phillipreeve.net/blog/review-tamron-28-75mm-f-2-8-di-iii-rxd-sony-e-mount/","Tamron 2.8/28-75")</f>
        <v>Tamron 2.8/28-75</v>
      </c>
      <c r="B33" s="76">
        <v>550.0</v>
      </c>
      <c r="C33" s="77">
        <v>28.0</v>
      </c>
      <c r="D33" s="78">
        <v>2.8</v>
      </c>
      <c r="E33" s="144">
        <v>73.0</v>
      </c>
      <c r="F33" s="145">
        <v>118.0</v>
      </c>
      <c r="G33" s="84" t="s">
        <v>30</v>
      </c>
      <c r="H33" s="82" t="s">
        <v>53</v>
      </c>
      <c r="I33" s="140">
        <v>0.34</v>
      </c>
      <c r="J33" s="153">
        <v>879.0</v>
      </c>
      <c r="K33" s="88" t="str">
        <f>HYPERLINK("https://amzn.to/2ST5uxq","link*")</f>
        <v>link*</v>
      </c>
      <c r="L33" s="88" t="str">
        <f>HYPERLINK("https://www.bhphotovideo.com/c/product/1393332-REG/tamron_a036_28_75mm_f_2_8_di_iii.html/BI/19619/KBID/12129/DFF/d10-v21-t1-x892059/SID/EZ","link*")</f>
        <v>link*</v>
      </c>
      <c r="M33" s="88" t="str">
        <f>HYPERLINK("https://amzn.to/2ZmSzdU","link*")</f>
        <v>link*</v>
      </c>
      <c r="N33"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33" s="83">
        <v>19.0</v>
      </c>
      <c r="P33" s="84" t="s">
        <v>26</v>
      </c>
      <c r="Q33" s="81">
        <v>9.0</v>
      </c>
      <c r="R33" s="128" t="s">
        <v>85</v>
      </c>
      <c r="S33" s="81" t="s">
        <v>55</v>
      </c>
      <c r="T33" s="86">
        <v>43252.0</v>
      </c>
    </row>
    <row r="34" hidden="1">
      <c r="A34" s="75" t="s">
        <v>88</v>
      </c>
      <c r="B34" s="76">
        <v>295.0</v>
      </c>
      <c r="C34" s="77">
        <v>28.0</v>
      </c>
      <c r="D34" s="78" t="s">
        <v>89</v>
      </c>
      <c r="E34" s="144">
        <v>73.0</v>
      </c>
      <c r="F34" s="145">
        <v>83.0</v>
      </c>
      <c r="G34" s="84" t="s">
        <v>30</v>
      </c>
      <c r="H34" s="82" t="s">
        <v>90</v>
      </c>
      <c r="I34" s="81">
        <v>0.19</v>
      </c>
      <c r="J34" s="87">
        <v>398.0</v>
      </c>
      <c r="K34" s="88" t="str">
        <f>HYPERLINK("https://www.amazon.com/gp/product/B00FYOFADE/ref=as_li_tl?ie=UTF8&amp;tag=wwwphillipree-20&amp;camp=1789&amp;creative=9325&amp;linkCode=as2&amp;creativeASIN=B00FYOFADE&amp;linkId=96720b245156eae53bb1a672d4453d3f","link*")</f>
        <v>link*</v>
      </c>
      <c r="L34" s="88" t="str">
        <f>HYPERLINK("https://www.bhphotovideo.com/c/product/1015472-REG/sony_sel2870_fe_28_70mm_f_3_5_5_6_oss.html/BI/19619/KBID/12129/DFF/d10-v21-t1-x473993/SID/EZ","link*")</f>
        <v>link*</v>
      </c>
      <c r="M34" s="88" t="str">
        <f>HYPERLINK("https://www.amazon.de/gp/product/B00HSHFPD0/ref=as_li_tl?ie=UTF8&amp;tag=wwwphillipree-21&amp;camp=1638&amp;creative=6742&amp;linkCode=as2&amp;creativeASIN=B00HSHFPD0&amp;linkId=6701f30673f8a4071232ca85e1953506","link*")</f>
        <v>link*</v>
      </c>
      <c r="N34"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34" s="83">
        <v>30.0</v>
      </c>
      <c r="P34" s="154" t="s">
        <v>49</v>
      </c>
      <c r="Q34" s="81">
        <v>7.0</v>
      </c>
      <c r="R34" s="128" t="s">
        <v>60</v>
      </c>
      <c r="S34" s="81" t="s">
        <v>32</v>
      </c>
      <c r="T34" s="86">
        <v>41548.0</v>
      </c>
    </row>
    <row r="35" hidden="1">
      <c r="A35" s="75" t="s">
        <v>91</v>
      </c>
      <c r="B35" s="76">
        <v>1215.0</v>
      </c>
      <c r="C35" s="77">
        <v>28.0</v>
      </c>
      <c r="D35" s="78">
        <v>4.0</v>
      </c>
      <c r="E35" s="144">
        <v>105.0</v>
      </c>
      <c r="F35" s="145">
        <v>165.0</v>
      </c>
      <c r="G35" s="84" t="s">
        <v>30</v>
      </c>
      <c r="H35" s="382" t="s">
        <v>92</v>
      </c>
      <c r="I35" s="346"/>
      <c r="J35" s="87">
        <v>249.0</v>
      </c>
      <c r="K35" s="88" t="str">
        <f>HYPERLINK("http://amzn.to/2v2kiy9","link*")</f>
        <v>link*</v>
      </c>
      <c r="L35" s="88" t="str">
        <f>HYPERLINK("https://www.bhphotovideo.com/c/product/1082051-REG/sony_selp28135g_e_pz_28_135mm_f_4.html/BI/19619/KBID/12129/DFF/d10-v21-t1-x556056/SID/EZ","link*")</f>
        <v>link*</v>
      </c>
      <c r="M35" s="88" t="str">
        <f>HYPERLINK("http://amzn.to/2wlpg9b","link*")</f>
        <v>link*</v>
      </c>
      <c r="N35"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35" s="83">
        <v>40.0</v>
      </c>
      <c r="P35" s="154" t="s">
        <v>49</v>
      </c>
      <c r="Q35" s="81">
        <v>9.0</v>
      </c>
      <c r="R35" s="128" t="s">
        <v>93</v>
      </c>
      <c r="S35" s="81" t="s">
        <v>32</v>
      </c>
      <c r="T35" s="86">
        <v>41883.0</v>
      </c>
      <c r="U35" s="68" t="s">
        <v>94</v>
      </c>
    </row>
    <row r="36" hidden="1" customHeight="1">
      <c r="A36" s="131" t="str">
        <f>HYPERLINK("https://phillipreeve.net/blog/review-sigma-35mm-1-2-art-dg-dn/","Sigma Art 1.2/35")</f>
        <v>Sigma Art 1.2/35</v>
      </c>
      <c r="B36" s="76">
        <v>1090.0</v>
      </c>
      <c r="C36" s="77">
        <v>35.0</v>
      </c>
      <c r="D36" s="383">
        <v>1.2</v>
      </c>
      <c r="E36" s="144">
        <v>88.0</v>
      </c>
      <c r="F36" s="145">
        <v>136.0</v>
      </c>
      <c r="G36" s="81" t="s">
        <v>30</v>
      </c>
      <c r="H36" s="270" t="s">
        <v>51</v>
      </c>
      <c r="I36" s="81">
        <v>0.19</v>
      </c>
      <c r="J36" s="87">
        <v>1499.0</v>
      </c>
      <c r="K36" s="88" t="str">
        <f>HYPERLINK("https://amzn.to/2LiHhxc","link*")</f>
        <v>link*</v>
      </c>
      <c r="L36" s="88" t="str">
        <f>HYPERLINK("https://www.bhphotovideo.com/c/product/1492967-REG/sigma_341969_35mm_f_1_2_dg_dn.html/BI/19619/KBID/12129/DFF/d10-v21-t1-x976038/SID/EZ","link*")</f>
        <v>link*</v>
      </c>
      <c r="M36" s="89"/>
      <c r="N36" s="88"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36" s="83">
        <v>30.0</v>
      </c>
      <c r="P36" s="84" t="s">
        <v>26</v>
      </c>
      <c r="Q36" s="81">
        <v>11.0</v>
      </c>
      <c r="R36" s="123">
        <v>43816.0</v>
      </c>
      <c r="S36" s="81" t="s">
        <v>41</v>
      </c>
      <c r="T36" s="86">
        <v>43647.0</v>
      </c>
    </row>
    <row r="37" hidden="1">
      <c r="A37" s="131" t="str">
        <f>HYPERLINK("https://phillipreeve.net/blog/review-sony-fe-35mm-1-4-za/","Sony ZA 1.4/35")</f>
        <v>Sony ZA 1.4/35</v>
      </c>
      <c r="B37" s="76">
        <v>630.0</v>
      </c>
      <c r="C37" s="77">
        <v>35.0</v>
      </c>
      <c r="D37" s="78">
        <v>1.4</v>
      </c>
      <c r="E37" s="144">
        <v>79.0</v>
      </c>
      <c r="F37" s="145">
        <v>112.0</v>
      </c>
      <c r="G37" s="81" t="s">
        <v>30</v>
      </c>
      <c r="H37" s="82" t="s">
        <v>48</v>
      </c>
      <c r="I37" s="81">
        <v>0.18</v>
      </c>
      <c r="J37" s="87">
        <v>1599.0</v>
      </c>
      <c r="K37" s="88" t="str">
        <f>HYPERLINK("https://amzn.to/2LRSMOS","link*")</f>
        <v>link*</v>
      </c>
      <c r="L37" s="88" t="str">
        <f>HYPERLINK("https://www.bhphotovideo.com/c/product/1126137-REG/sony_sel35f14z_distagon_t_fe_35mm.html/BI/19619/KBID/12129/DFF/d10-v21-t1-x612725/SID/EZ","link*")</f>
        <v>link*</v>
      </c>
      <c r="M37" s="88" t="str">
        <f>HYPERLINK("https://amzn.to/2ZmfSnX","link*")</f>
        <v>link*</v>
      </c>
      <c r="N37"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37" s="83">
        <v>30.0</v>
      </c>
      <c r="P37" s="84" t="s">
        <v>26</v>
      </c>
      <c r="Q37" s="81">
        <v>9.0</v>
      </c>
      <c r="R37" s="123">
        <v>43689.0</v>
      </c>
      <c r="S37" s="81" t="s">
        <v>32</v>
      </c>
      <c r="T37" s="86">
        <v>42064.0</v>
      </c>
    </row>
    <row r="38" hidden="1">
      <c r="A38" s="75" t="s">
        <v>226</v>
      </c>
      <c r="B38" s="76">
        <v>645.0</v>
      </c>
      <c r="C38" s="77">
        <v>35.0</v>
      </c>
      <c r="D38" s="78">
        <v>1.4</v>
      </c>
      <c r="E38" s="144">
        <v>76.0</v>
      </c>
      <c r="F38" s="151">
        <v>115.0</v>
      </c>
      <c r="G38" s="81" t="s">
        <v>30</v>
      </c>
      <c r="H38" s="82" t="s">
        <v>53</v>
      </c>
      <c r="I38" s="81">
        <v>0.17</v>
      </c>
      <c r="J38" s="87">
        <v>799.0</v>
      </c>
      <c r="K38" s="88" t="str">
        <f>HYPERLINK("https://amzn.to/2K8DDXH","link*")</f>
        <v>link*</v>
      </c>
      <c r="L38" s="88" t="str">
        <f>HYPERLINK("https://www.bhphotovideo.com/c/product/1381712-REG/voigtlander_nokton_classic_35mm_f_1_4.html/BI/19619/KBID/12129/DFF/d10-v21-t1-x877353/SID/EZ","link*")</f>
        <v>link*</v>
      </c>
      <c r="M38" s="88" t="str">
        <f>HYPERLINK("https://amzn.to/2Zhl3FI","link*")</f>
        <v>link*</v>
      </c>
      <c r="N38"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38" s="83">
        <v>30.0</v>
      </c>
      <c r="P38" s="84" t="s">
        <v>26</v>
      </c>
      <c r="Q38" s="81">
        <v>9.0</v>
      </c>
      <c r="R38" s="123">
        <v>43719.0</v>
      </c>
      <c r="S38" s="81" t="s">
        <v>46</v>
      </c>
      <c r="T38" s="86">
        <v>43009.0</v>
      </c>
      <c r="U38" s="68" t="s">
        <v>99</v>
      </c>
    </row>
    <row r="39" hidden="1">
      <c r="A39" s="95" t="str">
        <f>HYPERLINK("https://phillipreeve.net/blog/review-tamron-17-28mm-f-2-8-di-iii-rxd/","Tamron 17-28mm f/2.8 Di III RXD")</f>
        <v>Tamron 17-28mm f/2.8 Di III RXD</v>
      </c>
      <c r="B39" s="96">
        <v>420.0</v>
      </c>
      <c r="C39" s="97">
        <v>17.0</v>
      </c>
      <c r="D39" s="98">
        <v>2.8</v>
      </c>
      <c r="E39" s="113">
        <v>73.0</v>
      </c>
      <c r="F39" s="114">
        <v>99.0</v>
      </c>
      <c r="G39" s="101" t="s">
        <v>30</v>
      </c>
      <c r="H39" s="102" t="s">
        <v>53</v>
      </c>
      <c r="I39" s="103">
        <v>0.19</v>
      </c>
      <c r="J39" s="104">
        <v>19.0</v>
      </c>
      <c r="K39" s="101" t="s">
        <v>26</v>
      </c>
      <c r="L39" s="103">
        <v>9.0</v>
      </c>
      <c r="M39" s="105" t="s">
        <v>54</v>
      </c>
      <c r="N39" s="103" t="s">
        <v>55</v>
      </c>
      <c r="O39" s="106">
        <v>43647.0</v>
      </c>
      <c r="P39" s="115">
        <v>899.0</v>
      </c>
      <c r="Q39" s="107">
        <v>700.0</v>
      </c>
      <c r="R39" s="108" t="str">
        <f>HYPERLINK("https://amzn.to/2Hv3AyB","link*")</f>
        <v>link*</v>
      </c>
      <c r="S39" s="108" t="str">
        <f>HYPERLINK("https://www.bhphotovideo.com/c/product/1461529-REG/tamron_a046_17_28mm_f_2_8_di_iii.html/BI/19619/KBID/12129/DFF/d10-v21-t1-x946694/SID/EZ","link*")</f>
        <v>link*</v>
      </c>
      <c r="T39" s="108" t="str">
        <f>HYPERLINK("https://amzn.to/2YkrkQB","link*")</f>
        <v>link*</v>
      </c>
      <c r="U39" s="10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V39" s="94"/>
    </row>
    <row r="40" hidden="1" customHeight="1">
      <c r="A40" s="131" t="str">
        <f>HYPERLINK("https://phillipreeve.net/blog/review-sigma-35mm-1-4-art/","Sigma Art 1.4/35")</f>
        <v>Sigma Art 1.4/35</v>
      </c>
      <c r="B40" s="76">
        <v>740.0</v>
      </c>
      <c r="C40" s="77">
        <v>35.0</v>
      </c>
      <c r="D40" s="78">
        <v>1.4</v>
      </c>
      <c r="E40" s="144">
        <v>77.0</v>
      </c>
      <c r="F40" s="151">
        <v>94.0</v>
      </c>
      <c r="G40" s="81" t="s">
        <v>30</v>
      </c>
      <c r="H40" s="82" t="s">
        <v>53</v>
      </c>
      <c r="I40" s="81">
        <v>0.19</v>
      </c>
      <c r="J40" s="153">
        <v>899.0</v>
      </c>
      <c r="K40" s="88" t="str">
        <f>HYPERLINK("https://amzn.to/2LOaQcZ","link*")</f>
        <v>link*</v>
      </c>
      <c r="L40" s="88" t="str">
        <f>HYPERLINK("https://www.bhphotovideo.com/c/product/1393492-REG/sigma_35mm_f_1_4_dg_hsm.html/BI/19619/KBID/12129/DFF/d10-v21-t1-x881157/SID/EZ","link*")</f>
        <v>link*</v>
      </c>
      <c r="M40" s="88" t="str">
        <f>HYPERLINK("https://amzn.to/2ZrfakE","link*")</f>
        <v>link*</v>
      </c>
      <c r="N40"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40" s="83">
        <v>30.0</v>
      </c>
      <c r="P40" s="84" t="s">
        <v>26</v>
      </c>
      <c r="Q40" s="81">
        <v>9.0</v>
      </c>
      <c r="R40" s="123">
        <v>43782.0</v>
      </c>
      <c r="S40" s="81" t="s">
        <v>41</v>
      </c>
      <c r="T40" s="86">
        <v>43221.0</v>
      </c>
      <c r="U40" s="68" t="s">
        <v>42</v>
      </c>
    </row>
    <row r="41" hidden="1">
      <c r="A41" s="75" t="s">
        <v>227</v>
      </c>
      <c r="B41" s="76">
        <v>280.0</v>
      </c>
      <c r="C41" s="77">
        <v>35.0</v>
      </c>
      <c r="D41" s="78">
        <v>1.8</v>
      </c>
      <c r="E41" s="144">
        <v>66.0</v>
      </c>
      <c r="F41" s="151">
        <v>73.0</v>
      </c>
      <c r="G41" s="81" t="s">
        <v>30</v>
      </c>
      <c r="H41" s="82" t="s">
        <v>90</v>
      </c>
      <c r="I41" s="185">
        <v>0.24</v>
      </c>
      <c r="J41" s="87">
        <v>749.0</v>
      </c>
      <c r="K41" s="89"/>
      <c r="L41" s="88" t="str">
        <f>HYPERLINK("https://www.bhphotovideo.com/c/product/1492866-REG/sony_sel35f18f_35mm_f_1_8_fe_lens.html/BI/19619/KBID/12129/DFF/d10-v21-t1-x975763/SID/EZ","link*")</f>
        <v>link*</v>
      </c>
      <c r="M41" s="88" t="str">
        <f>HYPERLINK("https://amzn.to/2PiATLC","link*")</f>
        <v>link*</v>
      </c>
      <c r="N41"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41" s="83">
        <v>22.0</v>
      </c>
      <c r="P41" s="84" t="s">
        <v>26</v>
      </c>
      <c r="Q41" s="81">
        <v>9.0</v>
      </c>
      <c r="R41" s="123">
        <v>43719.0</v>
      </c>
      <c r="S41" s="81" t="s">
        <v>32</v>
      </c>
      <c r="T41" s="86">
        <v>43647.0</v>
      </c>
    </row>
    <row r="42" hidden="1">
      <c r="A42" s="109" t="str">
        <f>HYPERLINK("https://phillipreeve.net/blog/review-zeiss-batis-18mm-2-8/","Zeiss Batis 2.8/18")</f>
        <v>Zeiss Batis 2.8/18</v>
      </c>
      <c r="B42" s="39">
        <v>330.0</v>
      </c>
      <c r="C42" s="40">
        <v>18.0</v>
      </c>
      <c r="D42" s="41">
        <v>2.8</v>
      </c>
      <c r="E42" s="42">
        <v>100.0</v>
      </c>
      <c r="F42" s="43">
        <v>80.0</v>
      </c>
      <c r="G42" s="44" t="s">
        <v>30</v>
      </c>
      <c r="H42" s="45" t="s">
        <v>56</v>
      </c>
      <c r="I42" s="46">
        <v>0.1</v>
      </c>
      <c r="J42" s="47">
        <v>25.0</v>
      </c>
      <c r="K42" s="44" t="s">
        <v>26</v>
      </c>
      <c r="L42" s="46">
        <v>9.0</v>
      </c>
      <c r="M42" s="111" t="s">
        <v>57</v>
      </c>
      <c r="N42" s="46" t="s">
        <v>58</v>
      </c>
      <c r="O42" s="49">
        <v>42491.0</v>
      </c>
      <c r="P42" s="50">
        <v>1499.0</v>
      </c>
      <c r="Q42" s="50">
        <v>1000.0</v>
      </c>
      <c r="R42" s="51" t="str">
        <f>HYPERLINK("https://amzn.to/2SRFBhL","link*")</f>
        <v>link*</v>
      </c>
      <c r="S42" s="51" t="str">
        <f>HYPERLINK("https://www.bhphotovideo.com/c/product/1243591-REG/zeiss_2136_691_batis_18mm_f_2_8_lens.html/BI/19619/KBID/12129/DFF/d10-v21-t1-x727488/SID/EZ","link*")</f>
        <v>link*</v>
      </c>
      <c r="T42" s="51" t="str">
        <f>HYPERLINK("https://amzn.to/334PqNT","link*")</f>
        <v>link*</v>
      </c>
      <c r="U42" s="51"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row>
    <row r="43" hidden="1">
      <c r="A43" s="131" t="str">
        <f>HYPERLINK("http://www.photozone.de/sonyalphaff/865-zeiss35f28ff","Sony ZA 2.8/35")</f>
        <v>Sony ZA 2.8/35</v>
      </c>
      <c r="B43" s="76">
        <v>120.0</v>
      </c>
      <c r="C43" s="77">
        <v>35.0</v>
      </c>
      <c r="D43" s="78">
        <v>2.8</v>
      </c>
      <c r="E43" s="144">
        <v>62.0</v>
      </c>
      <c r="F43" s="145">
        <v>37.0</v>
      </c>
      <c r="G43" s="81" t="s">
        <v>30</v>
      </c>
      <c r="H43" s="82" t="s">
        <v>74</v>
      </c>
      <c r="I43" s="81">
        <v>0.12</v>
      </c>
      <c r="J43" s="87">
        <v>798.0</v>
      </c>
      <c r="K43" s="88" t="str">
        <f>HYPERLINK("https://amzn.to/2yvhL24","link*")</f>
        <v>link*</v>
      </c>
      <c r="L43" s="88" t="str">
        <f>HYPERLINK("https://www.bhphotovideo.com/c/product/1008123-REG/sony_sel35f28z_sonnar_t_fe_35mm.html/BI/19619/KBID/12129/DFF/d10-v21-t1-x466840/SID/EZ","link*")</f>
        <v>link*</v>
      </c>
      <c r="M43" s="89" t="s">
        <v>33</v>
      </c>
      <c r="N43"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43" s="83">
        <v>35.0</v>
      </c>
      <c r="P43" s="84" t="s">
        <v>26</v>
      </c>
      <c r="Q43" s="81">
        <v>9.0</v>
      </c>
      <c r="R43" s="123">
        <v>43592.0</v>
      </c>
      <c r="S43" s="81" t="s">
        <v>32</v>
      </c>
      <c r="T43" s="86">
        <v>41487.0</v>
      </c>
    </row>
    <row r="44" hidden="1">
      <c r="A44" s="75" t="s">
        <v>102</v>
      </c>
      <c r="B44" s="76">
        <v>86.0</v>
      </c>
      <c r="C44" s="77">
        <v>35.0</v>
      </c>
      <c r="D44" s="78">
        <v>2.8</v>
      </c>
      <c r="E44" s="144">
        <v>62.0</v>
      </c>
      <c r="F44" s="145">
        <v>33.0</v>
      </c>
      <c r="G44" s="81" t="s">
        <v>30</v>
      </c>
      <c r="H44" s="82" t="s">
        <v>74</v>
      </c>
      <c r="I44" s="81">
        <v>0.12</v>
      </c>
      <c r="J44" s="211">
        <v>399.0</v>
      </c>
      <c r="K44" s="88" t="str">
        <f>HYPERLINK("https://amzn.to/2MGKrxp","link*")</f>
        <v>link*</v>
      </c>
      <c r="L44" s="88" t="str">
        <f>HYPERLINK("https://www.bhphotovideo.com/c/product/1348365-REG/samyang_syio35af_e_35mm_f2_8_compact_wide.html/BI/19619/KBID/12129/DFF/d10-v21-t1-x832776/SID/EZ","link*")</f>
        <v>link*</v>
      </c>
      <c r="M44" s="89" t="s">
        <v>33</v>
      </c>
      <c r="N44"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44" s="83">
        <v>35.0</v>
      </c>
      <c r="P44" s="84" t="s">
        <v>26</v>
      </c>
      <c r="Q44" s="81">
        <v>9.0</v>
      </c>
      <c r="R44" s="123">
        <v>43623.0</v>
      </c>
      <c r="S44" s="81" t="s">
        <v>46</v>
      </c>
      <c r="T44" s="86">
        <v>42917.0</v>
      </c>
    </row>
    <row r="45" hidden="1">
      <c r="A45" s="117" t="s">
        <v>59</v>
      </c>
      <c r="B45" s="23">
        <v>145.0</v>
      </c>
      <c r="C45" s="24">
        <v>18.0</v>
      </c>
      <c r="D45" s="25">
        <v>2.8</v>
      </c>
      <c r="E45" s="91">
        <v>63.5</v>
      </c>
      <c r="F45" s="92">
        <v>60.5</v>
      </c>
      <c r="G45" s="32" t="s">
        <v>30</v>
      </c>
      <c r="H45" s="29" t="s">
        <v>47</v>
      </c>
      <c r="I45" s="30">
        <v>0.09</v>
      </c>
      <c r="J45" s="31">
        <v>25.0</v>
      </c>
      <c r="K45" s="32" t="s">
        <v>26</v>
      </c>
      <c r="L45" s="30">
        <v>7.0</v>
      </c>
      <c r="M45" s="112" t="s">
        <v>60</v>
      </c>
      <c r="N45" s="30" t="s">
        <v>46</v>
      </c>
      <c r="O45" s="34">
        <v>43723.0</v>
      </c>
      <c r="P45" s="35">
        <v>399.0</v>
      </c>
      <c r="Q45" s="35">
        <v>300.0</v>
      </c>
      <c r="R45" s="119"/>
      <c r="S45" s="36" t="str">
        <f>HYPERLINK("https://www.bhphotovideo.com/c/product/1503295-REG/samyang_syio18af_e_af_18mm_f_2_8_fe.html/BI/19619/KBID/12129/DFF/d10-v21-t1-x985623/SID/EZ","link*")</f>
        <v>link*</v>
      </c>
      <c r="T45" s="119"/>
      <c r="U45" s="119"/>
      <c r="V45" s="94"/>
    </row>
    <row r="46" hidden="1">
      <c r="A46" s="131" t="str">
        <f>HYPERLINK("https://phillipreeve.net/blog/review-sigma-40mm-1-4-art/","Sigma Art 1.4/40")</f>
        <v>Sigma Art 1.4/40</v>
      </c>
      <c r="B46" s="76">
        <v>1200.0</v>
      </c>
      <c r="C46" s="77">
        <v>40.0</v>
      </c>
      <c r="D46" s="78">
        <v>1.4</v>
      </c>
      <c r="E46" s="144">
        <v>88.0</v>
      </c>
      <c r="F46" s="151">
        <v>157.0</v>
      </c>
      <c r="G46" s="81" t="s">
        <v>30</v>
      </c>
      <c r="H46" s="198" t="s">
        <v>51</v>
      </c>
      <c r="I46" s="81">
        <v>0.15</v>
      </c>
      <c r="J46" s="87">
        <v>1399.0</v>
      </c>
      <c r="K46" s="88" t="str">
        <f>HYPERLINK("https://amzn.to/2SYXFXq","link*")</f>
        <v>link*</v>
      </c>
      <c r="L46" s="88" t="str">
        <f>HYPERLINK("https://www.bhphotovideo.com/c/product/1436292-REG/sigma_40mm_f_1_4_dg_hsm.html/BI/19619/KBID/12129/DFF/d10-v21-t1-x925196/SID/EZ","link*")</f>
        <v>link*</v>
      </c>
      <c r="M46" s="89" t="s">
        <v>33</v>
      </c>
      <c r="N46"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46" s="83">
        <v>40.0</v>
      </c>
      <c r="P46" s="84" t="s">
        <v>26</v>
      </c>
      <c r="Q46" s="81">
        <v>9.0</v>
      </c>
      <c r="R46" s="123">
        <v>43815.0</v>
      </c>
      <c r="S46" s="81" t="s">
        <v>41</v>
      </c>
      <c r="T46" s="86">
        <v>43435.0</v>
      </c>
      <c r="U46" s="68" t="s">
        <v>42</v>
      </c>
    </row>
    <row r="47" hidden="1">
      <c r="A47" s="131" t="str">
        <f>HYPERLINK("https://phillipreeve.net/blog/review-zeiss-batis-2-40-cf/","Zeiss Batis 2/40 CF T*")</f>
        <v>Zeiss Batis 2/40 CF T*</v>
      </c>
      <c r="B47" s="76">
        <v>361.0</v>
      </c>
      <c r="C47" s="77">
        <v>40.0</v>
      </c>
      <c r="D47" s="78">
        <v>2.0</v>
      </c>
      <c r="E47" s="144">
        <v>91.0</v>
      </c>
      <c r="F47" s="151">
        <v>93.0</v>
      </c>
      <c r="G47" s="81" t="s">
        <v>30</v>
      </c>
      <c r="H47" s="82" t="s">
        <v>53</v>
      </c>
      <c r="I47" s="185">
        <v>0.3</v>
      </c>
      <c r="J47" s="87">
        <v>1299.0</v>
      </c>
      <c r="K47" s="88" t="str">
        <f>HYPERLINK("https://amzn.to/2LUN0MF","link*")</f>
        <v>link*</v>
      </c>
      <c r="L47" s="88" t="str">
        <f>HYPERLINK("https://www.bhphotovideo.com/c/product/1436738-REG/zeiss_000000_2239_137_batis_40mm_f_2_cf.html/BI/19619/KBID/12129/DFF/d10-v21-t1-x915694/SID/EZ","link*")</f>
        <v>link*</v>
      </c>
      <c r="M47" s="89" t="s">
        <v>33</v>
      </c>
      <c r="N47"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47" s="83">
        <v>24.0</v>
      </c>
      <c r="P47" s="84" t="s">
        <v>26</v>
      </c>
      <c r="Q47" s="81">
        <v>9.0</v>
      </c>
      <c r="R47" s="123">
        <v>43686.0</v>
      </c>
      <c r="S47" s="81" t="s">
        <v>58</v>
      </c>
      <c r="T47" s="86">
        <v>43435.0</v>
      </c>
      <c r="U47" s="68" t="s">
        <v>228</v>
      </c>
    </row>
    <row r="48" hidden="1">
      <c r="A48" s="75" t="s">
        <v>106</v>
      </c>
      <c r="B48" s="76">
        <v>162.0</v>
      </c>
      <c r="C48" s="77">
        <v>45.0</v>
      </c>
      <c r="D48" s="78">
        <v>1.8</v>
      </c>
      <c r="E48" s="144">
        <v>62.0</v>
      </c>
      <c r="F48" s="151">
        <v>56.0</v>
      </c>
      <c r="G48" s="81" t="s">
        <v>30</v>
      </c>
      <c r="H48" s="82" t="s">
        <v>74</v>
      </c>
      <c r="I48" s="81">
        <v>0.12</v>
      </c>
      <c r="J48" s="129">
        <v>399.0</v>
      </c>
      <c r="K48" s="88" t="str">
        <f>HYPERLINK("https://amzn.to/2YC6MST","link*")</f>
        <v>link*</v>
      </c>
      <c r="L48" s="88" t="str">
        <f>HYPERLINK("https://www.bhphotovideo.com/c/product/1478738-REG/samyang_af_45mm_f_1_8_fe.html/BI/19619/KBID/12129/DFF/d10-v21-t1-x964329/SID/EZ","link*")</f>
        <v>link*</v>
      </c>
      <c r="M48" s="89" t="s">
        <v>33</v>
      </c>
      <c r="N48"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48" s="83">
        <v>45.0</v>
      </c>
      <c r="P48" s="84" t="s">
        <v>26</v>
      </c>
      <c r="Q48" s="81">
        <v>9.0</v>
      </c>
      <c r="R48" s="123">
        <v>43623.0</v>
      </c>
      <c r="S48" s="81" t="s">
        <v>46</v>
      </c>
      <c r="T48" s="86">
        <v>43647.0</v>
      </c>
    </row>
    <row r="49" hidden="1">
      <c r="A49" s="75" t="s">
        <v>107</v>
      </c>
      <c r="B49" s="76">
        <v>215.0</v>
      </c>
      <c r="C49" s="77">
        <v>45.0</v>
      </c>
      <c r="D49" s="78">
        <v>2.8</v>
      </c>
      <c r="E49" s="144">
        <v>64.0</v>
      </c>
      <c r="F49" s="145">
        <v>46.0</v>
      </c>
      <c r="G49" s="81" t="s">
        <v>30</v>
      </c>
      <c r="H49" s="82" t="s">
        <v>90</v>
      </c>
      <c r="I49" s="140">
        <v>0.25</v>
      </c>
      <c r="J49" s="87">
        <v>549.0</v>
      </c>
      <c r="K49" s="88" t="str">
        <f>HYPERLINK("https://amzn.to/2SYEvAX","link*")</f>
        <v>link*</v>
      </c>
      <c r="L49" s="88" t="str">
        <f>HYPERLINK("https://www.bhphotovideo.com/c/product/1492966-REG/sigma_360965_45mm_f_2_8_dg_dn.html/BI/19619/KBID/12129/DFF/d10-v21-t1-x976020/SID/EZ","link*")</f>
        <v>link*</v>
      </c>
      <c r="M49" s="89" t="s">
        <v>33</v>
      </c>
      <c r="N49" s="88"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49" s="83">
        <v>24.0</v>
      </c>
      <c r="P49" s="84" t="s">
        <v>26</v>
      </c>
      <c r="Q49" s="81">
        <v>7.0</v>
      </c>
      <c r="R49" s="123">
        <v>43654.0</v>
      </c>
      <c r="S49" s="81" t="s">
        <v>41</v>
      </c>
      <c r="T49" s="86">
        <v>43647.0</v>
      </c>
      <c r="U49" s="68" t="s">
        <v>108</v>
      </c>
    </row>
    <row r="50" hidden="1">
      <c r="A50" s="38" t="s">
        <v>61</v>
      </c>
      <c r="B50" s="39">
        <v>1050.0</v>
      </c>
      <c r="C50" s="40">
        <v>20.0</v>
      </c>
      <c r="D50" s="120">
        <v>1.4</v>
      </c>
      <c r="E50" s="42">
        <v>91.0</v>
      </c>
      <c r="F50" s="43">
        <v>155.8</v>
      </c>
      <c r="G50" s="46" t="s">
        <v>30</v>
      </c>
      <c r="H50" s="45" t="s">
        <v>25</v>
      </c>
      <c r="I50" s="46">
        <v>0.14</v>
      </c>
      <c r="J50" s="47">
        <v>28.0</v>
      </c>
      <c r="K50" s="44" t="s">
        <v>26</v>
      </c>
      <c r="L50" s="46">
        <v>9.0</v>
      </c>
      <c r="M50" s="74">
        <v>43784.0</v>
      </c>
      <c r="N50" s="46" t="s">
        <v>41</v>
      </c>
      <c r="O50" s="49">
        <v>43221.0</v>
      </c>
      <c r="P50" s="50">
        <v>899.0</v>
      </c>
      <c r="Q50" s="50">
        <v>700.0</v>
      </c>
      <c r="R50" s="51" t="str">
        <f>HYPERLINK("https://amzn.to/2K4J7nh","link*")</f>
        <v>link*</v>
      </c>
      <c r="S50" s="51" t="str">
        <f>HYPERLINK("https://www.bhphotovideo.com/c/product/1393490-REG/sigma_20mm_f_1_4_dg_hsm.html/BI/19619/KBID/12129/DFF/d10-v21-t1-x881155/SID/EZ","link*")</f>
        <v>link*</v>
      </c>
      <c r="T50" s="51" t="str">
        <f>HYPERLINK("https://amzn.to/2Wy0d3F","link*")</f>
        <v>link*</v>
      </c>
      <c r="U50" s="51"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V50" s="68" t="s">
        <v>42</v>
      </c>
    </row>
    <row r="51" hidden="1">
      <c r="A51" s="75" t="s">
        <v>109</v>
      </c>
      <c r="B51" s="76">
        <v>778.0</v>
      </c>
      <c r="C51" s="77">
        <v>50.0</v>
      </c>
      <c r="D51" s="78">
        <v>1.4</v>
      </c>
      <c r="E51" s="144">
        <v>84.0</v>
      </c>
      <c r="F51" s="145">
        <v>108.0</v>
      </c>
      <c r="G51" s="81" t="s">
        <v>30</v>
      </c>
      <c r="H51" s="82" t="s">
        <v>48</v>
      </c>
      <c r="I51" s="81">
        <v>0.15</v>
      </c>
      <c r="J51" s="87">
        <v>1499.0</v>
      </c>
      <c r="K51" s="88" t="str">
        <f>HYPERLINK("https://amzn.to/2K88EL7","link*")</f>
        <v>link*</v>
      </c>
      <c r="L51" s="89" t="s">
        <v>33</v>
      </c>
      <c r="M51" s="89" t="s">
        <v>33</v>
      </c>
      <c r="N51"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51" s="83">
        <v>45.0</v>
      </c>
      <c r="P51" s="84" t="s">
        <v>26</v>
      </c>
      <c r="Q51" s="81">
        <v>11.0</v>
      </c>
      <c r="R51" s="123">
        <v>43720.0</v>
      </c>
      <c r="S51" s="81" t="s">
        <v>32</v>
      </c>
      <c r="T51" s="86">
        <v>42583.0</v>
      </c>
    </row>
    <row r="52" hidden="1">
      <c r="A52" s="75" t="s">
        <v>110</v>
      </c>
      <c r="B52" s="76">
        <v>815.0</v>
      </c>
      <c r="C52" s="77">
        <v>50.0</v>
      </c>
      <c r="D52" s="78">
        <v>1.4</v>
      </c>
      <c r="E52" s="144">
        <v>85.0</v>
      </c>
      <c r="F52" s="145">
        <v>100.0</v>
      </c>
      <c r="G52" s="81" t="s">
        <v>30</v>
      </c>
      <c r="H52" s="82" t="s">
        <v>56</v>
      </c>
      <c r="I52" s="81">
        <v>0.18</v>
      </c>
      <c r="J52" s="87">
        <v>949.0</v>
      </c>
      <c r="K52" s="88" t="str">
        <f>HYPERLINK("https://amzn.to/2K4JmyT","link*")</f>
        <v>link*</v>
      </c>
      <c r="L52" s="88" t="str">
        <f>HYPERLINK("https://www.bhphotovideo.com/c/product/1393493-REG/sigma_50mm_f_1_4_dg_hsm.html/BI/19619/KBID/12129/kw/SI5014SO/DFF/d10-v2-t1-xSI5014SO","link*")</f>
        <v>link*</v>
      </c>
      <c r="M52" s="88" t="str">
        <f>HYPERLINK("https://amzn.to/2Wpdoz5","link*")</f>
        <v>link*</v>
      </c>
      <c r="N52" s="88"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52" s="83">
        <v>40.0</v>
      </c>
      <c r="P52" s="84" t="s">
        <v>26</v>
      </c>
      <c r="Q52" s="81">
        <v>9.0</v>
      </c>
      <c r="R52" s="123">
        <v>43690.0</v>
      </c>
      <c r="S52" s="81" t="s">
        <v>41</v>
      </c>
      <c r="T52" s="86">
        <v>43221.0</v>
      </c>
      <c r="U52" s="68" t="s">
        <v>42</v>
      </c>
    </row>
    <row r="53" hidden="1">
      <c r="A53" s="75" t="s">
        <v>111</v>
      </c>
      <c r="B53" s="76">
        <v>585.0</v>
      </c>
      <c r="C53" s="77">
        <v>50.0</v>
      </c>
      <c r="D53" s="78">
        <v>1.4</v>
      </c>
      <c r="E53" s="144">
        <v>74.0</v>
      </c>
      <c r="F53" s="145">
        <v>98.0</v>
      </c>
      <c r="G53" s="81" t="s">
        <v>30</v>
      </c>
      <c r="H53" s="82" t="s">
        <v>53</v>
      </c>
      <c r="I53" s="81">
        <v>0.15</v>
      </c>
      <c r="J53" s="87">
        <v>699.0</v>
      </c>
      <c r="K53" s="88" t="str">
        <f>HYPERLINK("https://amzn.to/2SY1Pyr","link*")</f>
        <v>link*</v>
      </c>
      <c r="L53" s="88" t="str">
        <f>HYPERLINK("https://www.bhphotovideo.com/c/product/1352862-REG/samyang_syio50af_e_50mm_f_1_4_auto_focus.html/BI/19619/KBID/12129/DFF/d10-v21-t1-x837927/SID/EZ","link*")</f>
        <v>link*</v>
      </c>
      <c r="M53" s="89" t="s">
        <v>33</v>
      </c>
      <c r="N53"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53" s="83">
        <v>45.0</v>
      </c>
      <c r="P53" s="84" t="s">
        <v>26</v>
      </c>
      <c r="Q53" s="81">
        <v>9.0</v>
      </c>
      <c r="R53" s="123">
        <v>43686.0</v>
      </c>
      <c r="S53" s="81" t="s">
        <v>46</v>
      </c>
      <c r="T53" s="86">
        <v>42583.0</v>
      </c>
    </row>
    <row r="54" hidden="1">
      <c r="A54" s="131" t="str">
        <f>HYPERLINK("https://phillipreeve.net/blog/review-sony-fe-1-850/","Sony 50mm F1.8")</f>
        <v>Sony 50mm F1.8</v>
      </c>
      <c r="B54" s="76">
        <v>186.0</v>
      </c>
      <c r="C54" s="77">
        <v>50.0</v>
      </c>
      <c r="D54" s="78">
        <v>1.8</v>
      </c>
      <c r="E54" s="144">
        <v>69.0</v>
      </c>
      <c r="F54" s="145">
        <v>60.0</v>
      </c>
      <c r="G54" s="81" t="s">
        <v>30</v>
      </c>
      <c r="H54" s="82" t="s">
        <v>74</v>
      </c>
      <c r="I54" s="81">
        <v>0.14</v>
      </c>
      <c r="J54" s="153">
        <v>249.0</v>
      </c>
      <c r="K54" s="88" t="str">
        <f>HYPERLINK("http://amzn.to/2v2F5Se","link*")</f>
        <v>link*</v>
      </c>
      <c r="L54" s="88" t="str">
        <f>HYPERLINK("https://www.bhphotovideo.com/c/product/1242613-REG/sony_sel50f18f_fe_50mm_f_1_8_lens.html/BI/19619/KBID/12129/kw/SO5018F/DFF/d10-v2-t1-xSO5018F","link*")</f>
        <v>link*</v>
      </c>
      <c r="M54" s="88" t="str">
        <f>HYPERLINK("http://amzn.to/2wyHB25","link*")</f>
        <v>link*</v>
      </c>
      <c r="N54"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54" s="83">
        <v>45.0</v>
      </c>
      <c r="P54" s="84" t="s">
        <v>26</v>
      </c>
      <c r="Q54" s="81">
        <v>7.0</v>
      </c>
      <c r="R54" s="123">
        <v>43591.0</v>
      </c>
      <c r="S54" s="81" t="s">
        <v>32</v>
      </c>
      <c r="T54" s="86">
        <v>42430.0</v>
      </c>
    </row>
    <row r="55">
      <c r="A55" s="75" t="s">
        <v>62</v>
      </c>
      <c r="B55" s="76">
        <v>775.0</v>
      </c>
      <c r="C55" s="77">
        <v>20.0</v>
      </c>
      <c r="D55" s="121">
        <v>1.8</v>
      </c>
      <c r="E55" s="79">
        <v>77.0</v>
      </c>
      <c r="F55" s="122">
        <v>102.0</v>
      </c>
      <c r="G55" s="81" t="s">
        <v>24</v>
      </c>
      <c r="H55" s="82" t="s">
        <v>51</v>
      </c>
      <c r="I55" s="81">
        <v>0.12</v>
      </c>
      <c r="J55" s="83">
        <v>25.0</v>
      </c>
      <c r="K55" s="84" t="s">
        <v>26</v>
      </c>
      <c r="L55" s="81">
        <v>14.0</v>
      </c>
      <c r="M55" s="123">
        <v>43720.0</v>
      </c>
      <c r="N55" s="81" t="s">
        <v>63</v>
      </c>
      <c r="O55" s="86">
        <v>43586.0</v>
      </c>
      <c r="P55" s="87">
        <v>486.0</v>
      </c>
      <c r="Q55" s="87" t="s">
        <v>36</v>
      </c>
      <c r="R55" s="88" t="str">
        <f>HYPERLINK("https://amzn.to/2LRRbJ5","link*")</f>
        <v>link*</v>
      </c>
      <c r="S55" s="88" t="str">
        <f>HYPERLINK("https://www.bhphotovideo.com/c/product/1469187-REG/viltrox_pfu_rbmh_20mm_f1_8_asph_e_mount_20mm_f_1_8_for_sony.html/BI/19619/KBID/12129/DFF/d10-v21-t1-x954299/SID/EZ","link*")</f>
        <v>link*</v>
      </c>
      <c r="T55" s="88" t="str">
        <f>HYPERLINK("https://amzn.to/2GL8iYV","link*")</f>
        <v>link*</v>
      </c>
      <c r="U55"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row>
    <row r="56" hidden="1">
      <c r="A56" s="131" t="str">
        <f>HYPERLINK("https://phillipreeve.net/blog/rolling-review-sony-fe-2-850-macro/","Sony 50mm F/2.8 Macro")</f>
        <v>Sony 50mm F/2.8 Macro</v>
      </c>
      <c r="B56" s="76">
        <v>236.0</v>
      </c>
      <c r="C56" s="77">
        <v>50.0</v>
      </c>
      <c r="D56" s="78">
        <v>1.8</v>
      </c>
      <c r="E56" s="144">
        <v>72.0</v>
      </c>
      <c r="F56" s="145">
        <v>71.0</v>
      </c>
      <c r="G56" s="81" t="s">
        <v>30</v>
      </c>
      <c r="H56" s="82" t="s">
        <v>90</v>
      </c>
      <c r="I56" s="259">
        <v>1.0</v>
      </c>
      <c r="J56" s="129">
        <v>499.0</v>
      </c>
      <c r="K56" s="88" t="str">
        <f>HYPERLINK("http://amzn.to/2v2g0qz","link*")</f>
        <v>link*</v>
      </c>
      <c r="L56" s="88" t="str">
        <f>HYPERLINK("https://www.bhphotovideo.com/c/product/1277527-REG/sony_sel50m28_fe_50mm_f_2_8_macro.html/BI/19619/KBID/12129/kw/SO5028FF/DFF/d10-v2-t1-xSO5028FF","link*")</f>
        <v>link*</v>
      </c>
      <c r="M56" s="88" t="str">
        <f>HYPERLINK("http://amzn.to/2vbknRN","link*")</f>
        <v>link*</v>
      </c>
      <c r="N56"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56" s="83">
        <v>16.0</v>
      </c>
      <c r="P56" s="84" t="s">
        <v>26</v>
      </c>
      <c r="Q56" s="81">
        <v>7.0</v>
      </c>
      <c r="R56" s="123">
        <v>43654.0</v>
      </c>
      <c r="S56" s="81" t="s">
        <v>32</v>
      </c>
      <c r="T56" s="86">
        <v>42614.0</v>
      </c>
    </row>
    <row r="57" hidden="1">
      <c r="A57" s="131" t="str">
        <f>HYPERLINK("https://phillipreeve.net/blog/sony-fe-1-855-za-sonnar-t-review/","Sony ZA 55mm F1.8 Sonnar")</f>
        <v>Sony ZA 55mm F1.8 Sonnar</v>
      </c>
      <c r="B57" s="76">
        <v>281.0</v>
      </c>
      <c r="C57" s="77">
        <v>55.0</v>
      </c>
      <c r="D57" s="78">
        <v>1.8</v>
      </c>
      <c r="E57" s="144">
        <v>64.0</v>
      </c>
      <c r="F57" s="145">
        <v>71.0</v>
      </c>
      <c r="G57" s="81" t="s">
        <v>30</v>
      </c>
      <c r="H57" s="82" t="s">
        <v>74</v>
      </c>
      <c r="I57" s="81">
        <v>0.14</v>
      </c>
      <c r="J57" s="87">
        <v>999.0</v>
      </c>
      <c r="K57" s="88" t="str">
        <f>HYPERLINK("https://amzn.to/2ywdgEk","link*")</f>
        <v>link*</v>
      </c>
      <c r="L57" s="88" t="str">
        <f>HYPERLINK("https://www.bhphotovideo.com/c/product/1008124-REG/sony_sel55f18z_sonnar_t_fe_55mm.html/BI/19619/KBID/12129/DFF/d10-v21-t1-x466841/SID/EZ","link*")</f>
        <v>link*</v>
      </c>
      <c r="M57" s="89" t="s">
        <v>33</v>
      </c>
      <c r="N57"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57" s="83">
        <v>50.0</v>
      </c>
      <c r="P57" s="84" t="s">
        <v>26</v>
      </c>
      <c r="Q57" s="81">
        <v>9.0</v>
      </c>
      <c r="R57" s="123">
        <v>43592.0</v>
      </c>
      <c r="S57" s="81" t="s">
        <v>32</v>
      </c>
      <c r="T57" s="86">
        <v>41548.0</v>
      </c>
    </row>
    <row r="58">
      <c r="A58" s="131" t="str">
        <f>HYPERLINK("https://phillipreeve.net/blog/tokina-firin-20mm-f2-fe-review-a-good-deal/","Tokina Firin 2/20")</f>
        <v>Tokina Firin 2/20</v>
      </c>
      <c r="B58" s="76">
        <v>492.0</v>
      </c>
      <c r="C58" s="77">
        <v>20.0</v>
      </c>
      <c r="D58" s="125">
        <v>2.0</v>
      </c>
      <c r="E58" s="132">
        <v>69.0</v>
      </c>
      <c r="F58" s="133">
        <v>82.0</v>
      </c>
      <c r="G58" s="84" t="s">
        <v>24</v>
      </c>
      <c r="H58" s="82" t="s">
        <v>66</v>
      </c>
      <c r="I58" s="81">
        <v>0.1</v>
      </c>
      <c r="J58" s="83">
        <v>30.0</v>
      </c>
      <c r="K58" s="84" t="s">
        <v>26</v>
      </c>
      <c r="L58" s="81">
        <v>9.0</v>
      </c>
      <c r="M58" s="128" t="s">
        <v>54</v>
      </c>
      <c r="N58" s="81" t="s">
        <v>67</v>
      </c>
      <c r="O58" s="86">
        <v>42856.0</v>
      </c>
      <c r="P58" s="129">
        <v>799.0</v>
      </c>
      <c r="Q58" s="129">
        <v>400.0</v>
      </c>
      <c r="R58" s="88" t="str">
        <f>HYPERLINK("http://amzn.to/2vlG2Yq","link*")</f>
        <v>link*</v>
      </c>
      <c r="S58" s="88" t="str">
        <f>HYPERLINK("https://www.bhphotovideo.com/c/product/1281299-REG/tokina_firin_20mm_f_2_fe.html/BI/19619/KBID/12129/kw/TO202E/DFF/d10-v2-t1-xTO202E","link*")</f>
        <v>link*</v>
      </c>
      <c r="T58" s="88" t="str">
        <f>HYPERLINK("http://amzn.to/2vvtDkM","link*")</f>
        <v>link*</v>
      </c>
      <c r="U58"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row>
    <row r="59" hidden="1">
      <c r="A59" s="75" t="s">
        <v>112</v>
      </c>
      <c r="B59" s="76">
        <v>562.0</v>
      </c>
      <c r="C59" s="77">
        <v>70.0</v>
      </c>
      <c r="D59" s="78">
        <v>2.8</v>
      </c>
      <c r="E59" s="144">
        <v>71.0</v>
      </c>
      <c r="F59" s="145">
        <v>106.0</v>
      </c>
      <c r="G59" s="81" t="s">
        <v>30</v>
      </c>
      <c r="H59" s="82" t="s">
        <v>74</v>
      </c>
      <c r="I59" s="259">
        <v>1.0</v>
      </c>
      <c r="J59" s="211">
        <v>569.0</v>
      </c>
      <c r="K59" s="88" t="str">
        <f>HYPERLINK("https://amzn.to/2YGO9te","link*")</f>
        <v>link*</v>
      </c>
      <c r="L59" s="88" t="str">
        <f>HYPERLINK("https://www.bhphotovideo.com/c/product/1393483-REG/sigma_70mm_f_2_8_dg_macro.html/BI/19619/KBID/12129/DFF/d10-v21-t1-x895111/SID/EZ","link*")</f>
        <v>link*</v>
      </c>
      <c r="M59" s="89" t="s">
        <v>33</v>
      </c>
      <c r="N59" s="88"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59" s="83">
        <v>26.0</v>
      </c>
      <c r="P59" s="84" t="s">
        <v>26</v>
      </c>
      <c r="Q59" s="81">
        <v>9.0</v>
      </c>
      <c r="R59" s="123">
        <v>43751.0</v>
      </c>
      <c r="S59" s="81" t="s">
        <v>41</v>
      </c>
      <c r="T59" s="86">
        <v>43221.0</v>
      </c>
      <c r="U59" s="68" t="s">
        <v>42</v>
      </c>
    </row>
    <row r="60" hidden="1">
      <c r="A60" s="75" t="s">
        <v>113</v>
      </c>
      <c r="B60" s="76">
        <v>1480.0</v>
      </c>
      <c r="C60" s="77">
        <v>70.0</v>
      </c>
      <c r="D60" s="78">
        <v>2.8</v>
      </c>
      <c r="E60" s="144">
        <v>88.0</v>
      </c>
      <c r="F60" s="145">
        <v>200.0</v>
      </c>
      <c r="G60" s="81" t="s">
        <v>30</v>
      </c>
      <c r="H60" s="82" t="s">
        <v>56</v>
      </c>
      <c r="I60" s="185">
        <v>0.25</v>
      </c>
      <c r="J60" s="87">
        <v>2599.0</v>
      </c>
      <c r="K60" s="88" t="str">
        <f>HYPERLINK("https://amzn.to/2KbaJGn","link*")</f>
        <v>link*</v>
      </c>
      <c r="L60" s="88" t="str">
        <f>HYPERLINK("https://www.bhphotovideo.com/c/product/1222776-REG/sony_sel70200gm_fe_70_200mm_f_2_8_gm.html/BI/19619/KBID/12129/DFF/d10-v21-t1-x746807/SID/EZ","link*")</f>
        <v>link*</v>
      </c>
      <c r="M60" s="89" t="s">
        <v>33</v>
      </c>
      <c r="N60"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60" s="83">
        <v>96.0</v>
      </c>
      <c r="P60" s="154" t="s">
        <v>49</v>
      </c>
      <c r="Q60" s="81">
        <v>11.0</v>
      </c>
      <c r="R60" s="85" t="s">
        <v>114</v>
      </c>
      <c r="S60" s="81" t="s">
        <v>32</v>
      </c>
      <c r="T60" s="86">
        <v>42401.0</v>
      </c>
    </row>
    <row r="61" hidden="1">
      <c r="A61" s="75" t="s">
        <v>117</v>
      </c>
      <c r="B61" s="76">
        <v>854.0</v>
      </c>
      <c r="C61" s="77">
        <v>70.0</v>
      </c>
      <c r="D61" s="78" t="s">
        <v>118</v>
      </c>
      <c r="E61" s="144">
        <v>84.0</v>
      </c>
      <c r="F61" s="145">
        <v>144.0</v>
      </c>
      <c r="G61" s="81" t="s">
        <v>30</v>
      </c>
      <c r="H61" s="82" t="s">
        <v>48</v>
      </c>
      <c r="I61" s="140">
        <v>0.31</v>
      </c>
      <c r="J61" s="87">
        <v>1198.0</v>
      </c>
      <c r="K61" s="88" t="str">
        <f>HYPERLINK("https://amzn.to/2SVN1Ao","link*")</f>
        <v>link*</v>
      </c>
      <c r="L61" s="88" t="str">
        <f>HYPERLINK("https://www.bhphotovideo.com/c/product/1242614-REG/sony_sel70300g_fe_70_300mm_f_4_5_5_6_g.html/BI/19619/KBID/12129/DFF/d10-v21-t1-x722726/SID/EZ","link*")</f>
        <v>link*</v>
      </c>
      <c r="M61" s="89" t="s">
        <v>33</v>
      </c>
      <c r="N61"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61" s="83">
        <v>90.0</v>
      </c>
      <c r="P61" s="154" t="s">
        <v>49</v>
      </c>
      <c r="Q61" s="81">
        <v>9.0</v>
      </c>
      <c r="R61" s="85" t="s">
        <v>52</v>
      </c>
      <c r="S61" s="81" t="s">
        <v>32</v>
      </c>
      <c r="T61" s="86">
        <v>42430.0</v>
      </c>
    </row>
    <row r="62" hidden="1">
      <c r="A62" s="131" t="str">
        <f>HYPERLINK("https://phillipreeve.net/blog/review-sony-fe-470-200-g-oss/https://phillipreeve.net/blog/review-sony-fe-470-200-g-oss/","Sony G 4/70-200 OSS")</f>
        <v>Sony G 4/70-200 OSS</v>
      </c>
      <c r="B62" s="76">
        <v>840.0</v>
      </c>
      <c r="C62" s="77">
        <v>70.0</v>
      </c>
      <c r="D62" s="78">
        <v>4.0</v>
      </c>
      <c r="E62" s="144">
        <v>80.0</v>
      </c>
      <c r="F62" s="145">
        <v>175.0</v>
      </c>
      <c r="G62" s="81" t="s">
        <v>30</v>
      </c>
      <c r="H62" s="82" t="s">
        <v>48</v>
      </c>
      <c r="I62" s="81">
        <v>0.18</v>
      </c>
      <c r="J62" s="87">
        <v>1498.0</v>
      </c>
      <c r="K62" s="88" t="str">
        <f>HYPERLINK("http://amzn.to/2fbeX3x","link*")</f>
        <v>link*</v>
      </c>
      <c r="L62" s="88" t="str">
        <f>HYPERLINK("https://www.bhphotovideo.com/c/product/1380865-REG/sony_fe_70_200mm_f_4_g.html/BI/19619/KBID/12129/kw/SO702004F/DFF/d10-v2-t1-xSO702004F","link*")</f>
        <v>link*</v>
      </c>
      <c r="M62" s="88" t="str">
        <f>HYPERLINK("http://amzn.to/2vbFQKj","link*")</f>
        <v>link*</v>
      </c>
      <c r="N62"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62" s="83">
        <v>100.0</v>
      </c>
      <c r="P62" s="154" t="s">
        <v>49</v>
      </c>
      <c r="Q62" s="81">
        <v>9.0</v>
      </c>
      <c r="R62" s="85" t="s">
        <v>121</v>
      </c>
      <c r="S62" s="81" t="s">
        <v>32</v>
      </c>
      <c r="T62" s="86">
        <v>41548.0</v>
      </c>
    </row>
    <row r="63" hidden="1">
      <c r="A63" s="131" t="str">
        <f>HYPERLINK("https://phillipreeve.net/blog/review-sony-fe-85mm-1-4-gm/","Sony GM 1.4/85")</f>
        <v>Sony GM 1.4/85</v>
      </c>
      <c r="B63" s="76">
        <v>854.0</v>
      </c>
      <c r="C63" s="77">
        <v>85.0</v>
      </c>
      <c r="D63" s="78">
        <v>1.4</v>
      </c>
      <c r="E63" s="144">
        <v>84.0</v>
      </c>
      <c r="F63" s="145">
        <v>108.0</v>
      </c>
      <c r="G63" s="81" t="s">
        <v>30</v>
      </c>
      <c r="H63" s="82" t="s">
        <v>56</v>
      </c>
      <c r="I63" s="81">
        <v>0.12</v>
      </c>
      <c r="J63" s="87">
        <v>1799.0</v>
      </c>
      <c r="K63" s="88" t="str">
        <f>HYPERLINK("https://amzn.to/2SZeKAh","link*")</f>
        <v>link*</v>
      </c>
      <c r="L63" s="88" t="str">
        <f>HYPERLINK("https://www.bhphotovideo.com/c/product/1222775-REG/sony_sel85f14gm_fe_85mm_f_1_4_gm.html/BI/19619/KBID/12129/DFF/d10-v21-t1-x707644/SID/EZ","link*")</f>
        <v>link*</v>
      </c>
      <c r="M63" s="89" t="s">
        <v>33</v>
      </c>
      <c r="N63"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63" s="83">
        <v>80.0</v>
      </c>
      <c r="P63" s="84" t="s">
        <v>26</v>
      </c>
      <c r="Q63" s="81">
        <v>11.0</v>
      </c>
      <c r="R63" s="123">
        <v>43688.0</v>
      </c>
      <c r="S63" s="81" t="s">
        <v>32</v>
      </c>
      <c r="T63" s="86">
        <v>42401.0</v>
      </c>
    </row>
    <row r="64" hidden="1">
      <c r="A64" s="75" t="s">
        <v>123</v>
      </c>
      <c r="B64" s="76">
        <v>1130.0</v>
      </c>
      <c r="C64" s="77">
        <v>85.0</v>
      </c>
      <c r="D64" s="78">
        <v>1.4</v>
      </c>
      <c r="E64" s="144">
        <v>95.0</v>
      </c>
      <c r="F64" s="145">
        <v>152.0</v>
      </c>
      <c r="G64" s="81" t="s">
        <v>30</v>
      </c>
      <c r="H64" s="232" t="s">
        <v>124</v>
      </c>
      <c r="I64" s="81">
        <v>0.12</v>
      </c>
      <c r="J64" s="87">
        <v>1199.0</v>
      </c>
      <c r="K64" s="88" t="str">
        <f>HYPERLINK("https://amzn.to/2MBd68k","link*")</f>
        <v>link*</v>
      </c>
      <c r="L64" s="88" t="str">
        <f>HYPERLINK("https://www.bhphotovideo.com/c/product/1393494-REG/sigma_85mm_f_1_4_dg_hsm.html/BI/19619/KBID/12129/kw/SI8514SO/DFF/d10-v2-t1-xSI8514SO","link*")</f>
        <v>link*</v>
      </c>
      <c r="M64" s="88" t="str">
        <f>HYPERLINK("https://amzn.to/2Wto6JH","link*")</f>
        <v>link*</v>
      </c>
      <c r="N64"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64" s="83">
        <v>85.0</v>
      </c>
      <c r="P64" s="84" t="s">
        <v>26</v>
      </c>
      <c r="Q64" s="81">
        <v>9.0</v>
      </c>
      <c r="R64" s="123">
        <v>43724.0</v>
      </c>
      <c r="S64" s="81" t="s">
        <v>41</v>
      </c>
      <c r="T64" s="86">
        <v>43221.0</v>
      </c>
      <c r="U64" s="68" t="s">
        <v>42</v>
      </c>
    </row>
    <row r="65" hidden="1">
      <c r="A65" s="75" t="s">
        <v>125</v>
      </c>
      <c r="B65" s="76">
        <v>568.0</v>
      </c>
      <c r="C65" s="77">
        <v>85.0</v>
      </c>
      <c r="D65" s="78">
        <v>1.4</v>
      </c>
      <c r="E65" s="144">
        <v>88.0</v>
      </c>
      <c r="F65" s="145">
        <v>100.0</v>
      </c>
      <c r="G65" s="81" t="s">
        <v>30</v>
      </c>
      <c r="H65" s="82" t="s">
        <v>56</v>
      </c>
      <c r="I65" s="81">
        <v>0.11</v>
      </c>
      <c r="J65" s="153">
        <v>699.0</v>
      </c>
      <c r="K65" s="88" t="str">
        <f>HYPERLINK("https://amzn.to/2T0yJ1A","link*")</f>
        <v>link*</v>
      </c>
      <c r="L65" s="88" t="str">
        <f>HYPERLINK("https://www.bhphotovideo.com/c/product/1470654-REG/samyang_syio85af_e_af_85mm_f_1_4_lens.html/BI/19619/KBID/12129/DFF/d10-v21-t1-x955078/SID/EZ","link*")</f>
        <v>link*</v>
      </c>
      <c r="M65" s="89" t="s">
        <v>33</v>
      </c>
      <c r="N65"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65" s="83">
        <v>90.0</v>
      </c>
      <c r="P65" s="84" t="s">
        <v>26</v>
      </c>
      <c r="Q65" s="81">
        <v>9.0</v>
      </c>
      <c r="R65" s="123">
        <v>43688.0</v>
      </c>
      <c r="S65" s="81" t="s">
        <v>46</v>
      </c>
      <c r="T65" s="86">
        <v>43586.0</v>
      </c>
    </row>
    <row r="66" hidden="1">
      <c r="A66" s="131" t="str">
        <f>HYPERLINK("https://phillipreeve.net/blog/review-sony-fe-85-mm-1-8/","Sony FE 85mm f/1.8")</f>
        <v>Sony FE 85mm f/1.8</v>
      </c>
      <c r="B66" s="76">
        <v>371.0</v>
      </c>
      <c r="C66" s="77">
        <v>85.0</v>
      </c>
      <c r="D66" s="78">
        <v>1.8</v>
      </c>
      <c r="E66" s="144">
        <v>77.0</v>
      </c>
      <c r="F66" s="145">
        <v>82.0</v>
      </c>
      <c r="G66" s="81" t="s">
        <v>30</v>
      </c>
      <c r="H66" s="82" t="s">
        <v>53</v>
      </c>
      <c r="I66" s="81">
        <v>0.13</v>
      </c>
      <c r="J66" s="153">
        <v>599.0</v>
      </c>
      <c r="K66" s="88" t="str">
        <f>HYPERLINK("https://amzn.to/2YB4RxU","link*")</f>
        <v>link*</v>
      </c>
      <c r="L66" s="88" t="str">
        <f t="shared" ref="L66:L67" si="1">HYPERLINK("https://www.bhphotovideo.com/c/product/1140833-REG/zeiss_2103_751_85mm_f_1_8_batis_short.html/BI/19619/KBID/12129/DFF/d10-v21-t1-x627139/SID/EZ","link*")</f>
        <v>link*</v>
      </c>
      <c r="M66" s="89" t="s">
        <v>33</v>
      </c>
      <c r="N66"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66" s="83">
        <v>80.0</v>
      </c>
      <c r="P66" s="84" t="s">
        <v>26</v>
      </c>
      <c r="Q66" s="81">
        <v>9.0</v>
      </c>
      <c r="R66" s="123">
        <v>43686.0</v>
      </c>
      <c r="S66" s="81" t="s">
        <v>32</v>
      </c>
      <c r="T66" s="86">
        <v>42767.0</v>
      </c>
    </row>
    <row r="67" hidden="1">
      <c r="A67" s="131" t="str">
        <f>HYPERLINK("https://phillipreeve.net/blog/zeiss-batis-sonnar-t-85mm-f1-8-a-review/","Zeiss Batis 1.8/85")</f>
        <v>Zeiss Batis 1.8/85</v>
      </c>
      <c r="B67" s="76">
        <v>475.0</v>
      </c>
      <c r="C67" s="77">
        <v>85.0</v>
      </c>
      <c r="D67" s="78">
        <v>1.8</v>
      </c>
      <c r="E67" s="144">
        <v>92.0</v>
      </c>
      <c r="F67" s="145">
        <v>81.0</v>
      </c>
      <c r="G67" s="81" t="s">
        <v>30</v>
      </c>
      <c r="H67" s="82" t="s">
        <v>53</v>
      </c>
      <c r="I67" s="81">
        <v>0.13</v>
      </c>
      <c r="J67" s="87">
        <v>1199.0</v>
      </c>
      <c r="K67" s="88" t="str">
        <f>HYPERLINK("https://amzn.to/2T8oWqt","link*")</f>
        <v>link*</v>
      </c>
      <c r="L67" s="88" t="str">
        <f t="shared" si="1"/>
        <v>link*</v>
      </c>
      <c r="M67" s="89" t="s">
        <v>33</v>
      </c>
      <c r="N67"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67" s="83">
        <v>80.0</v>
      </c>
      <c r="P67" s="154" t="s">
        <v>49</v>
      </c>
      <c r="Q67" s="81">
        <v>9.0</v>
      </c>
      <c r="R67" s="123">
        <v>43688.0</v>
      </c>
      <c r="S67" s="81" t="s">
        <v>58</v>
      </c>
      <c r="T67" s="86">
        <v>42125.0</v>
      </c>
    </row>
    <row r="68" hidden="1">
      <c r="A68" s="90" t="s">
        <v>68</v>
      </c>
      <c r="B68" s="23">
        <v>464.0</v>
      </c>
      <c r="C68" s="24">
        <v>20.0</v>
      </c>
      <c r="D68" s="134">
        <v>2.0</v>
      </c>
      <c r="E68" s="135">
        <v>73.0</v>
      </c>
      <c r="F68" s="136">
        <v>82.0</v>
      </c>
      <c r="G68" s="32" t="s">
        <v>30</v>
      </c>
      <c r="H68" s="29" t="s">
        <v>66</v>
      </c>
      <c r="I68" s="30">
        <v>0.1</v>
      </c>
      <c r="J68" s="31">
        <v>30.0</v>
      </c>
      <c r="K68" s="32" t="s">
        <v>26</v>
      </c>
      <c r="L68" s="30">
        <v>9.0</v>
      </c>
      <c r="M68" s="112" t="s">
        <v>54</v>
      </c>
      <c r="N68" s="30" t="s">
        <v>67</v>
      </c>
      <c r="O68" s="34">
        <v>43221.0</v>
      </c>
      <c r="P68" s="35">
        <v>949.0</v>
      </c>
      <c r="Q68" s="35">
        <v>600.0</v>
      </c>
      <c r="R68" s="36" t="str">
        <f>HYPERLINK("https://amzn.to/2GDurZb","link*")</f>
        <v>link*</v>
      </c>
      <c r="S68" s="36" t="str">
        <f>HYPERLINK("https://www.bhphotovideo.com/c/product/1393327-REG/tokina_firin_20mm_f_2_fe.html/BI/19619/KBID/12129/DFF/d10-v21-t1-x880327/SID/EZ","link*")</f>
        <v>link*</v>
      </c>
      <c r="T68" s="36" t="str">
        <f>HYPERLINK("https://amzn.to/2GJYCxw","link*")</f>
        <v>link*</v>
      </c>
      <c r="U68" s="36"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V68" s="94"/>
    </row>
    <row r="69" hidden="1">
      <c r="A69" s="75" t="s">
        <v>229</v>
      </c>
      <c r="B69" s="76">
        <v>636.0</v>
      </c>
      <c r="C69" s="77">
        <v>85.0</v>
      </c>
      <c r="D69" s="78">
        <v>1.8</v>
      </c>
      <c r="E69" s="144">
        <v>79.0</v>
      </c>
      <c r="F69" s="145">
        <v>92.0</v>
      </c>
      <c r="G69" s="81" t="s">
        <v>30</v>
      </c>
      <c r="H69" s="82" t="s">
        <v>48</v>
      </c>
      <c r="I69" s="81">
        <v>0.13</v>
      </c>
      <c r="J69" s="87">
        <v>379.0</v>
      </c>
      <c r="K69" s="88" t="str">
        <f>HYPERLINK("https://amzn.to/2SZfd5v","link*")</f>
        <v>link*</v>
      </c>
      <c r="L69" s="88" t="str">
        <f>HYPERLINK("https://www.bhphotovideo.com/c/product/1470585-REG/viltrox_pfu_rbmh_85mm_f1_8_stm_e_mount_85mm_f_1_8_lens_for.html/BI/19619/KBID/12129/DFF/d10-v21-t1-x955239/SID/EZ","link*")</f>
        <v>link*</v>
      </c>
      <c r="M69" s="89" t="s">
        <v>33</v>
      </c>
      <c r="N69"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69" s="83">
        <v>80.0</v>
      </c>
      <c r="P69" s="84" t="s">
        <v>26</v>
      </c>
      <c r="Q69" s="81">
        <v>9.0</v>
      </c>
      <c r="R69" s="123">
        <v>43656.0</v>
      </c>
      <c r="S69" s="81" t="s">
        <v>63</v>
      </c>
      <c r="T69" s="86">
        <v>43586.0</v>
      </c>
    </row>
    <row r="70" hidden="1">
      <c r="A70" s="137" t="s">
        <v>69</v>
      </c>
      <c r="B70" s="76">
        <v>220.0</v>
      </c>
      <c r="C70" s="77">
        <v>20.0</v>
      </c>
      <c r="D70" s="78">
        <v>2.8</v>
      </c>
      <c r="E70" s="138">
        <v>73.0</v>
      </c>
      <c r="F70" s="139">
        <v>64.0</v>
      </c>
      <c r="G70" s="84" t="s">
        <v>30</v>
      </c>
      <c r="H70" s="82" t="s">
        <v>53</v>
      </c>
      <c r="I70" s="140">
        <v>0.5</v>
      </c>
      <c r="J70" s="83">
        <v>11.0</v>
      </c>
      <c r="K70" s="84" t="s">
        <v>26</v>
      </c>
      <c r="L70" s="81">
        <v>7.0</v>
      </c>
      <c r="M70" s="128" t="s">
        <v>70</v>
      </c>
      <c r="N70" s="81" t="s">
        <v>55</v>
      </c>
      <c r="O70" s="86">
        <v>43860.0</v>
      </c>
      <c r="P70" s="141">
        <v>349.0</v>
      </c>
      <c r="Q70" s="141"/>
      <c r="R70" s="130"/>
      <c r="S70" s="88" t="str">
        <f>HYPERLINK("https://www.bhphotovideo.com/c/product/1512041-REG/tamron_f050_20mm_f_2_8_di_iii.html/BI/19619/KBID/12129/DFF/d10-v21-t1-x994970/SID/EZ","link*")</f>
        <v>link*</v>
      </c>
      <c r="T70" s="130" t="s">
        <v>33</v>
      </c>
      <c r="U70" s="88" t="str">
        <f>HYPERLINK("http://rover.ebay.com/rover/1/711-53200-19255-0/1?icep_ff3=9&amp;pub=5575076376&amp;toolid=10001&amp;campid=5338573609&amp;customid=&amp;icep_uq=tamron+20+2.8+osd+&amp;icep_sellerId=&amp;icep_ex_kw=&amp;icep_sortBy=12&amp;icep_catId=3323&amp;icep_minPrice=&amp;icep_maxPrice=&amp;ipn=psmain&amp;icep_vectori"&amp;"d=229466&amp;kwid=902099&amp;mtid=824&amp;kw=lg","link*")</f>
        <v>link*</v>
      </c>
    </row>
    <row r="71" hidden="1">
      <c r="A71" s="131" t="str">
        <f>HYPERLINK("https://phillipreeve.net/blog/review-sony-fe-90mm-f2-8-macro-oss-one-of-sonys-finest/","Sony 2.8/90 G OSS")</f>
        <v>Sony 2.8/90 G OSS</v>
      </c>
      <c r="B71" s="76">
        <v>602.0</v>
      </c>
      <c r="C71" s="77">
        <v>90.0</v>
      </c>
      <c r="D71" s="78">
        <v>2.8</v>
      </c>
      <c r="E71" s="144">
        <v>79.0</v>
      </c>
      <c r="F71" s="145">
        <v>131.0</v>
      </c>
      <c r="G71" s="81" t="s">
        <v>30</v>
      </c>
      <c r="H71" s="82" t="s">
        <v>66</v>
      </c>
      <c r="I71" s="259">
        <v>1.0</v>
      </c>
      <c r="J71" s="87">
        <v>1099.0</v>
      </c>
      <c r="K71" s="88" t="str">
        <f>HYPERLINK("http://amzn.to/2fbeX3x","link*")</f>
        <v>link*</v>
      </c>
      <c r="L71" s="88" t="str">
        <f>HYPERLINK("https://www.bhphotovideo.com/c/product/1380868-REG/sony_fe_90mm_f_2_8_macro.html/BI/19619/KBID/12129/kw/SO9028F/DFF/d10-v2-t1-xSO9028F","link*")</f>
        <v>link*</v>
      </c>
      <c r="M71" s="88" t="str">
        <f>HYPERLINK("http://amzn.to/2vvvHcw","link*")</f>
        <v>link*</v>
      </c>
      <c r="N71"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71" s="83">
        <v>28.0</v>
      </c>
      <c r="P71" s="154" t="s">
        <v>49</v>
      </c>
      <c r="Q71" s="81">
        <v>9.0</v>
      </c>
      <c r="R71" s="123">
        <v>43784.0</v>
      </c>
      <c r="S71" s="81" t="s">
        <v>32</v>
      </c>
      <c r="T71" s="86">
        <v>42064.0</v>
      </c>
    </row>
    <row r="72" hidden="1">
      <c r="A72" s="131" t="str">
        <f>HYPERLINK("https://phillipreeve.net/blog/review-sony-fe-100-f-2-8-stf-gm-oss-lens/","Sony GM 2.8/100 STF OSS")</f>
        <v>Sony GM 2.8/100 STF OSS</v>
      </c>
      <c r="B72" s="76">
        <v>700.0</v>
      </c>
      <c r="C72" s="77">
        <v>100.0</v>
      </c>
      <c r="D72" s="78">
        <v>2.8</v>
      </c>
      <c r="E72" s="144">
        <v>85.0</v>
      </c>
      <c r="F72" s="145">
        <v>118.0</v>
      </c>
      <c r="G72" s="81" t="s">
        <v>30</v>
      </c>
      <c r="H72" s="82" t="s">
        <v>48</v>
      </c>
      <c r="I72" s="185">
        <v>0.25</v>
      </c>
      <c r="J72" s="87">
        <v>1499.0</v>
      </c>
      <c r="K72" s="88" t="str">
        <f>HYPERLINK("https://amzn.to/2YD8rn4","link*")</f>
        <v>link*</v>
      </c>
      <c r="L72" s="88" t="str">
        <f>HYPERLINK("https://www.bhphotovideo.com/c/product/1317561-REG/sony_sel100f28gm_fe_100mm_f_2_8_stf.html/BI/19619/KBID/12129/DFF/d10-v21-t1-x795192/SID/EZ","link*")</f>
        <v>link*</v>
      </c>
      <c r="M72" s="89" t="s">
        <v>33</v>
      </c>
      <c r="N72"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72" s="83">
        <v>57.0</v>
      </c>
      <c r="P72" s="154" t="s">
        <v>49</v>
      </c>
      <c r="Q72" s="81">
        <v>11.0</v>
      </c>
      <c r="R72" s="123">
        <v>43752.0</v>
      </c>
      <c r="S72" s="81" t="s">
        <v>32</v>
      </c>
      <c r="T72" s="86">
        <v>42767.0</v>
      </c>
      <c r="U72" s="68" t="s">
        <v>132</v>
      </c>
    </row>
    <row r="73" hidden="1">
      <c r="A73" s="131" t="str">
        <f>HYPERLINK("https://phillipreeve.net/blog/review-tokina-firin-100mm-f2-8-fe-macro/","Tokina Firin 2.8/100 Macro")</f>
        <v>Tokina Firin 2.8/100 Macro</v>
      </c>
      <c r="B73" s="76">
        <v>570.0</v>
      </c>
      <c r="C73" s="77">
        <v>100.0</v>
      </c>
      <c r="D73" s="78">
        <v>2.8</v>
      </c>
      <c r="E73" s="144">
        <v>74.0</v>
      </c>
      <c r="F73" s="151">
        <v>123.0</v>
      </c>
      <c r="G73" s="81" t="s">
        <v>30</v>
      </c>
      <c r="H73" s="82" t="s">
        <v>90</v>
      </c>
      <c r="I73" s="259">
        <v>1.0</v>
      </c>
      <c r="J73" s="129">
        <v>599.0</v>
      </c>
      <c r="K73" s="88" t="str">
        <f>HYPERLINK("http://amzn.to/2fbeX3x","link*")</f>
        <v>link*</v>
      </c>
      <c r="L73" s="88" t="str">
        <f>HYPERLINK("https://www.bhphotovideo.com/c/product/1473390-REG/tokina_frn_afm100fxse_firin_100mm_f_2_8_fe.html/BI/19619/KBID/12129/kw/TO100AF/DFF/d10-v2-t1-xTO100AF","link*")</f>
        <v>link*</v>
      </c>
      <c r="M73"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73"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73" s="83">
        <v>30.0</v>
      </c>
      <c r="P73" s="84" t="s">
        <v>26</v>
      </c>
      <c r="Q73" s="81">
        <v>9.0</v>
      </c>
      <c r="R73" s="123">
        <v>43686.0</v>
      </c>
      <c r="S73" s="81" t="s">
        <v>67</v>
      </c>
      <c r="T73" s="86">
        <v>43617.0</v>
      </c>
      <c r="U73" s="68" t="s">
        <v>42</v>
      </c>
    </row>
    <row r="74" hidden="1">
      <c r="A74" s="75" t="s">
        <v>135</v>
      </c>
      <c r="B74" s="76">
        <v>1395.0</v>
      </c>
      <c r="C74" s="77">
        <v>100.0</v>
      </c>
      <c r="D74" s="78" t="s">
        <v>118</v>
      </c>
      <c r="E74" s="144">
        <v>94.0</v>
      </c>
      <c r="F74" s="151">
        <v>205.0</v>
      </c>
      <c r="G74" s="81" t="s">
        <v>30</v>
      </c>
      <c r="H74" s="82" t="s">
        <v>56</v>
      </c>
      <c r="I74" s="185">
        <v>0.35</v>
      </c>
      <c r="J74" s="87">
        <v>2499.0</v>
      </c>
      <c r="K74" s="88" t="str">
        <f>HYPERLINK("https://amzn.to/2SZ0aZO","link*")</f>
        <v>link*</v>
      </c>
      <c r="L74" s="88" t="str">
        <f>HYPERLINK("https://www.bhphotovideo.com/c/product/1333230-REG/sony_sel100400gm_fe_100_400mm_f_4_5_5_6_gm.html/BI/19619/KBID/12129/DFF/d10-v21-t1-x817745/SID/EZ","link*")</f>
        <v>link*</v>
      </c>
      <c r="M74" s="89" t="s">
        <v>33</v>
      </c>
      <c r="N74"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74" s="83">
        <v>98.0</v>
      </c>
      <c r="P74" s="154" t="s">
        <v>49</v>
      </c>
      <c r="Q74" s="81">
        <v>11.0</v>
      </c>
      <c r="R74" s="85" t="s">
        <v>134</v>
      </c>
      <c r="S74" s="81" t="s">
        <v>32</v>
      </c>
      <c r="T74" s="86">
        <v>42826.0</v>
      </c>
    </row>
    <row r="75" hidden="1" customHeight="1">
      <c r="A75" s="75" t="s">
        <v>136</v>
      </c>
      <c r="B75" s="76">
        <v>1600.0</v>
      </c>
      <c r="C75" s="77">
        <v>105.0</v>
      </c>
      <c r="D75" s="78">
        <v>1.4</v>
      </c>
      <c r="E75" s="144">
        <v>116.0</v>
      </c>
      <c r="F75" s="151">
        <v>132.0</v>
      </c>
      <c r="G75" s="81" t="s">
        <v>30</v>
      </c>
      <c r="H75" s="384" t="s">
        <v>137</v>
      </c>
      <c r="I75" s="81">
        <v>0.12</v>
      </c>
      <c r="J75" s="87">
        <v>1599.0</v>
      </c>
      <c r="K75" s="88" t="str">
        <f>HYPERLINK("https://amzn.to/2EWeThZ","link*")</f>
        <v>link*</v>
      </c>
      <c r="L75" s="88" t="str">
        <f>HYPERLINK("https://www.bhphotovideo.com/c/product/1393488-REG/sigma_105mm_f_1_4_dg_hsm.html/BI/19619/KBID/12129/kw/SI10514SO/DFF/d10-v2-t1-xSI10514SO","link*")</f>
        <v>link*</v>
      </c>
      <c r="M75" s="88" t="str">
        <f>HYPERLINK("https://amzn.to/2WpOvTy","link*")</f>
        <v>link*</v>
      </c>
      <c r="N75"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75" s="83">
        <v>100.0</v>
      </c>
      <c r="P75" s="84" t="s">
        <v>26</v>
      </c>
      <c r="Q75" s="81">
        <v>9.0</v>
      </c>
      <c r="R75" s="123">
        <v>43816.0</v>
      </c>
      <c r="S75" s="81" t="s">
        <v>138</v>
      </c>
      <c r="T75" s="86">
        <v>43221.0</v>
      </c>
      <c r="U75" s="68" t="s">
        <v>42</v>
      </c>
    </row>
    <row r="76">
      <c r="A76" s="109" t="str">
        <f>HYPERLINK("https://phillipreeve.net/blog/review_voigtlander_21mm_f14_e/","Voigtlander 21mm F1.4 Nokton")</f>
        <v>Voigtlander 21mm F1.4 Nokton</v>
      </c>
      <c r="B76" s="39">
        <v>540.0</v>
      </c>
      <c r="C76" s="40">
        <v>21.0</v>
      </c>
      <c r="D76" s="143">
        <v>1.4</v>
      </c>
      <c r="E76" s="144">
        <v>70.0</v>
      </c>
      <c r="F76" s="145">
        <v>80.0</v>
      </c>
      <c r="G76" s="44" t="s">
        <v>24</v>
      </c>
      <c r="H76" s="45" t="s">
        <v>66</v>
      </c>
      <c r="I76" s="46"/>
      <c r="J76" s="47">
        <v>25.0</v>
      </c>
      <c r="K76" s="44" t="s">
        <v>26</v>
      </c>
      <c r="L76" s="46">
        <v>12.0</v>
      </c>
      <c r="M76" s="111" t="s">
        <v>54</v>
      </c>
      <c r="N76" s="46" t="s">
        <v>28</v>
      </c>
      <c r="O76" s="49">
        <v>43617.0</v>
      </c>
      <c r="P76" s="50">
        <v>1199.0</v>
      </c>
      <c r="Q76" s="50" t="s">
        <v>36</v>
      </c>
      <c r="R76" s="51" t="str">
        <f>HYPERLINK("https://amzn.to/2K7gHrC","link*")</f>
        <v>link*</v>
      </c>
      <c r="S76" s="51" t="str">
        <f>HYPERLINK("https://www.bhphotovideo.com/c/product/1480269-REG/voigtlander_ba352a_nokton_21mm_f_1_4_aspherical.html/BI/19619/KBID/12129/DFF/d10-v21-t1-x963269/SID/EZ","link*")</f>
        <v>link*</v>
      </c>
      <c r="T76" s="146"/>
      <c r="U76" s="51"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row>
    <row r="77" hidden="1">
      <c r="A77" s="131" t="str">
        <f>HYPERLINK("https://phillipreeve.net/blog/review-sony-fe-135mm-f1-8-gm/","Sony 1.8/135 GM")</f>
        <v>Sony 1.8/135 GM</v>
      </c>
      <c r="B77" s="76">
        <v>950.0</v>
      </c>
      <c r="C77" s="77">
        <v>135.0</v>
      </c>
      <c r="D77" s="78">
        <v>1.8</v>
      </c>
      <c r="E77" s="144">
        <v>90.0</v>
      </c>
      <c r="F77" s="145">
        <v>127.0</v>
      </c>
      <c r="G77" s="81" t="s">
        <v>30</v>
      </c>
      <c r="H77" s="270" t="s">
        <v>51</v>
      </c>
      <c r="I77" s="185">
        <v>0.25</v>
      </c>
      <c r="J77" s="87">
        <v>1899.0</v>
      </c>
      <c r="K77" s="88" t="str">
        <f>HYPERLINK("https://amzn.to/2WtonMJ","link*")</f>
        <v>link*</v>
      </c>
      <c r="L77" s="88" t="str">
        <f>HYPERLINK("https://www.bhphotovideo.com/c/product/1393495-REG/sigma_135mm_f_1_8_dg_hsm.html/BI/19619/KBID/12129/kw/SI13518SO/DFF/d10-v2-t1-xSI13518SO","link*")</f>
        <v>link*</v>
      </c>
      <c r="M77" s="88" t="str">
        <f>HYPERLINK("https://amzn.to/2Z9KKDE","link*")</f>
        <v>link*</v>
      </c>
      <c r="N77"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77" s="83">
        <v>70.0</v>
      </c>
      <c r="P77" s="84" t="s">
        <v>26</v>
      </c>
      <c r="Q77" s="81">
        <v>11.0</v>
      </c>
      <c r="R77" s="123">
        <v>43751.0</v>
      </c>
      <c r="S77" s="81" t="s">
        <v>32</v>
      </c>
      <c r="T77" s="86">
        <v>43525.0</v>
      </c>
    </row>
    <row r="78" hidden="1">
      <c r="A78" s="75" t="s">
        <v>142</v>
      </c>
      <c r="B78" s="76">
        <v>1130.0</v>
      </c>
      <c r="C78" s="77">
        <v>135.0</v>
      </c>
      <c r="D78" s="78">
        <v>1.8</v>
      </c>
      <c r="E78" s="144">
        <v>91.0</v>
      </c>
      <c r="F78" s="145">
        <v>115.0</v>
      </c>
      <c r="G78" s="81" t="s">
        <v>30</v>
      </c>
      <c r="H78" s="270" t="s">
        <v>51</v>
      </c>
      <c r="I78" s="81">
        <v>0.2</v>
      </c>
      <c r="J78" s="129">
        <v>1399.0</v>
      </c>
      <c r="K78" s="88" t="str">
        <f>HYPERLINK("https://amzn.to/2yxIM4R","link*")</f>
        <v>link*</v>
      </c>
      <c r="L78" s="88" t="str">
        <f>HYPERLINK("https://www.bhphotovideo.com/c/product/1393495-REG/sigma_135mm_f_1_8_dg_hsm.html/BI/19619/KBID/12129/DFF/d10-v21-t1-x881160/SID/EZ","link*")</f>
        <v>link*</v>
      </c>
      <c r="M78" s="89" t="s">
        <v>33</v>
      </c>
      <c r="N78"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78" s="83">
        <v>87.0</v>
      </c>
      <c r="P78" s="84" t="s">
        <v>26</v>
      </c>
      <c r="Q78" s="81">
        <v>9.0</v>
      </c>
      <c r="R78" s="123">
        <v>43751.0</v>
      </c>
      <c r="S78" s="81" t="s">
        <v>41</v>
      </c>
      <c r="T78" s="86">
        <v>43221.0</v>
      </c>
      <c r="U78" s="68" t="s">
        <v>42</v>
      </c>
    </row>
    <row r="79" hidden="1">
      <c r="A79" s="131" t="str">
        <f>HYPERLINK("https://phillipreeve.net/blog/zeiss-batis-apo-sonnar-t-135mm-f2-8/","Zeiss 2.8/135 APO")</f>
        <v>Zeiss 2.8/135 APO</v>
      </c>
      <c r="B79" s="76">
        <v>614.0</v>
      </c>
      <c r="C79" s="77">
        <v>135.0</v>
      </c>
      <c r="D79" s="78">
        <v>2.8</v>
      </c>
      <c r="E79" s="144">
        <v>99.0</v>
      </c>
      <c r="F79" s="145">
        <v>120.0</v>
      </c>
      <c r="G79" s="81" t="s">
        <v>30</v>
      </c>
      <c r="H79" s="82" t="s">
        <v>53</v>
      </c>
      <c r="I79" s="81">
        <v>0.19</v>
      </c>
      <c r="J79" s="87">
        <v>1699.0</v>
      </c>
      <c r="K79" s="88" t="str">
        <f>HYPERLINK("https://amzn.to/319GJA4","link*")</f>
        <v>link*</v>
      </c>
      <c r="L79" s="88" t="str">
        <f>HYPERLINK("https://www.bhphotovideo.com/c/product/1330083-REG/zeiss_2136_695_batis_135mm_f_2_8_lens.html/BI/19619/KBID/12129/DFF/d10-v21-t1-x814884/SID/EZ","link*")</f>
        <v>link*</v>
      </c>
      <c r="M79" s="89" t="s">
        <v>33</v>
      </c>
      <c r="N79"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79" s="83">
        <v>87.0</v>
      </c>
      <c r="P79" s="154" t="s">
        <v>49</v>
      </c>
      <c r="Q79" s="81">
        <v>9.0</v>
      </c>
      <c r="R79" s="123">
        <v>43783.0</v>
      </c>
      <c r="S79" s="81" t="s">
        <v>58</v>
      </c>
      <c r="T79" s="86">
        <v>42826.0</v>
      </c>
    </row>
    <row r="80" hidden="1">
      <c r="A80" s="75" t="s">
        <v>144</v>
      </c>
      <c r="B80" s="76">
        <v>2215.0</v>
      </c>
      <c r="C80" s="77">
        <v>200.0</v>
      </c>
      <c r="D80" s="78" t="s">
        <v>145</v>
      </c>
      <c r="E80" s="144">
        <v>112.0</v>
      </c>
      <c r="F80" s="145">
        <v>318.0</v>
      </c>
      <c r="G80" s="81" t="s">
        <v>30</v>
      </c>
      <c r="H80" s="198" t="s">
        <v>92</v>
      </c>
      <c r="I80" s="81">
        <v>0.2</v>
      </c>
      <c r="J80" s="87">
        <v>1999.0</v>
      </c>
      <c r="K80" s="89"/>
      <c r="L80" s="88" t="str">
        <f>HYPERLINK("https://www.bhphotovideo.com/c/product/1485540-REG/sony_sel200600g_fe_200_600mm_f_5_6_6_3_g.html/BI/19619/KBID/12129/DFF/d10-v21-t1-x968882/SID/EZ","link*")</f>
        <v>link*</v>
      </c>
      <c r="M80" s="89" t="s">
        <v>33</v>
      </c>
      <c r="N80"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80" s="83">
        <v>240.0</v>
      </c>
      <c r="P80" s="154" t="s">
        <v>49</v>
      </c>
      <c r="Q80" s="81">
        <v>11.0</v>
      </c>
      <c r="R80" s="85" t="s">
        <v>146</v>
      </c>
      <c r="S80" s="81" t="s">
        <v>32</v>
      </c>
      <c r="T80" s="86">
        <v>43647.0</v>
      </c>
    </row>
    <row r="81" hidden="1">
      <c r="A81" s="75" t="s">
        <v>147</v>
      </c>
      <c r="B81" s="76">
        <v>2895.0</v>
      </c>
      <c r="C81" s="77">
        <v>400.0</v>
      </c>
      <c r="D81" s="78">
        <v>2.8</v>
      </c>
      <c r="E81" s="144">
        <v>158.0</v>
      </c>
      <c r="F81" s="145">
        <v>359.0</v>
      </c>
      <c r="G81" s="81" t="s">
        <v>30</v>
      </c>
      <c r="H81" s="82" t="s">
        <v>148</v>
      </c>
      <c r="I81" s="81">
        <v>0.16</v>
      </c>
      <c r="J81" s="87">
        <v>11999.0</v>
      </c>
      <c r="K81" s="89"/>
      <c r="L81" s="88" t="str">
        <f>HYPERLINK("https://www.bhphotovideo.com/c/product/1369634-REG/sony_fe_400mm_f_2_8_gm.html/BI/19619/KBID/12129/DFF/d10-v21-t1-x905722/SID/EZ","link*")</f>
        <v>link*</v>
      </c>
      <c r="M81" s="89" t="s">
        <v>33</v>
      </c>
      <c r="N81"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81" s="83">
        <v>270.0</v>
      </c>
      <c r="P81" s="154" t="s">
        <v>49</v>
      </c>
      <c r="Q81" s="81">
        <v>11.0</v>
      </c>
      <c r="R81" s="85" t="s">
        <v>149</v>
      </c>
      <c r="S81" s="81" t="s">
        <v>32</v>
      </c>
      <c r="T81" s="86">
        <v>43313.0</v>
      </c>
    </row>
    <row r="82" hidden="1">
      <c r="A82" s="212" t="s">
        <v>150</v>
      </c>
      <c r="B82" s="213">
        <v>3040.0</v>
      </c>
      <c r="C82" s="214">
        <v>600.0</v>
      </c>
      <c r="D82" s="215">
        <v>4.0</v>
      </c>
      <c r="E82" s="144">
        <v>164.0</v>
      </c>
      <c r="F82" s="145">
        <v>449.0</v>
      </c>
      <c r="G82" s="218" t="s">
        <v>30</v>
      </c>
      <c r="H82" s="219" t="s">
        <v>25</v>
      </c>
      <c r="I82" s="218">
        <v>0.14</v>
      </c>
      <c r="J82" s="141" t="s">
        <v>230</v>
      </c>
      <c r="K82" s="89"/>
      <c r="L82" s="88" t="str">
        <f>HYPERLINK("https://www.bhphotovideo.com/c/product/1485539-REG/sony_sel600f40gm_fe_600mm_f_4_gm.html/BI/19619/KBID/12129/DFF/d10-v21-t1-x968881/SID/EZ","link*")</f>
        <v>link*</v>
      </c>
      <c r="M82" s="89" t="s">
        <v>33</v>
      </c>
      <c r="N82"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82" s="221">
        <v>451.0</v>
      </c>
      <c r="P82" s="154" t="s">
        <v>49</v>
      </c>
      <c r="Q82" s="218">
        <v>11.0</v>
      </c>
      <c r="R82" s="262" t="s">
        <v>151</v>
      </c>
      <c r="S82" s="218" t="s">
        <v>32</v>
      </c>
      <c r="T82" s="224">
        <v>43678.0</v>
      </c>
    </row>
    <row r="83" hidden="1">
      <c r="A83" s="275"/>
      <c r="B83" s="276"/>
      <c r="C83" s="277"/>
      <c r="D83" s="278"/>
      <c r="E83" s="144"/>
      <c r="F83" s="145"/>
      <c r="G83" s="68"/>
      <c r="H83" s="279"/>
      <c r="I83" s="68"/>
      <c r="J83" s="282"/>
      <c r="K83" s="283"/>
      <c r="L83" s="283"/>
      <c r="M83" s="283"/>
      <c r="N83" s="283"/>
      <c r="O83" s="280"/>
      <c r="P83" s="68"/>
      <c r="Q83" s="68"/>
      <c r="R83" s="68"/>
      <c r="S83" s="68"/>
      <c r="T83" s="281"/>
    </row>
    <row r="84" hidden="1">
      <c r="A84" s="275"/>
      <c r="B84" s="276"/>
      <c r="C84" s="277"/>
      <c r="D84" s="278"/>
      <c r="E84" s="144"/>
      <c r="F84" s="145"/>
      <c r="G84" s="68"/>
      <c r="H84" s="279"/>
      <c r="I84" s="68"/>
      <c r="J84" s="282"/>
      <c r="K84" s="283"/>
      <c r="L84" s="283"/>
      <c r="M84" s="283"/>
      <c r="N84" s="283"/>
      <c r="O84" s="280"/>
      <c r="P84" s="68"/>
      <c r="Q84" s="68"/>
      <c r="R84" s="68"/>
      <c r="S84" s="68"/>
      <c r="T84" s="281"/>
    </row>
    <row r="85" hidden="1">
      <c r="A85" s="275"/>
      <c r="B85" s="276"/>
      <c r="C85" s="277"/>
      <c r="D85" s="278"/>
      <c r="E85" s="144"/>
      <c r="F85" s="145"/>
      <c r="G85" s="68"/>
      <c r="H85" s="279"/>
      <c r="I85" s="68"/>
      <c r="J85" s="282"/>
      <c r="K85" s="283"/>
      <c r="L85" s="283"/>
      <c r="M85" s="283"/>
      <c r="N85" s="283"/>
      <c r="O85" s="280"/>
      <c r="P85" s="68"/>
      <c r="Q85" s="68"/>
      <c r="R85" s="68"/>
      <c r="S85" s="68"/>
      <c r="T85" s="281"/>
    </row>
    <row r="86" hidden="1">
      <c r="A86" s="275"/>
      <c r="B86" s="276"/>
      <c r="C86" s="277"/>
      <c r="D86" s="278"/>
      <c r="E86" s="144"/>
      <c r="F86" s="145"/>
      <c r="G86" s="68"/>
      <c r="H86" s="279"/>
      <c r="I86" s="68"/>
      <c r="J86" s="282"/>
      <c r="K86" s="283"/>
      <c r="L86" s="283"/>
      <c r="M86" s="283"/>
      <c r="N86" s="283"/>
      <c r="O86" s="280"/>
      <c r="P86" s="68"/>
      <c r="Q86" s="68"/>
      <c r="R86" s="68"/>
      <c r="S86" s="68"/>
      <c r="T86" s="281"/>
    </row>
    <row r="87" hidden="1">
      <c r="A87" s="275"/>
      <c r="B87" s="276"/>
      <c r="C87" s="277"/>
      <c r="D87" s="278"/>
      <c r="E87" s="144"/>
      <c r="F87" s="151"/>
      <c r="G87" s="68"/>
      <c r="H87" s="279"/>
      <c r="I87" s="68"/>
      <c r="J87" s="282"/>
      <c r="K87" s="283"/>
      <c r="L87" s="283"/>
      <c r="M87" s="283"/>
      <c r="N87" s="283"/>
      <c r="O87" s="280"/>
      <c r="P87" s="68"/>
      <c r="Q87" s="68"/>
      <c r="R87" s="68"/>
      <c r="S87" s="68"/>
      <c r="T87" s="281"/>
    </row>
    <row r="88" hidden="1">
      <c r="A88" s="275"/>
      <c r="B88" s="276"/>
      <c r="C88" s="277"/>
      <c r="D88" s="278"/>
      <c r="E88" s="144"/>
      <c r="F88" s="145"/>
      <c r="G88" s="68"/>
      <c r="H88" s="279"/>
      <c r="I88" s="68"/>
      <c r="J88" s="282"/>
      <c r="K88" s="283"/>
      <c r="L88" s="283"/>
      <c r="M88" s="283"/>
      <c r="N88" s="283"/>
      <c r="O88" s="280"/>
      <c r="P88" s="68"/>
      <c r="Q88" s="68"/>
      <c r="R88" s="68"/>
      <c r="S88" s="68"/>
      <c r="T88" s="281"/>
    </row>
    <row r="89" hidden="1">
      <c r="A89" s="275"/>
      <c r="B89" s="276"/>
      <c r="C89" s="277"/>
      <c r="D89" s="278"/>
      <c r="E89" s="144"/>
      <c r="F89" s="145"/>
      <c r="G89" s="68"/>
      <c r="H89" s="279"/>
      <c r="I89" s="68"/>
      <c r="J89" s="282"/>
      <c r="K89" s="283"/>
      <c r="L89" s="283"/>
      <c r="M89" s="283"/>
      <c r="N89" s="283"/>
      <c r="O89" s="280"/>
      <c r="P89" s="68"/>
      <c r="Q89" s="68"/>
      <c r="R89" s="68"/>
      <c r="S89" s="68"/>
      <c r="T89" s="281"/>
    </row>
    <row r="90" hidden="1">
      <c r="A90" s="275"/>
      <c r="B90" s="276"/>
      <c r="C90" s="277"/>
      <c r="D90" s="278"/>
      <c r="E90" s="144"/>
      <c r="F90" s="145"/>
      <c r="G90" s="68"/>
      <c r="H90" s="279"/>
      <c r="I90" s="68"/>
      <c r="J90" s="282"/>
      <c r="K90" s="283"/>
      <c r="L90" s="283"/>
      <c r="M90" s="283"/>
      <c r="N90" s="283"/>
      <c r="O90" s="280"/>
      <c r="P90" s="68"/>
      <c r="Q90" s="68"/>
      <c r="R90" s="68"/>
      <c r="S90" s="68"/>
      <c r="T90" s="281"/>
    </row>
    <row r="91" hidden="1">
      <c r="A91" s="275"/>
      <c r="B91" s="276"/>
      <c r="C91" s="277"/>
      <c r="D91" s="278"/>
      <c r="E91" s="144"/>
      <c r="F91" s="145"/>
      <c r="G91" s="68"/>
      <c r="H91" s="279"/>
      <c r="I91" s="68"/>
      <c r="J91" s="282"/>
      <c r="K91" s="283"/>
      <c r="L91" s="283"/>
      <c r="M91" s="283"/>
      <c r="N91" s="283"/>
      <c r="O91" s="280"/>
      <c r="P91" s="68"/>
      <c r="Q91" s="68"/>
      <c r="R91" s="68"/>
      <c r="S91" s="68"/>
      <c r="T91" s="281"/>
    </row>
    <row r="92" hidden="1">
      <c r="A92" s="275"/>
      <c r="B92" s="276"/>
      <c r="C92" s="277"/>
      <c r="D92" s="278"/>
      <c r="E92" s="144"/>
      <c r="F92" s="145"/>
      <c r="G92" s="68"/>
      <c r="H92" s="279"/>
      <c r="I92" s="68"/>
      <c r="J92" s="282"/>
      <c r="K92" s="283"/>
      <c r="L92" s="283"/>
      <c r="M92" s="283"/>
      <c r="N92" s="283"/>
      <c r="O92" s="280"/>
      <c r="P92" s="68"/>
      <c r="Q92" s="68"/>
      <c r="R92" s="68"/>
      <c r="S92" s="68"/>
      <c r="T92" s="281"/>
    </row>
    <row r="93" hidden="1">
      <c r="A93" s="275"/>
      <c r="B93" s="276"/>
      <c r="C93" s="277"/>
      <c r="D93" s="278"/>
      <c r="E93" s="144"/>
      <c r="F93" s="151"/>
      <c r="G93" s="68"/>
      <c r="H93" s="279"/>
      <c r="I93" s="68"/>
      <c r="J93" s="282"/>
      <c r="K93" s="283"/>
      <c r="L93" s="283"/>
      <c r="M93" s="283"/>
      <c r="N93" s="283"/>
      <c r="O93" s="280"/>
      <c r="P93" s="68"/>
      <c r="Q93" s="68"/>
      <c r="R93" s="68"/>
      <c r="S93" s="68"/>
      <c r="T93" s="281"/>
    </row>
    <row r="94" hidden="1">
      <c r="A94" s="275"/>
      <c r="B94" s="276"/>
      <c r="C94" s="277"/>
      <c r="D94" s="278"/>
      <c r="E94" s="144"/>
      <c r="F94" s="145"/>
      <c r="G94" s="68"/>
      <c r="H94" s="279"/>
      <c r="I94" s="68"/>
      <c r="J94" s="282"/>
      <c r="K94" s="283"/>
      <c r="L94" s="283"/>
      <c r="M94" s="283"/>
      <c r="N94" s="283"/>
      <c r="O94" s="280"/>
      <c r="P94" s="68"/>
      <c r="Q94" s="68"/>
      <c r="R94" s="68"/>
      <c r="S94" s="68"/>
      <c r="T94" s="281"/>
    </row>
    <row r="95" hidden="1">
      <c r="A95" s="275"/>
      <c r="B95" s="276"/>
      <c r="C95" s="277"/>
      <c r="D95" s="278"/>
      <c r="E95" s="175"/>
      <c r="F95" s="176"/>
      <c r="G95" s="68"/>
      <c r="H95" s="279"/>
      <c r="I95" s="68"/>
      <c r="J95" s="282"/>
      <c r="K95" s="283"/>
      <c r="L95" s="283"/>
      <c r="M95" s="283"/>
      <c r="N95" s="283"/>
      <c r="O95" s="280"/>
      <c r="P95" s="68"/>
      <c r="Q95" s="68"/>
      <c r="R95" s="68"/>
      <c r="S95" s="68"/>
      <c r="T95" s="281"/>
    </row>
    <row r="96" hidden="1">
      <c r="A96" s="275"/>
      <c r="B96" s="276"/>
      <c r="C96" s="277"/>
      <c r="D96" s="278"/>
      <c r="E96" s="284"/>
      <c r="F96" s="284"/>
      <c r="G96" s="68"/>
      <c r="H96" s="279"/>
      <c r="I96" s="68"/>
      <c r="J96" s="282"/>
      <c r="K96" s="283"/>
      <c r="L96" s="283"/>
      <c r="M96" s="283"/>
      <c r="N96" s="283"/>
      <c r="O96" s="280"/>
      <c r="P96" s="68"/>
      <c r="Q96" s="68"/>
      <c r="R96" s="68"/>
      <c r="S96" s="68"/>
      <c r="T96" s="281"/>
    </row>
    <row r="97" hidden="1">
      <c r="A97" s="275"/>
      <c r="B97" s="276"/>
      <c r="C97" s="277"/>
      <c r="D97" s="278"/>
      <c r="E97" s="284"/>
      <c r="F97" s="284"/>
      <c r="G97" s="68"/>
      <c r="H97" s="279"/>
      <c r="I97" s="68"/>
      <c r="J97" s="282"/>
      <c r="K97" s="283"/>
      <c r="L97" s="283"/>
      <c r="M97" s="283"/>
      <c r="N97" s="283"/>
      <c r="O97" s="280"/>
      <c r="P97" s="68"/>
      <c r="Q97" s="68"/>
      <c r="R97" s="68"/>
      <c r="S97" s="68"/>
      <c r="T97" s="281"/>
    </row>
    <row r="98" hidden="1">
      <c r="A98" s="275"/>
      <c r="B98" s="276"/>
      <c r="C98" s="277"/>
      <c r="D98" s="278"/>
      <c r="E98" s="284"/>
      <c r="F98" s="284"/>
      <c r="G98" s="68"/>
      <c r="H98" s="279"/>
      <c r="I98" s="68"/>
      <c r="J98" s="282"/>
      <c r="K98" s="283"/>
      <c r="L98" s="283"/>
      <c r="M98" s="283"/>
      <c r="N98" s="283"/>
      <c r="O98" s="280"/>
      <c r="P98" s="68"/>
      <c r="Q98" s="68"/>
      <c r="R98" s="68"/>
      <c r="S98" s="68"/>
      <c r="T98" s="281"/>
    </row>
    <row r="99" hidden="1">
      <c r="A99" s="275"/>
      <c r="B99" s="276"/>
      <c r="C99" s="277"/>
      <c r="D99" s="278"/>
      <c r="E99" s="284"/>
      <c r="F99" s="284"/>
      <c r="G99" s="68"/>
      <c r="H99" s="279"/>
      <c r="I99" s="68"/>
      <c r="J99" s="282"/>
      <c r="K99" s="283"/>
      <c r="L99" s="283"/>
      <c r="M99" s="283"/>
      <c r="N99" s="283"/>
      <c r="O99" s="280"/>
      <c r="P99" s="68"/>
      <c r="Q99" s="68"/>
      <c r="R99" s="68"/>
      <c r="S99" s="68"/>
      <c r="T99" s="281"/>
    </row>
    <row r="100" hidden="1">
      <c r="A100" s="275"/>
      <c r="B100" s="276"/>
      <c r="C100" s="277"/>
      <c r="D100" s="278"/>
      <c r="E100" s="284"/>
      <c r="F100" s="284"/>
      <c r="G100" s="68"/>
      <c r="H100" s="279"/>
      <c r="I100" s="68"/>
      <c r="J100" s="282"/>
      <c r="K100" s="283"/>
      <c r="L100" s="283"/>
      <c r="M100" s="283"/>
      <c r="N100" s="283"/>
      <c r="O100" s="280"/>
      <c r="P100" s="68"/>
      <c r="Q100" s="68"/>
      <c r="R100" s="68"/>
      <c r="S100" s="68"/>
      <c r="T100" s="281"/>
    </row>
    <row r="101" hidden="1">
      <c r="A101" s="275"/>
      <c r="B101" s="276"/>
      <c r="C101" s="277"/>
      <c r="D101" s="278"/>
      <c r="E101" s="284"/>
      <c r="F101" s="284"/>
      <c r="G101" s="68"/>
      <c r="H101" s="279"/>
      <c r="I101" s="68"/>
      <c r="J101" s="282"/>
      <c r="K101" s="283"/>
      <c r="L101" s="283"/>
      <c r="M101" s="283"/>
      <c r="N101" s="283"/>
      <c r="O101" s="280"/>
      <c r="P101" s="68"/>
      <c r="Q101" s="68"/>
      <c r="R101" s="68"/>
      <c r="S101" s="68"/>
      <c r="T101" s="281"/>
    </row>
    <row r="102" hidden="1">
      <c r="A102" s="275"/>
      <c r="B102" s="276"/>
      <c r="C102" s="277"/>
      <c r="D102" s="278"/>
      <c r="E102" s="284"/>
      <c r="F102" s="284"/>
      <c r="G102" s="68"/>
      <c r="H102" s="279"/>
      <c r="I102" s="68"/>
      <c r="J102" s="282"/>
      <c r="K102" s="283"/>
      <c r="L102" s="283"/>
      <c r="M102" s="283"/>
      <c r="N102" s="283"/>
      <c r="O102" s="280"/>
      <c r="P102" s="68"/>
      <c r="Q102" s="68"/>
      <c r="R102" s="68"/>
      <c r="S102" s="68"/>
      <c r="T102" s="281"/>
    </row>
    <row r="103" hidden="1">
      <c r="A103" s="291" t="s">
        <v>153</v>
      </c>
      <c r="B103" s="376">
        <f>Count(B2:B101)</f>
        <v>80</v>
      </c>
      <c r="C103" s="68" t="s">
        <v>231</v>
      </c>
      <c r="D103" s="68"/>
      <c r="E103" s="284"/>
      <c r="F103" s="293"/>
      <c r="G103" s="68"/>
      <c r="H103" s="279"/>
      <c r="I103" s="68"/>
      <c r="J103" s="68"/>
      <c r="K103" s="283"/>
      <c r="L103" s="283"/>
      <c r="M103" s="283"/>
      <c r="N103" s="283"/>
      <c r="O103" s="68"/>
      <c r="P103" s="68"/>
      <c r="Q103" s="68"/>
      <c r="R103" s="68"/>
      <c r="S103" s="68"/>
      <c r="T103" s="68"/>
    </row>
    <row r="104" hidden="1">
      <c r="A104" s="294" t="s">
        <v>232</v>
      </c>
      <c r="E104" s="284"/>
      <c r="F104" s="293"/>
      <c r="H104" s="295"/>
      <c r="K104" s="283"/>
      <c r="L104" s="283"/>
      <c r="M104" s="283"/>
      <c r="N104" s="283"/>
    </row>
    <row r="105" hidden="1">
      <c r="A105" s="275"/>
      <c r="B105" s="68"/>
      <c r="C105" s="68"/>
      <c r="D105" s="68"/>
      <c r="E105" s="284"/>
      <c r="F105" s="293"/>
      <c r="G105" s="68"/>
      <c r="H105" s="279"/>
      <c r="I105" s="68"/>
      <c r="J105" s="68"/>
      <c r="K105" s="283"/>
      <c r="L105" s="283"/>
      <c r="M105" s="283"/>
      <c r="N105" s="283"/>
      <c r="O105" s="68"/>
      <c r="P105" s="68"/>
      <c r="Q105" s="68"/>
      <c r="R105" s="68"/>
      <c r="S105" s="68"/>
      <c r="T105" s="68"/>
    </row>
    <row r="106" hidden="1">
      <c r="A106" s="377" t="str">
        <f>HYPERLINK("https://phillipreeve.net/blog/sony-fe-lenses/fe-list/","If you have a question or want to report any mistake please leave a comment on the blog.")</f>
        <v>If you have a question or want to report any mistake please leave a comment on the blog.</v>
      </c>
      <c r="B106" s="297"/>
      <c r="C106" s="297"/>
      <c r="D106" s="297"/>
      <c r="E106" s="298"/>
      <c r="F106" s="299"/>
      <c r="G106" s="297"/>
      <c r="H106" s="300"/>
      <c r="I106" s="297"/>
      <c r="J106" s="297"/>
      <c r="K106" s="283"/>
      <c r="L106" s="283"/>
      <c r="M106" s="283"/>
      <c r="N106" s="283"/>
    </row>
    <row r="107" hidden="1">
      <c r="E107" s="284"/>
      <c r="F107" s="293"/>
      <c r="H107" s="295"/>
      <c r="K107" s="283"/>
      <c r="L107" s="283"/>
      <c r="M107" s="283"/>
      <c r="N107" s="283"/>
    </row>
    <row r="108" hidden="1">
      <c r="A108" s="275" t="s">
        <v>155</v>
      </c>
      <c r="E108" s="284"/>
      <c r="F108" s="293"/>
      <c r="H108" s="295"/>
      <c r="K108" s="283"/>
      <c r="L108" s="283"/>
      <c r="M108" s="283"/>
      <c r="N108" s="283"/>
    </row>
    <row r="109" hidden="1">
      <c r="A109" s="301" t="str">
        <f>HYPERLINK("https://phillipreeve.net/blog/fe-lenses-sony-comprehensive-independent-guide/","Our Guide to FE-mount lenses - If you need any help on finding the right lens.")</f>
        <v>Our Guide to FE-mount lenses - If you need any help on finding the right lens.</v>
      </c>
      <c r="E109" s="284"/>
      <c r="F109" s="293"/>
      <c r="H109" s="295"/>
      <c r="K109" s="283"/>
      <c r="L109" s="283"/>
      <c r="M109" s="283"/>
      <c r="N109" s="283"/>
    </row>
    <row r="110" hidden="1">
      <c r="A110" s="301" t="str">
        <f>HYPERLINK("https://phillipreeve.net/blog/9-golden-rules-to-buy-the-wrong-lens/","10 golden rules to buy the wrong lens.")</f>
        <v>10 golden rules to buy the wrong lens.</v>
      </c>
      <c r="E110" s="284"/>
      <c r="F110" s="293"/>
      <c r="H110" s="295"/>
      <c r="K110" s="283"/>
      <c r="L110" s="283"/>
      <c r="M110" s="283"/>
      <c r="N110" s="283"/>
    </row>
    <row r="111" hidden="1">
      <c r="A111" s="301" t="str">
        <f>HYPERLINK("https://phillipreeve.net/blog/user-guide-ultra-wideangle-lenses-sony-alpha-7-series/","Our Guide to Ultra-Wideangle lenses")</f>
        <v>Our Guide to Ultra-Wideangle lenses</v>
      </c>
      <c r="E111" s="284"/>
      <c r="F111" s="293"/>
      <c r="H111" s="295"/>
      <c r="K111" s="283"/>
      <c r="L111" s="283"/>
      <c r="M111" s="283"/>
      <c r="N111" s="283"/>
    </row>
    <row r="112" hidden="1">
      <c r="A112" s="301" t="str">
        <f>HYPERLINK("https://phillipreeve.net/blog/wideangle-lenses-for-the-sony-alpha-7-series/","Our Guide to Wideangle lenses")</f>
        <v>Our Guide to Wideangle lenses</v>
      </c>
      <c r="E112" s="284"/>
      <c r="F112" s="293"/>
      <c r="H112" s="295"/>
      <c r="K112" s="283"/>
      <c r="L112" s="283"/>
      <c r="M112" s="283"/>
      <c r="N112" s="283"/>
    </row>
    <row r="113" hidden="1">
      <c r="A113" s="301" t="str">
        <f>HYPERLINK("https://phillipreeve.net/blog/guide-to-macro-lenses-for-the-sony-a7-series/","Our Guide to Macro lenses")</f>
        <v>Our Guide to Macro lenses</v>
      </c>
      <c r="E113" s="284"/>
      <c r="F113" s="293"/>
      <c r="H113" s="295"/>
      <c r="K113" s="283"/>
      <c r="L113" s="283"/>
      <c r="M113" s="283"/>
      <c r="N113" s="283"/>
    </row>
    <row r="114" hidden="1">
      <c r="A114" s="301" t="str">
        <f>HYPERLINK("https://phillipreeve.net/blog/user-guide-to-portrait-lenses-sony-a7-series/","Our Guide to Portrait lenses")</f>
        <v>Our Guide to Portrait lenses</v>
      </c>
      <c r="E114" s="284"/>
      <c r="F114" s="293"/>
      <c r="H114" s="295"/>
      <c r="K114" s="283"/>
      <c r="L114" s="283"/>
      <c r="M114" s="283"/>
      <c r="N114" s="283"/>
    </row>
    <row r="115" hidden="1">
      <c r="A115" s="301" t="str">
        <f>HYPERLINK("https://phillipreeve.net/blog/building-a-lens-kit/","Building a lens kit")</f>
        <v>Building a lens kit</v>
      </c>
      <c r="E115" s="284"/>
      <c r="F115" s="293"/>
      <c r="H115" s="295"/>
      <c r="K115" s="283"/>
      <c r="L115" s="283"/>
      <c r="M115" s="283"/>
      <c r="N115" s="283"/>
    </row>
    <row r="116" hidden="1">
      <c r="A116" s="68"/>
      <c r="H116" s="295"/>
      <c r="K116" s="283"/>
      <c r="L116" s="283"/>
      <c r="M116" s="283"/>
      <c r="N116" s="283"/>
    </row>
    <row r="117" hidden="1">
      <c r="A117" s="275" t="s">
        <v>158</v>
      </c>
      <c r="H117" s="295"/>
      <c r="K117" s="283"/>
      <c r="L117" s="283"/>
      <c r="M117" s="283"/>
      <c r="N117" s="283"/>
    </row>
    <row r="118" hidden="1">
      <c r="A118" s="68" t="s">
        <v>159</v>
      </c>
      <c r="H118" s="295"/>
      <c r="K118" s="283"/>
      <c r="L118" s="283"/>
      <c r="M118" s="283"/>
      <c r="N118" s="283"/>
    </row>
    <row r="119" hidden="1">
      <c r="A119" s="68" t="s">
        <v>160</v>
      </c>
      <c r="H119" s="295"/>
      <c r="K119" s="283"/>
      <c r="L119" s="283"/>
      <c r="M119" s="283"/>
      <c r="N119" s="283"/>
    </row>
    <row r="120" hidden="1">
      <c r="A120" s="68" t="s">
        <v>161</v>
      </c>
      <c r="H120" s="295"/>
      <c r="K120" s="283"/>
      <c r="L120" s="283"/>
      <c r="M120" s="283"/>
      <c r="N120" s="283"/>
    </row>
    <row r="121" hidden="1">
      <c r="A121" s="68" t="s">
        <v>162</v>
      </c>
      <c r="H121" s="295"/>
      <c r="K121" s="283"/>
      <c r="L121" s="283"/>
      <c r="M121" s="283"/>
      <c r="N121" s="283"/>
    </row>
    <row r="122" hidden="1">
      <c r="A122" s="302"/>
      <c r="H122" s="295"/>
      <c r="K122" s="283"/>
      <c r="L122" s="283"/>
      <c r="M122" s="283"/>
      <c r="N122" s="283"/>
    </row>
    <row r="123" hidden="1">
      <c r="A123" s="275" t="s">
        <v>163</v>
      </c>
      <c r="H123" s="295"/>
      <c r="K123" s="283"/>
      <c r="L123" s="283"/>
      <c r="M123" s="283"/>
      <c r="N123" s="283"/>
    </row>
    <row r="124" hidden="1">
      <c r="A124" s="68" t="s">
        <v>233</v>
      </c>
      <c r="D124" s="302"/>
      <c r="H124" s="295"/>
      <c r="K124" s="283"/>
      <c r="L124" s="283"/>
      <c r="M124" s="283"/>
      <c r="N124" s="283"/>
    </row>
    <row r="125" hidden="1">
      <c r="A125" s="68" t="s">
        <v>164</v>
      </c>
      <c r="D125" s="302"/>
      <c r="H125" s="295"/>
      <c r="K125" s="283"/>
      <c r="L125" s="283"/>
      <c r="M125" s="283"/>
      <c r="N125" s="283"/>
    </row>
    <row r="126" hidden="1">
      <c r="H126" s="295"/>
      <c r="K126" s="283"/>
      <c r="L126" s="283"/>
      <c r="M126" s="283"/>
      <c r="N126" s="283"/>
    </row>
    <row r="127" hidden="1">
      <c r="A127" s="301" t="str">
        <f>HYPERLINK("https://phillipreeve.net/blog/impressum/","Impressum")</f>
        <v>Impressum</v>
      </c>
      <c r="H127" s="295"/>
      <c r="K127" s="283"/>
      <c r="L127" s="283"/>
      <c r="M127" s="283"/>
      <c r="N127" s="283"/>
    </row>
    <row r="128" hidden="1">
      <c r="H128" s="295"/>
      <c r="K128" s="283"/>
      <c r="L128" s="283"/>
      <c r="M128" s="283"/>
      <c r="N128" s="283"/>
    </row>
    <row r="129" hidden="1">
      <c r="H129" s="295"/>
      <c r="K129" s="283"/>
      <c r="L129" s="283"/>
      <c r="M129" s="283"/>
      <c r="N129" s="283"/>
    </row>
    <row r="130" hidden="1">
      <c r="H130" s="295"/>
      <c r="K130" s="283"/>
      <c r="L130" s="283"/>
      <c r="M130" s="283"/>
      <c r="N130" s="283"/>
    </row>
    <row r="131" hidden="1">
      <c r="H131" s="295"/>
      <c r="K131" s="283"/>
      <c r="L131" s="283"/>
      <c r="M131" s="283"/>
      <c r="N131" s="283"/>
    </row>
    <row r="132" hidden="1">
      <c r="H132" s="295"/>
      <c r="K132" s="283"/>
      <c r="L132" s="283"/>
      <c r="M132" s="283"/>
      <c r="N132" s="283"/>
    </row>
    <row r="133" hidden="1">
      <c r="A133" s="275"/>
      <c r="H133" s="295"/>
      <c r="K133" s="283"/>
      <c r="L133" s="283"/>
      <c r="M133" s="283"/>
      <c r="N133" s="283"/>
    </row>
    <row r="134" hidden="1">
      <c r="A134" s="275"/>
      <c r="H134" s="295"/>
      <c r="K134" s="283"/>
      <c r="L134" s="283"/>
      <c r="M134" s="283"/>
      <c r="N134" s="283"/>
    </row>
    <row r="135" hidden="1">
      <c r="A135" s="275"/>
      <c r="H135" s="295"/>
      <c r="K135" s="283"/>
      <c r="L135" s="283"/>
      <c r="M135" s="283"/>
      <c r="N135" s="283"/>
    </row>
    <row r="136" hidden="1">
      <c r="A136" s="275"/>
      <c r="H136" s="295"/>
      <c r="K136" s="283"/>
      <c r="L136" s="283"/>
      <c r="M136" s="283"/>
      <c r="N136" s="283"/>
    </row>
    <row r="137" hidden="1">
      <c r="A137" s="275"/>
      <c r="H137" s="295"/>
      <c r="K137" s="283"/>
      <c r="L137" s="283"/>
      <c r="M137" s="283"/>
      <c r="N137" s="283"/>
    </row>
    <row r="138" hidden="1">
      <c r="A138" s="275"/>
      <c r="H138" s="295"/>
      <c r="K138" s="283"/>
      <c r="L138" s="283"/>
      <c r="M138" s="283"/>
      <c r="N138" s="283"/>
    </row>
    <row r="139" hidden="1">
      <c r="A139" s="302"/>
      <c r="H139" s="295"/>
      <c r="K139" s="283"/>
      <c r="L139" s="283"/>
      <c r="M139" s="283"/>
      <c r="N139" s="283"/>
    </row>
    <row r="140" hidden="1">
      <c r="A140" s="275"/>
      <c r="H140" s="295"/>
      <c r="K140" s="283"/>
      <c r="L140" s="283"/>
      <c r="M140" s="283"/>
      <c r="N140" s="283"/>
    </row>
    <row r="141" hidden="1">
      <c r="A141" s="275"/>
      <c r="H141" s="295"/>
      <c r="K141" s="283"/>
      <c r="L141" s="283"/>
      <c r="M141" s="283"/>
      <c r="N141" s="283"/>
    </row>
    <row r="142" hidden="1">
      <c r="A142" s="302"/>
      <c r="H142" s="295"/>
      <c r="K142" s="283"/>
      <c r="L142" s="283"/>
      <c r="M142" s="283"/>
      <c r="N142" s="283"/>
    </row>
    <row r="143" hidden="1">
      <c r="A143" s="275"/>
      <c r="H143" s="295"/>
      <c r="K143" s="283"/>
      <c r="L143" s="283"/>
      <c r="M143" s="283"/>
      <c r="N143" s="283"/>
    </row>
    <row r="144" hidden="1">
      <c r="A144" s="275"/>
      <c r="H144" s="295"/>
      <c r="K144" s="283"/>
      <c r="L144" s="283"/>
      <c r="M144" s="283"/>
      <c r="N144" s="283"/>
    </row>
    <row r="145" hidden="1">
      <c r="A145" s="275"/>
      <c r="H145" s="295"/>
      <c r="K145" s="283"/>
      <c r="L145" s="283"/>
      <c r="M145" s="283"/>
      <c r="N145" s="283"/>
    </row>
    <row r="146" hidden="1">
      <c r="A146" s="275"/>
      <c r="H146" s="295"/>
      <c r="K146" s="283"/>
      <c r="L146" s="283"/>
      <c r="M146" s="283"/>
      <c r="N146" s="283"/>
    </row>
    <row r="147" hidden="1">
      <c r="A147" s="275"/>
      <c r="H147" s="295"/>
      <c r="K147" s="283"/>
      <c r="L147" s="283"/>
      <c r="M147" s="283"/>
      <c r="N147" s="283"/>
    </row>
    <row r="148" hidden="1">
      <c r="A148" s="275"/>
      <c r="H148" s="295"/>
      <c r="K148" s="283"/>
      <c r="L148" s="283"/>
      <c r="M148" s="283"/>
      <c r="N148" s="283"/>
    </row>
    <row r="149" hidden="1">
      <c r="A149" s="275"/>
      <c r="H149" s="295"/>
      <c r="K149" s="283"/>
      <c r="L149" s="283"/>
      <c r="M149" s="283"/>
      <c r="N149" s="283"/>
    </row>
    <row r="150" hidden="1">
      <c r="A150" s="275"/>
      <c r="H150" s="295"/>
      <c r="K150" s="283"/>
      <c r="L150" s="283"/>
      <c r="M150" s="283"/>
      <c r="N150" s="283"/>
    </row>
    <row r="151" hidden="1">
      <c r="A151" s="275"/>
      <c r="H151" s="295"/>
      <c r="K151" s="283"/>
      <c r="L151" s="283"/>
      <c r="M151" s="283"/>
      <c r="N151" s="283"/>
    </row>
    <row r="152" hidden="1">
      <c r="A152" s="302"/>
      <c r="H152" s="295"/>
      <c r="K152" s="283"/>
      <c r="L152" s="283"/>
      <c r="M152" s="283"/>
      <c r="N152" s="283"/>
    </row>
    <row r="153" hidden="1">
      <c r="A153" s="302"/>
      <c r="H153" s="295"/>
      <c r="K153" s="283"/>
      <c r="L153" s="283"/>
      <c r="M153" s="283"/>
      <c r="N153" s="283"/>
    </row>
    <row r="154" hidden="1">
      <c r="H154" s="295"/>
      <c r="K154" s="283"/>
      <c r="L154" s="283"/>
      <c r="M154" s="283"/>
      <c r="N154" s="283"/>
    </row>
    <row r="155" hidden="1">
      <c r="H155" s="295"/>
      <c r="K155" s="283"/>
      <c r="L155" s="283"/>
      <c r="M155" s="283"/>
      <c r="N155" s="283"/>
    </row>
    <row r="156" hidden="1">
      <c r="H156" s="295"/>
      <c r="K156" s="283"/>
      <c r="L156" s="283"/>
      <c r="M156" s="283"/>
      <c r="N156" s="283"/>
    </row>
    <row r="157" hidden="1">
      <c r="H157" s="295"/>
      <c r="K157" s="283"/>
      <c r="L157" s="283"/>
      <c r="M157" s="283"/>
      <c r="N157" s="283"/>
    </row>
    <row r="158" hidden="1">
      <c r="H158" s="295"/>
    </row>
    <row r="159" hidden="1">
      <c r="H159" s="295"/>
    </row>
    <row r="160" hidden="1">
      <c r="H160" s="295"/>
    </row>
    <row r="161" hidden="1">
      <c r="H161" s="295"/>
    </row>
    <row r="162" hidden="1">
      <c r="H162" s="295"/>
    </row>
    <row r="163" hidden="1">
      <c r="H163" s="295"/>
    </row>
    <row r="164" hidden="1">
      <c r="H164" s="295"/>
    </row>
    <row r="165" hidden="1">
      <c r="H165" s="295"/>
    </row>
    <row r="166" hidden="1">
      <c r="H166" s="295"/>
    </row>
    <row r="167" hidden="1">
      <c r="H167" s="295"/>
    </row>
    <row r="168" hidden="1">
      <c r="H168" s="295"/>
    </row>
    <row r="169" hidden="1">
      <c r="H169" s="295"/>
    </row>
    <row r="170" hidden="1">
      <c r="H170" s="295"/>
    </row>
    <row r="171" hidden="1">
      <c r="H171" s="295"/>
    </row>
    <row r="172" hidden="1">
      <c r="H172" s="295"/>
    </row>
    <row r="173" hidden="1">
      <c r="H173" s="295"/>
    </row>
    <row r="174" hidden="1">
      <c r="H174" s="295"/>
    </row>
    <row r="175" hidden="1">
      <c r="H175" s="295"/>
    </row>
    <row r="176" hidden="1">
      <c r="H176" s="295"/>
    </row>
    <row r="177" hidden="1">
      <c r="H177" s="295"/>
    </row>
    <row r="178" hidden="1">
      <c r="H178" s="295"/>
    </row>
    <row r="179" hidden="1">
      <c r="H179" s="295"/>
    </row>
    <row r="180" hidden="1">
      <c r="H180" s="295"/>
    </row>
    <row r="181" hidden="1">
      <c r="H181" s="295"/>
    </row>
    <row r="182" hidden="1">
      <c r="H182" s="295"/>
    </row>
    <row r="183" hidden="1">
      <c r="H183" s="295"/>
    </row>
    <row r="184" hidden="1">
      <c r="H184" s="295"/>
    </row>
    <row r="185" hidden="1">
      <c r="H185" s="295"/>
    </row>
    <row r="186" hidden="1">
      <c r="H186" s="295"/>
    </row>
    <row r="187" hidden="1">
      <c r="H187" s="295"/>
    </row>
    <row r="188" hidden="1">
      <c r="H188" s="295"/>
    </row>
    <row r="189" hidden="1">
      <c r="H189" s="295"/>
    </row>
    <row r="190" hidden="1">
      <c r="H190" s="295"/>
    </row>
    <row r="191" hidden="1">
      <c r="H191" s="295"/>
    </row>
    <row r="192" hidden="1">
      <c r="H192" s="295"/>
    </row>
    <row r="193" hidden="1">
      <c r="H193" s="295"/>
    </row>
    <row r="194" hidden="1">
      <c r="H194" s="295"/>
    </row>
    <row r="195" hidden="1">
      <c r="H195" s="295"/>
    </row>
    <row r="196" hidden="1">
      <c r="H196" s="295"/>
    </row>
    <row r="197" hidden="1">
      <c r="H197" s="295"/>
    </row>
    <row r="198" hidden="1">
      <c r="H198" s="295"/>
    </row>
    <row r="199" hidden="1">
      <c r="H199" s="295"/>
    </row>
    <row r="200" hidden="1">
      <c r="H200" s="295"/>
    </row>
    <row r="201" hidden="1">
      <c r="H201" s="295"/>
    </row>
    <row r="202" hidden="1">
      <c r="H202" s="295"/>
    </row>
    <row r="203" hidden="1">
      <c r="H203" s="295"/>
    </row>
    <row r="204" hidden="1">
      <c r="H204" s="295"/>
    </row>
    <row r="205" hidden="1">
      <c r="H205" s="295"/>
    </row>
    <row r="206" hidden="1">
      <c r="H206" s="295"/>
    </row>
    <row r="207" hidden="1">
      <c r="H207" s="295"/>
    </row>
    <row r="208" hidden="1">
      <c r="H208" s="295"/>
    </row>
    <row r="209" hidden="1">
      <c r="H209" s="295"/>
    </row>
    <row r="210" hidden="1">
      <c r="H210" s="295"/>
    </row>
    <row r="211" hidden="1">
      <c r="H211" s="295"/>
    </row>
    <row r="212" hidden="1">
      <c r="H212" s="295"/>
    </row>
    <row r="213" hidden="1">
      <c r="H213" s="295"/>
    </row>
    <row r="214" hidden="1">
      <c r="H214" s="295"/>
    </row>
    <row r="215" hidden="1">
      <c r="H215" s="295"/>
    </row>
    <row r="216" hidden="1">
      <c r="H216" s="295"/>
    </row>
    <row r="217" hidden="1">
      <c r="H217" s="295"/>
    </row>
    <row r="218" hidden="1">
      <c r="H218" s="295"/>
    </row>
    <row r="219" hidden="1">
      <c r="H219" s="295"/>
    </row>
    <row r="220" hidden="1">
      <c r="H220" s="295"/>
    </row>
    <row r="221" hidden="1">
      <c r="H221" s="295"/>
    </row>
    <row r="222" hidden="1">
      <c r="H222" s="295"/>
    </row>
    <row r="223" hidden="1">
      <c r="H223" s="295"/>
    </row>
    <row r="224" hidden="1">
      <c r="H224" s="295"/>
    </row>
    <row r="225" hidden="1">
      <c r="H225" s="295"/>
    </row>
    <row r="226" hidden="1">
      <c r="H226" s="295"/>
    </row>
    <row r="227" hidden="1">
      <c r="H227" s="295"/>
    </row>
    <row r="228" hidden="1">
      <c r="H228" s="295"/>
    </row>
    <row r="229" hidden="1">
      <c r="H229" s="295"/>
    </row>
    <row r="230" hidden="1">
      <c r="H230" s="295"/>
    </row>
    <row r="231" hidden="1">
      <c r="H231" s="295"/>
    </row>
    <row r="232" hidden="1">
      <c r="H232" s="295"/>
    </row>
    <row r="233" hidden="1">
      <c r="H233" s="295"/>
    </row>
    <row r="234" hidden="1">
      <c r="H234" s="295"/>
    </row>
    <row r="235" hidden="1">
      <c r="H235" s="295"/>
    </row>
    <row r="236" hidden="1">
      <c r="H236" s="295"/>
    </row>
    <row r="237" hidden="1">
      <c r="H237" s="295"/>
    </row>
    <row r="238" hidden="1">
      <c r="H238" s="295"/>
    </row>
    <row r="239" hidden="1">
      <c r="H239" s="295"/>
    </row>
    <row r="240" hidden="1">
      <c r="H240" s="295"/>
    </row>
    <row r="241" hidden="1">
      <c r="H241" s="295"/>
    </row>
    <row r="242" hidden="1">
      <c r="H242" s="295"/>
    </row>
    <row r="243" hidden="1">
      <c r="H243" s="295"/>
    </row>
    <row r="244" hidden="1">
      <c r="H244" s="295"/>
    </row>
    <row r="245" hidden="1">
      <c r="H245" s="295"/>
    </row>
    <row r="246" hidden="1">
      <c r="H246" s="295"/>
    </row>
    <row r="247" hidden="1">
      <c r="H247" s="295"/>
    </row>
    <row r="248" hidden="1">
      <c r="H248" s="295"/>
    </row>
    <row r="249" hidden="1">
      <c r="H249" s="295"/>
    </row>
    <row r="250" hidden="1">
      <c r="H250" s="295"/>
    </row>
    <row r="251" hidden="1">
      <c r="H251" s="295"/>
    </row>
    <row r="252" hidden="1">
      <c r="H252" s="295"/>
    </row>
    <row r="253" hidden="1">
      <c r="H253" s="295"/>
    </row>
    <row r="254" hidden="1">
      <c r="H254" s="295"/>
    </row>
    <row r="255" hidden="1">
      <c r="H255" s="295"/>
    </row>
    <row r="256" hidden="1">
      <c r="H256" s="295"/>
    </row>
    <row r="257" hidden="1">
      <c r="H257" s="295"/>
    </row>
    <row r="258" hidden="1">
      <c r="H258" s="295"/>
    </row>
    <row r="259" hidden="1">
      <c r="H259" s="295"/>
    </row>
    <row r="260" hidden="1">
      <c r="H260" s="295"/>
    </row>
    <row r="261" hidden="1">
      <c r="H261" s="295"/>
    </row>
    <row r="262" hidden="1">
      <c r="H262" s="295"/>
    </row>
    <row r="263" hidden="1">
      <c r="H263" s="295"/>
    </row>
    <row r="264" hidden="1">
      <c r="H264" s="295"/>
    </row>
    <row r="265" hidden="1">
      <c r="H265" s="295"/>
    </row>
    <row r="266" hidden="1">
      <c r="H266" s="295"/>
    </row>
    <row r="267" hidden="1">
      <c r="H267" s="295"/>
    </row>
    <row r="268" hidden="1">
      <c r="H268" s="295"/>
    </row>
    <row r="269" hidden="1">
      <c r="H269" s="295"/>
    </row>
    <row r="270" hidden="1">
      <c r="H270" s="295"/>
    </row>
    <row r="271" hidden="1">
      <c r="H271" s="295"/>
    </row>
    <row r="272" hidden="1">
      <c r="H272" s="295"/>
    </row>
    <row r="273" hidden="1">
      <c r="H273" s="295"/>
    </row>
    <row r="274" hidden="1">
      <c r="H274" s="295"/>
    </row>
    <row r="275" hidden="1">
      <c r="H275" s="295"/>
    </row>
    <row r="276" hidden="1">
      <c r="H276" s="295"/>
    </row>
    <row r="277" hidden="1">
      <c r="H277" s="295"/>
    </row>
    <row r="278" hidden="1">
      <c r="H278" s="295"/>
    </row>
    <row r="279" hidden="1">
      <c r="H279" s="295"/>
    </row>
    <row r="280" hidden="1">
      <c r="H280" s="295"/>
    </row>
    <row r="281" hidden="1">
      <c r="H281" s="295"/>
    </row>
    <row r="282" hidden="1">
      <c r="H282" s="295"/>
    </row>
    <row r="283" hidden="1">
      <c r="H283" s="295"/>
    </row>
    <row r="284" hidden="1">
      <c r="H284" s="295"/>
    </row>
    <row r="285" hidden="1">
      <c r="H285" s="295"/>
    </row>
    <row r="286" hidden="1">
      <c r="H286" s="295"/>
    </row>
    <row r="287" hidden="1">
      <c r="H287" s="295"/>
    </row>
    <row r="288" hidden="1">
      <c r="H288" s="295"/>
    </row>
    <row r="289" hidden="1">
      <c r="H289" s="295"/>
    </row>
    <row r="290" hidden="1">
      <c r="H290" s="295"/>
    </row>
    <row r="291" hidden="1">
      <c r="H291" s="295"/>
    </row>
    <row r="292" hidden="1">
      <c r="H292" s="295"/>
    </row>
    <row r="293" hidden="1">
      <c r="H293" s="295"/>
    </row>
    <row r="294" hidden="1">
      <c r="H294" s="295"/>
    </row>
    <row r="295" hidden="1">
      <c r="H295" s="295"/>
    </row>
    <row r="296" hidden="1">
      <c r="H296" s="295"/>
    </row>
    <row r="297" hidden="1">
      <c r="H297" s="295"/>
    </row>
    <row r="298" hidden="1">
      <c r="H298" s="295"/>
    </row>
    <row r="299" hidden="1">
      <c r="H299" s="295"/>
    </row>
    <row r="300" hidden="1">
      <c r="H300" s="295"/>
    </row>
    <row r="301" hidden="1">
      <c r="H301" s="295"/>
    </row>
    <row r="302" hidden="1">
      <c r="H302" s="295"/>
    </row>
    <row r="303" hidden="1">
      <c r="H303" s="295"/>
    </row>
    <row r="304" hidden="1">
      <c r="H304" s="295"/>
    </row>
    <row r="305" hidden="1">
      <c r="H305" s="295"/>
    </row>
    <row r="306" hidden="1">
      <c r="H306" s="295"/>
    </row>
    <row r="307" hidden="1">
      <c r="H307" s="295"/>
    </row>
    <row r="308" hidden="1">
      <c r="H308" s="295"/>
    </row>
    <row r="309" hidden="1">
      <c r="H309" s="295"/>
    </row>
    <row r="310" hidden="1">
      <c r="H310" s="295"/>
    </row>
    <row r="311" hidden="1">
      <c r="H311" s="295"/>
    </row>
    <row r="312" hidden="1">
      <c r="H312" s="295"/>
    </row>
    <row r="313" hidden="1">
      <c r="H313" s="295"/>
    </row>
    <row r="314" hidden="1">
      <c r="H314" s="295"/>
    </row>
    <row r="315" hidden="1">
      <c r="H315" s="295"/>
    </row>
    <row r="316" hidden="1">
      <c r="H316" s="295"/>
    </row>
    <row r="317" hidden="1">
      <c r="H317" s="295"/>
    </row>
    <row r="318" hidden="1">
      <c r="H318" s="295"/>
    </row>
    <row r="319" hidden="1">
      <c r="H319" s="295"/>
    </row>
    <row r="320" hidden="1">
      <c r="H320" s="295"/>
    </row>
    <row r="321" hidden="1">
      <c r="H321" s="295"/>
    </row>
    <row r="322" hidden="1">
      <c r="H322" s="295"/>
    </row>
    <row r="323" hidden="1">
      <c r="H323" s="295"/>
    </row>
    <row r="324" hidden="1">
      <c r="H324" s="295"/>
    </row>
    <row r="325" hidden="1">
      <c r="H325" s="295"/>
    </row>
    <row r="326" hidden="1">
      <c r="H326" s="295"/>
    </row>
    <row r="327" hidden="1">
      <c r="H327" s="295"/>
    </row>
    <row r="328" hidden="1">
      <c r="H328" s="295"/>
    </row>
    <row r="329" hidden="1">
      <c r="H329" s="295"/>
    </row>
    <row r="330" hidden="1">
      <c r="H330" s="295"/>
    </row>
    <row r="331" hidden="1">
      <c r="H331" s="295"/>
    </row>
    <row r="332" hidden="1">
      <c r="H332" s="295"/>
    </row>
    <row r="333" hidden="1">
      <c r="H333" s="295"/>
    </row>
    <row r="334" hidden="1">
      <c r="H334" s="295"/>
    </row>
    <row r="335" hidden="1">
      <c r="H335" s="295"/>
    </row>
    <row r="336" hidden="1">
      <c r="H336" s="295"/>
    </row>
    <row r="337" hidden="1">
      <c r="H337" s="295"/>
    </row>
    <row r="338" hidden="1">
      <c r="H338" s="295"/>
    </row>
    <row r="339" hidden="1">
      <c r="H339" s="295"/>
    </row>
    <row r="340" hidden="1">
      <c r="H340" s="295"/>
    </row>
    <row r="341" hidden="1">
      <c r="H341" s="295"/>
    </row>
    <row r="342" hidden="1">
      <c r="H342" s="295"/>
    </row>
    <row r="343" hidden="1">
      <c r="H343" s="295"/>
    </row>
    <row r="344" hidden="1">
      <c r="H344" s="295"/>
    </row>
    <row r="345" hidden="1">
      <c r="H345" s="295"/>
    </row>
    <row r="346" hidden="1">
      <c r="H346" s="295"/>
    </row>
    <row r="347" hidden="1">
      <c r="H347" s="295"/>
    </row>
    <row r="348" hidden="1">
      <c r="H348" s="295"/>
    </row>
    <row r="349" hidden="1">
      <c r="H349" s="295"/>
    </row>
    <row r="350" hidden="1">
      <c r="H350" s="295"/>
    </row>
    <row r="351" hidden="1">
      <c r="H351" s="295"/>
    </row>
    <row r="352" hidden="1">
      <c r="H352" s="295"/>
    </row>
    <row r="353" hidden="1">
      <c r="H353" s="295"/>
    </row>
    <row r="354" hidden="1">
      <c r="H354" s="295"/>
    </row>
    <row r="355" hidden="1">
      <c r="H355" s="295"/>
    </row>
    <row r="356" hidden="1">
      <c r="H356" s="295"/>
    </row>
    <row r="357" hidden="1">
      <c r="H357" s="295"/>
    </row>
    <row r="358" hidden="1">
      <c r="H358" s="295"/>
    </row>
    <row r="359" hidden="1">
      <c r="H359" s="295"/>
    </row>
    <row r="360" hidden="1">
      <c r="H360" s="295"/>
    </row>
    <row r="361" hidden="1">
      <c r="H361" s="295"/>
    </row>
    <row r="362" hidden="1">
      <c r="H362" s="295"/>
    </row>
    <row r="363" hidden="1">
      <c r="H363" s="295"/>
    </row>
    <row r="364" hidden="1">
      <c r="H364" s="295"/>
    </row>
    <row r="365" hidden="1">
      <c r="H365" s="295"/>
    </row>
    <row r="366" hidden="1">
      <c r="H366" s="295"/>
    </row>
    <row r="367" hidden="1">
      <c r="H367" s="295"/>
    </row>
    <row r="368" hidden="1">
      <c r="H368" s="295"/>
    </row>
    <row r="369" hidden="1">
      <c r="H369" s="295"/>
    </row>
    <row r="370" hidden="1">
      <c r="H370" s="295"/>
    </row>
    <row r="371" hidden="1">
      <c r="H371" s="295"/>
    </row>
    <row r="372" hidden="1">
      <c r="H372" s="295"/>
    </row>
    <row r="373" hidden="1">
      <c r="H373" s="295"/>
    </row>
    <row r="374" hidden="1">
      <c r="H374" s="295"/>
    </row>
    <row r="375" hidden="1">
      <c r="H375" s="295"/>
    </row>
    <row r="376" hidden="1">
      <c r="H376" s="295"/>
    </row>
    <row r="377" hidden="1">
      <c r="H377" s="295"/>
    </row>
    <row r="378" hidden="1">
      <c r="H378" s="295"/>
    </row>
    <row r="379" hidden="1">
      <c r="H379" s="295"/>
    </row>
    <row r="380" hidden="1">
      <c r="H380" s="295"/>
    </row>
    <row r="381" hidden="1">
      <c r="H381" s="295"/>
    </row>
    <row r="382" hidden="1">
      <c r="H382" s="295"/>
    </row>
    <row r="383" hidden="1">
      <c r="H383" s="295"/>
    </row>
    <row r="384" hidden="1">
      <c r="H384" s="295"/>
    </row>
    <row r="385" hidden="1">
      <c r="H385" s="295"/>
    </row>
    <row r="386" hidden="1">
      <c r="H386" s="295"/>
    </row>
    <row r="387" hidden="1">
      <c r="H387" s="295"/>
    </row>
    <row r="388" hidden="1">
      <c r="H388" s="295"/>
    </row>
    <row r="389" hidden="1">
      <c r="H389" s="295"/>
    </row>
    <row r="390" hidden="1">
      <c r="H390" s="295"/>
    </row>
    <row r="391" hidden="1">
      <c r="H391" s="295"/>
    </row>
    <row r="392" hidden="1">
      <c r="H392" s="295"/>
    </row>
    <row r="393" hidden="1">
      <c r="H393" s="295"/>
    </row>
    <row r="394" hidden="1">
      <c r="H394" s="295"/>
    </row>
    <row r="395" hidden="1">
      <c r="H395" s="295"/>
    </row>
    <row r="396" hidden="1">
      <c r="H396" s="295"/>
    </row>
    <row r="397" hidden="1">
      <c r="H397" s="295"/>
    </row>
    <row r="398" hidden="1">
      <c r="H398" s="295"/>
    </row>
    <row r="399" hidden="1">
      <c r="H399" s="295"/>
    </row>
    <row r="400" hidden="1">
      <c r="H400" s="295"/>
    </row>
    <row r="401" hidden="1">
      <c r="H401" s="295"/>
    </row>
    <row r="402" hidden="1">
      <c r="H402" s="295"/>
    </row>
    <row r="403" hidden="1">
      <c r="H403" s="295"/>
    </row>
    <row r="404" hidden="1">
      <c r="H404" s="295"/>
    </row>
    <row r="405" hidden="1">
      <c r="H405" s="295"/>
    </row>
    <row r="406" hidden="1">
      <c r="H406" s="295"/>
    </row>
    <row r="407" hidden="1">
      <c r="H407" s="295"/>
    </row>
    <row r="408" hidden="1">
      <c r="H408" s="295"/>
    </row>
    <row r="409" hidden="1">
      <c r="H409" s="295"/>
    </row>
    <row r="410" hidden="1">
      <c r="H410" s="295"/>
    </row>
    <row r="411" hidden="1">
      <c r="H411" s="295"/>
    </row>
    <row r="412" hidden="1">
      <c r="H412" s="295"/>
    </row>
    <row r="413" hidden="1">
      <c r="H413" s="295"/>
    </row>
    <row r="414" hidden="1">
      <c r="H414" s="295"/>
    </row>
    <row r="415" hidden="1">
      <c r="H415" s="295"/>
    </row>
    <row r="416" hidden="1">
      <c r="H416" s="295"/>
    </row>
    <row r="417" hidden="1">
      <c r="H417" s="295"/>
    </row>
    <row r="418" hidden="1">
      <c r="H418" s="295"/>
    </row>
    <row r="419" hidden="1">
      <c r="H419" s="295"/>
    </row>
    <row r="420" hidden="1">
      <c r="H420" s="295"/>
    </row>
    <row r="421" hidden="1">
      <c r="H421" s="295"/>
    </row>
    <row r="422" hidden="1">
      <c r="H422" s="295"/>
    </row>
    <row r="423" hidden="1">
      <c r="H423" s="295"/>
    </row>
    <row r="424" hidden="1">
      <c r="H424" s="295"/>
    </row>
    <row r="425" hidden="1">
      <c r="H425" s="295"/>
    </row>
    <row r="426" hidden="1">
      <c r="H426" s="295"/>
    </row>
    <row r="427" hidden="1">
      <c r="H427" s="295"/>
    </row>
    <row r="428" hidden="1">
      <c r="H428" s="295"/>
    </row>
    <row r="429" hidden="1">
      <c r="H429" s="295"/>
    </row>
    <row r="430" hidden="1">
      <c r="H430" s="295"/>
    </row>
    <row r="431" hidden="1">
      <c r="H431" s="295"/>
    </row>
    <row r="432" hidden="1">
      <c r="H432" s="295"/>
    </row>
    <row r="433" hidden="1">
      <c r="H433" s="295"/>
    </row>
    <row r="434" hidden="1">
      <c r="H434" s="295"/>
    </row>
    <row r="435" hidden="1">
      <c r="H435" s="295"/>
    </row>
    <row r="436" hidden="1">
      <c r="H436" s="295"/>
    </row>
    <row r="437" hidden="1">
      <c r="H437" s="295"/>
    </row>
    <row r="438" hidden="1">
      <c r="H438" s="295"/>
    </row>
    <row r="439" hidden="1">
      <c r="H439" s="295"/>
    </row>
    <row r="440" hidden="1">
      <c r="H440" s="295"/>
    </row>
    <row r="441" hidden="1">
      <c r="H441" s="295"/>
    </row>
    <row r="442" hidden="1">
      <c r="H442" s="295"/>
    </row>
    <row r="443" hidden="1">
      <c r="H443" s="295"/>
    </row>
    <row r="444" hidden="1">
      <c r="H444" s="295"/>
    </row>
    <row r="445" hidden="1">
      <c r="H445" s="295"/>
    </row>
    <row r="446" hidden="1">
      <c r="H446" s="295"/>
    </row>
    <row r="447" hidden="1">
      <c r="H447" s="295"/>
    </row>
    <row r="448" hidden="1">
      <c r="H448" s="295"/>
    </row>
    <row r="449" hidden="1">
      <c r="H449" s="295"/>
    </row>
    <row r="450" hidden="1">
      <c r="H450" s="295"/>
    </row>
    <row r="451" hidden="1">
      <c r="H451" s="295"/>
    </row>
    <row r="452" hidden="1">
      <c r="H452" s="295"/>
    </row>
    <row r="453" hidden="1">
      <c r="H453" s="295"/>
    </row>
    <row r="454" hidden="1">
      <c r="H454" s="295"/>
    </row>
    <row r="455" hidden="1">
      <c r="H455" s="295"/>
    </row>
    <row r="456" hidden="1">
      <c r="H456" s="295"/>
    </row>
    <row r="457" hidden="1">
      <c r="H457" s="295"/>
    </row>
    <row r="458" hidden="1">
      <c r="H458" s="295"/>
    </row>
    <row r="459" hidden="1">
      <c r="H459" s="295"/>
    </row>
    <row r="460" hidden="1">
      <c r="H460" s="295"/>
    </row>
    <row r="461" hidden="1">
      <c r="H461" s="295"/>
    </row>
    <row r="462" hidden="1">
      <c r="H462" s="295"/>
    </row>
    <row r="463" hidden="1">
      <c r="H463" s="295"/>
    </row>
    <row r="464" hidden="1">
      <c r="H464" s="295"/>
    </row>
    <row r="465" hidden="1">
      <c r="H465" s="295"/>
    </row>
    <row r="466" hidden="1">
      <c r="H466" s="295"/>
    </row>
    <row r="467" hidden="1">
      <c r="H467" s="295"/>
    </row>
    <row r="468" hidden="1">
      <c r="H468" s="295"/>
    </row>
    <row r="469" hidden="1">
      <c r="H469" s="295"/>
    </row>
    <row r="470" hidden="1">
      <c r="H470" s="295"/>
    </row>
    <row r="471" hidden="1">
      <c r="H471" s="295"/>
    </row>
    <row r="472" hidden="1">
      <c r="H472" s="295"/>
    </row>
    <row r="473" hidden="1">
      <c r="H473" s="295"/>
    </row>
    <row r="474" hidden="1">
      <c r="H474" s="295"/>
    </row>
    <row r="475" hidden="1">
      <c r="H475" s="295"/>
    </row>
    <row r="476" hidden="1">
      <c r="H476" s="295"/>
    </row>
    <row r="477" hidden="1">
      <c r="H477" s="295"/>
    </row>
    <row r="478" hidden="1">
      <c r="H478" s="295"/>
    </row>
    <row r="479" hidden="1">
      <c r="H479" s="295"/>
    </row>
    <row r="480" hidden="1">
      <c r="H480" s="295"/>
    </row>
    <row r="481" hidden="1">
      <c r="H481" s="295"/>
    </row>
    <row r="482" hidden="1">
      <c r="H482" s="295"/>
    </row>
    <row r="483" hidden="1">
      <c r="H483" s="295"/>
    </row>
    <row r="484" hidden="1">
      <c r="H484" s="295"/>
    </row>
    <row r="485" hidden="1">
      <c r="H485" s="295"/>
    </row>
    <row r="486" hidden="1">
      <c r="H486" s="295"/>
    </row>
    <row r="487" hidden="1">
      <c r="H487" s="295"/>
    </row>
    <row r="488" hidden="1">
      <c r="H488" s="295"/>
    </row>
    <row r="489" hidden="1">
      <c r="H489" s="295"/>
    </row>
    <row r="490" hidden="1">
      <c r="H490" s="295"/>
    </row>
    <row r="491" hidden="1">
      <c r="H491" s="295"/>
    </row>
    <row r="492" hidden="1">
      <c r="H492" s="295"/>
    </row>
    <row r="493" hidden="1">
      <c r="H493" s="295"/>
    </row>
    <row r="494" hidden="1">
      <c r="H494" s="295"/>
    </row>
    <row r="495" hidden="1">
      <c r="H495" s="295"/>
    </row>
    <row r="496" hidden="1">
      <c r="H496" s="295"/>
    </row>
    <row r="497" hidden="1">
      <c r="H497" s="295"/>
    </row>
    <row r="498" hidden="1">
      <c r="H498" s="295"/>
    </row>
    <row r="499" hidden="1">
      <c r="H499" s="295"/>
    </row>
    <row r="500" hidden="1">
      <c r="H500" s="295"/>
    </row>
    <row r="501" hidden="1">
      <c r="H501" s="295"/>
    </row>
    <row r="502" hidden="1">
      <c r="H502" s="295"/>
    </row>
    <row r="503" hidden="1">
      <c r="H503" s="295"/>
    </row>
    <row r="504" hidden="1">
      <c r="H504" s="295"/>
    </row>
    <row r="505" hidden="1">
      <c r="H505" s="295"/>
    </row>
    <row r="506" hidden="1">
      <c r="H506" s="295"/>
    </row>
    <row r="507" hidden="1">
      <c r="H507" s="295"/>
    </row>
    <row r="508" hidden="1">
      <c r="H508" s="295"/>
    </row>
    <row r="509" hidden="1">
      <c r="H509" s="295"/>
    </row>
    <row r="510" hidden="1">
      <c r="H510" s="295"/>
    </row>
    <row r="511" hidden="1">
      <c r="H511" s="295"/>
    </row>
    <row r="512" hidden="1">
      <c r="H512" s="295"/>
    </row>
    <row r="513" hidden="1">
      <c r="H513" s="295"/>
    </row>
    <row r="514" hidden="1">
      <c r="H514" s="295"/>
    </row>
    <row r="515" hidden="1">
      <c r="H515" s="295"/>
    </row>
    <row r="516" hidden="1">
      <c r="H516" s="295"/>
    </row>
    <row r="517" hidden="1">
      <c r="H517" s="295"/>
    </row>
    <row r="518" hidden="1">
      <c r="H518" s="295"/>
    </row>
    <row r="519" hidden="1">
      <c r="H519" s="295"/>
    </row>
    <row r="520" hidden="1">
      <c r="H520" s="295"/>
    </row>
    <row r="521" hidden="1">
      <c r="H521" s="295"/>
    </row>
    <row r="522" hidden="1">
      <c r="H522" s="295"/>
    </row>
    <row r="523" hidden="1">
      <c r="H523" s="295"/>
    </row>
    <row r="524" hidden="1">
      <c r="H524" s="295"/>
    </row>
    <row r="525" hidden="1">
      <c r="H525" s="295"/>
    </row>
    <row r="526" hidden="1">
      <c r="H526" s="295"/>
    </row>
    <row r="527" hidden="1">
      <c r="H527" s="295"/>
    </row>
    <row r="528" hidden="1">
      <c r="H528" s="295"/>
    </row>
    <row r="529" hidden="1">
      <c r="H529" s="295"/>
    </row>
    <row r="530" hidden="1">
      <c r="H530" s="295"/>
    </row>
    <row r="531" hidden="1">
      <c r="H531" s="295"/>
    </row>
    <row r="532" hidden="1">
      <c r="H532" s="295"/>
    </row>
    <row r="533" hidden="1">
      <c r="H533" s="295"/>
    </row>
    <row r="534" hidden="1">
      <c r="H534" s="295"/>
    </row>
    <row r="535" hidden="1">
      <c r="H535" s="295"/>
    </row>
    <row r="536" hidden="1">
      <c r="H536" s="295"/>
    </row>
    <row r="537" hidden="1">
      <c r="H537" s="295"/>
    </row>
    <row r="538" hidden="1">
      <c r="H538" s="295"/>
    </row>
    <row r="539" hidden="1">
      <c r="H539" s="295"/>
    </row>
    <row r="540" hidden="1">
      <c r="H540" s="295"/>
    </row>
    <row r="541" hidden="1">
      <c r="H541" s="295"/>
    </row>
    <row r="542" hidden="1">
      <c r="H542" s="295"/>
    </row>
    <row r="543" hidden="1">
      <c r="H543" s="295"/>
    </row>
    <row r="544" hidden="1">
      <c r="H544" s="295"/>
    </row>
    <row r="545" hidden="1">
      <c r="H545" s="295"/>
    </row>
    <row r="546" hidden="1">
      <c r="H546" s="295"/>
    </row>
    <row r="547" hidden="1">
      <c r="H547" s="295"/>
    </row>
    <row r="548" hidden="1">
      <c r="H548" s="295"/>
    </row>
    <row r="549" hidden="1">
      <c r="H549" s="295"/>
    </row>
    <row r="550" hidden="1">
      <c r="H550" s="295"/>
    </row>
    <row r="551" hidden="1">
      <c r="H551" s="295"/>
    </row>
    <row r="552" hidden="1">
      <c r="H552" s="295"/>
    </row>
    <row r="553" hidden="1">
      <c r="H553" s="295"/>
    </row>
    <row r="554" hidden="1">
      <c r="H554" s="295"/>
    </row>
    <row r="555" hidden="1">
      <c r="H555" s="295"/>
    </row>
    <row r="556" hidden="1">
      <c r="H556" s="295"/>
    </row>
    <row r="557" hidden="1">
      <c r="H557" s="295"/>
    </row>
    <row r="558" hidden="1">
      <c r="H558" s="295"/>
    </row>
    <row r="559" hidden="1">
      <c r="H559" s="295"/>
    </row>
    <row r="560" hidden="1">
      <c r="H560" s="295"/>
    </row>
    <row r="561" hidden="1">
      <c r="H561" s="295"/>
    </row>
    <row r="562" hidden="1">
      <c r="H562" s="295"/>
    </row>
    <row r="563" hidden="1">
      <c r="H563" s="295"/>
    </row>
    <row r="564" hidden="1">
      <c r="H564" s="295"/>
    </row>
    <row r="565" hidden="1">
      <c r="H565" s="295"/>
    </row>
    <row r="566" hidden="1">
      <c r="H566" s="295"/>
    </row>
    <row r="567" hidden="1">
      <c r="H567" s="295"/>
    </row>
    <row r="568" hidden="1">
      <c r="H568" s="295"/>
    </row>
    <row r="569" hidden="1">
      <c r="H569" s="295"/>
    </row>
    <row r="570" hidden="1">
      <c r="H570" s="295"/>
    </row>
    <row r="571" hidden="1">
      <c r="H571" s="295"/>
    </row>
    <row r="572" hidden="1">
      <c r="H572" s="295"/>
    </row>
    <row r="573" hidden="1">
      <c r="H573" s="295"/>
    </row>
    <row r="574" hidden="1">
      <c r="H574" s="295"/>
    </row>
    <row r="575" hidden="1">
      <c r="H575" s="295"/>
    </row>
    <row r="576" hidden="1">
      <c r="H576" s="295"/>
    </row>
    <row r="577" hidden="1">
      <c r="H577" s="295"/>
    </row>
    <row r="578" hidden="1">
      <c r="H578" s="295"/>
    </row>
    <row r="579" hidden="1">
      <c r="H579" s="295"/>
    </row>
    <row r="580" hidden="1">
      <c r="H580" s="295"/>
    </row>
    <row r="581" hidden="1">
      <c r="H581" s="295"/>
    </row>
    <row r="582" hidden="1">
      <c r="H582" s="295"/>
    </row>
    <row r="583" hidden="1">
      <c r="H583" s="295"/>
    </row>
    <row r="584" hidden="1">
      <c r="H584" s="295"/>
    </row>
    <row r="585" hidden="1">
      <c r="H585" s="295"/>
    </row>
    <row r="586" hidden="1">
      <c r="H586" s="295"/>
    </row>
    <row r="587" hidden="1">
      <c r="H587" s="295"/>
    </row>
    <row r="588" hidden="1">
      <c r="H588" s="295"/>
    </row>
    <row r="589" hidden="1">
      <c r="H589" s="295"/>
    </row>
    <row r="590" hidden="1">
      <c r="H590" s="295"/>
    </row>
    <row r="591" hidden="1">
      <c r="H591" s="295"/>
    </row>
    <row r="592" hidden="1">
      <c r="H592" s="295"/>
    </row>
    <row r="593" hidden="1">
      <c r="H593" s="295"/>
    </row>
    <row r="594" hidden="1">
      <c r="H594" s="295"/>
    </row>
    <row r="595" hidden="1">
      <c r="H595" s="295"/>
    </row>
    <row r="596" hidden="1">
      <c r="H596" s="295"/>
    </row>
    <row r="597" hidden="1">
      <c r="H597" s="295"/>
    </row>
    <row r="598" hidden="1">
      <c r="H598" s="295"/>
    </row>
    <row r="599" hidden="1">
      <c r="H599" s="295"/>
    </row>
    <row r="600" hidden="1">
      <c r="H600" s="295"/>
    </row>
    <row r="601" hidden="1">
      <c r="H601" s="295"/>
    </row>
    <row r="602" hidden="1">
      <c r="H602" s="295"/>
    </row>
    <row r="603" hidden="1">
      <c r="H603" s="295"/>
    </row>
    <row r="604" hidden="1">
      <c r="H604" s="295"/>
    </row>
    <row r="605" hidden="1">
      <c r="H605" s="295"/>
    </row>
    <row r="606" hidden="1">
      <c r="H606" s="295"/>
    </row>
    <row r="607" hidden="1">
      <c r="H607" s="295"/>
    </row>
    <row r="608" hidden="1">
      <c r="H608" s="295"/>
    </row>
    <row r="609" hidden="1">
      <c r="H609" s="295"/>
    </row>
    <row r="610" hidden="1">
      <c r="H610" s="295"/>
    </row>
    <row r="611" hidden="1">
      <c r="H611" s="295"/>
    </row>
    <row r="612" hidden="1">
      <c r="H612" s="295"/>
    </row>
    <row r="613" hidden="1">
      <c r="H613" s="295"/>
    </row>
    <row r="614" hidden="1">
      <c r="H614" s="295"/>
    </row>
    <row r="615" hidden="1">
      <c r="H615" s="295"/>
    </row>
    <row r="616" hidden="1">
      <c r="H616" s="295"/>
    </row>
    <row r="617" hidden="1">
      <c r="H617" s="295"/>
    </row>
    <row r="618" hidden="1">
      <c r="H618" s="295"/>
    </row>
    <row r="619" hidden="1">
      <c r="H619" s="295"/>
    </row>
    <row r="620" hidden="1">
      <c r="H620" s="295"/>
    </row>
    <row r="621" hidden="1">
      <c r="H621" s="295"/>
    </row>
    <row r="622" hidden="1">
      <c r="H622" s="295"/>
    </row>
    <row r="623" hidden="1">
      <c r="H623" s="295"/>
    </row>
    <row r="624" hidden="1">
      <c r="H624" s="295"/>
    </row>
    <row r="625" hidden="1">
      <c r="H625" s="295"/>
    </row>
    <row r="626" hidden="1">
      <c r="H626" s="295"/>
    </row>
    <row r="627" hidden="1">
      <c r="H627" s="295"/>
    </row>
    <row r="628" hidden="1">
      <c r="H628" s="295"/>
    </row>
    <row r="629" hidden="1">
      <c r="H629" s="295"/>
    </row>
    <row r="630" hidden="1">
      <c r="H630" s="295"/>
    </row>
    <row r="631" hidden="1">
      <c r="H631" s="295"/>
    </row>
    <row r="632" hidden="1">
      <c r="H632" s="295"/>
    </row>
    <row r="633" hidden="1">
      <c r="H633" s="295"/>
    </row>
    <row r="634" hidden="1">
      <c r="H634" s="295"/>
    </row>
    <row r="635" hidden="1">
      <c r="H635" s="295"/>
    </row>
    <row r="636" hidden="1">
      <c r="H636" s="295"/>
    </row>
    <row r="637" hidden="1">
      <c r="H637" s="295"/>
    </row>
    <row r="638" hidden="1">
      <c r="H638" s="295"/>
    </row>
    <row r="639" hidden="1">
      <c r="H639" s="295"/>
    </row>
    <row r="640" hidden="1">
      <c r="H640" s="295"/>
    </row>
    <row r="641" hidden="1">
      <c r="H641" s="295"/>
    </row>
    <row r="642" hidden="1">
      <c r="H642" s="295"/>
    </row>
    <row r="643" hidden="1">
      <c r="H643" s="295"/>
    </row>
    <row r="644" hidden="1">
      <c r="H644" s="295"/>
    </row>
    <row r="645" hidden="1">
      <c r="H645" s="295"/>
    </row>
    <row r="646" hidden="1">
      <c r="H646" s="295"/>
    </row>
    <row r="647" hidden="1">
      <c r="H647" s="295"/>
    </row>
    <row r="648" hidden="1">
      <c r="H648" s="295"/>
    </row>
    <row r="649" hidden="1">
      <c r="H649" s="295"/>
    </row>
    <row r="650" hidden="1">
      <c r="H650" s="295"/>
    </row>
    <row r="651" hidden="1">
      <c r="H651" s="295"/>
    </row>
    <row r="652" hidden="1">
      <c r="H652" s="295"/>
    </row>
    <row r="653" hidden="1">
      <c r="H653" s="295"/>
    </row>
    <row r="654" hidden="1">
      <c r="H654" s="295"/>
    </row>
    <row r="655" hidden="1">
      <c r="H655" s="295"/>
    </row>
    <row r="656" hidden="1">
      <c r="H656" s="295"/>
    </row>
    <row r="657" hidden="1">
      <c r="H657" s="295"/>
    </row>
    <row r="658" hidden="1">
      <c r="H658" s="295"/>
    </row>
    <row r="659" hidden="1">
      <c r="H659" s="295"/>
    </row>
    <row r="660" hidden="1">
      <c r="H660" s="295"/>
    </row>
    <row r="661" hidden="1">
      <c r="H661" s="295"/>
    </row>
    <row r="662" hidden="1">
      <c r="H662" s="295"/>
    </row>
    <row r="663" hidden="1">
      <c r="H663" s="295"/>
    </row>
    <row r="664" hidden="1">
      <c r="H664" s="295"/>
    </row>
    <row r="665" hidden="1">
      <c r="H665" s="295"/>
    </row>
    <row r="666" hidden="1">
      <c r="H666" s="295"/>
    </row>
    <row r="667" hidden="1">
      <c r="H667" s="295"/>
    </row>
    <row r="668" hidden="1">
      <c r="H668" s="295"/>
    </row>
    <row r="669" hidden="1">
      <c r="H669" s="295"/>
    </row>
    <row r="670" hidden="1">
      <c r="H670" s="295"/>
    </row>
    <row r="671" hidden="1">
      <c r="H671" s="295"/>
    </row>
    <row r="672" hidden="1">
      <c r="H672" s="295"/>
    </row>
    <row r="673" hidden="1">
      <c r="H673" s="295"/>
    </row>
    <row r="674" hidden="1">
      <c r="H674" s="295"/>
    </row>
    <row r="675" hidden="1">
      <c r="H675" s="295"/>
    </row>
    <row r="676" hidden="1">
      <c r="H676" s="295"/>
    </row>
    <row r="677" hidden="1">
      <c r="H677" s="295"/>
    </row>
    <row r="678" hidden="1">
      <c r="H678" s="295"/>
    </row>
    <row r="679" hidden="1">
      <c r="H679" s="295"/>
    </row>
    <row r="680" hidden="1">
      <c r="H680" s="295"/>
    </row>
    <row r="681" hidden="1">
      <c r="H681" s="295"/>
    </row>
    <row r="682" hidden="1">
      <c r="H682" s="295"/>
    </row>
    <row r="683" hidden="1">
      <c r="H683" s="295"/>
    </row>
    <row r="684" hidden="1">
      <c r="H684" s="295"/>
    </row>
    <row r="685" hidden="1">
      <c r="H685" s="295"/>
    </row>
    <row r="686" hidden="1">
      <c r="H686" s="295"/>
    </row>
    <row r="687" hidden="1">
      <c r="H687" s="295"/>
    </row>
    <row r="688" hidden="1">
      <c r="H688" s="295"/>
    </row>
    <row r="689" hidden="1">
      <c r="H689" s="295"/>
    </row>
    <row r="690" hidden="1">
      <c r="H690" s="295"/>
    </row>
    <row r="691" hidden="1">
      <c r="H691" s="295"/>
    </row>
    <row r="692" hidden="1">
      <c r="H692" s="295"/>
    </row>
    <row r="693" hidden="1">
      <c r="H693" s="295"/>
    </row>
    <row r="694" hidden="1">
      <c r="H694" s="295"/>
    </row>
    <row r="695" hidden="1">
      <c r="H695" s="295"/>
    </row>
    <row r="696" hidden="1">
      <c r="H696" s="295"/>
    </row>
    <row r="697" hidden="1">
      <c r="H697" s="295"/>
    </row>
    <row r="698" hidden="1">
      <c r="H698" s="295"/>
    </row>
    <row r="699" hidden="1">
      <c r="H699" s="295"/>
    </row>
    <row r="700" hidden="1">
      <c r="H700" s="295"/>
    </row>
    <row r="701" hidden="1">
      <c r="H701" s="295"/>
    </row>
    <row r="702" hidden="1">
      <c r="H702" s="295"/>
    </row>
    <row r="703" hidden="1">
      <c r="H703" s="295"/>
    </row>
    <row r="704" hidden="1">
      <c r="H704" s="295"/>
    </row>
    <row r="705" hidden="1">
      <c r="H705" s="295"/>
    </row>
    <row r="706" hidden="1">
      <c r="H706" s="295"/>
    </row>
    <row r="707" hidden="1">
      <c r="H707" s="295"/>
    </row>
    <row r="708" hidden="1">
      <c r="H708" s="295"/>
    </row>
    <row r="709" hidden="1">
      <c r="H709" s="295"/>
    </row>
    <row r="710" hidden="1">
      <c r="H710" s="295"/>
    </row>
    <row r="711" hidden="1">
      <c r="H711" s="295"/>
    </row>
    <row r="712" hidden="1">
      <c r="H712" s="295"/>
    </row>
    <row r="713" hidden="1">
      <c r="H713" s="295"/>
    </row>
    <row r="714" hidden="1">
      <c r="H714" s="295"/>
    </row>
    <row r="715" hidden="1">
      <c r="H715" s="295"/>
    </row>
    <row r="716" hidden="1">
      <c r="H716" s="295"/>
    </row>
    <row r="717" hidden="1">
      <c r="H717" s="295"/>
    </row>
    <row r="718" hidden="1">
      <c r="H718" s="295"/>
    </row>
    <row r="719" hidden="1">
      <c r="H719" s="295"/>
    </row>
    <row r="720" hidden="1">
      <c r="H720" s="295"/>
    </row>
    <row r="721" hidden="1">
      <c r="H721" s="295"/>
    </row>
    <row r="722" hidden="1">
      <c r="H722" s="295"/>
    </row>
    <row r="723" hidden="1">
      <c r="H723" s="295"/>
    </row>
    <row r="724" hidden="1">
      <c r="H724" s="295"/>
    </row>
    <row r="725" hidden="1">
      <c r="H725" s="295"/>
    </row>
    <row r="726" hidden="1">
      <c r="H726" s="295"/>
    </row>
    <row r="727" hidden="1">
      <c r="H727" s="295"/>
    </row>
    <row r="728" hidden="1">
      <c r="H728" s="295"/>
    </row>
    <row r="729" hidden="1">
      <c r="H729" s="295"/>
    </row>
    <row r="730" hidden="1">
      <c r="H730" s="295"/>
    </row>
    <row r="731" hidden="1">
      <c r="H731" s="295"/>
    </row>
    <row r="732" hidden="1">
      <c r="H732" s="295"/>
    </row>
    <row r="733" hidden="1">
      <c r="H733" s="295"/>
    </row>
    <row r="734" hidden="1">
      <c r="H734" s="295"/>
    </row>
    <row r="735" hidden="1">
      <c r="H735" s="295"/>
    </row>
    <row r="736" hidden="1">
      <c r="H736" s="295"/>
    </row>
    <row r="737" hidden="1">
      <c r="H737" s="295"/>
    </row>
    <row r="738" hidden="1">
      <c r="H738" s="295"/>
    </row>
    <row r="739" hidden="1">
      <c r="H739" s="295"/>
    </row>
    <row r="740" hidden="1">
      <c r="H740" s="295"/>
    </row>
    <row r="741" hidden="1">
      <c r="H741" s="295"/>
    </row>
    <row r="742" hidden="1">
      <c r="H742" s="295"/>
    </row>
    <row r="743" hidden="1">
      <c r="H743" s="295"/>
    </row>
    <row r="744" hidden="1">
      <c r="H744" s="295"/>
    </row>
    <row r="745" hidden="1">
      <c r="H745" s="295"/>
    </row>
    <row r="746" hidden="1">
      <c r="H746" s="295"/>
    </row>
    <row r="747" hidden="1">
      <c r="H747" s="295"/>
    </row>
    <row r="748" hidden="1">
      <c r="H748" s="295"/>
    </row>
    <row r="749" hidden="1">
      <c r="H749" s="295"/>
    </row>
    <row r="750" hidden="1">
      <c r="H750" s="295"/>
    </row>
    <row r="751" hidden="1">
      <c r="H751" s="295"/>
    </row>
    <row r="752" hidden="1">
      <c r="H752" s="295"/>
    </row>
    <row r="753" hidden="1">
      <c r="H753" s="295"/>
    </row>
    <row r="754" hidden="1">
      <c r="H754" s="295"/>
    </row>
    <row r="755" hidden="1">
      <c r="H755" s="295"/>
    </row>
    <row r="756" hidden="1">
      <c r="H756" s="295"/>
    </row>
    <row r="757" hidden="1">
      <c r="H757" s="295"/>
    </row>
    <row r="758" hidden="1">
      <c r="H758" s="295"/>
    </row>
    <row r="759" hidden="1">
      <c r="H759" s="295"/>
    </row>
    <row r="760" hidden="1">
      <c r="H760" s="295"/>
    </row>
    <row r="761" hidden="1">
      <c r="H761" s="295"/>
    </row>
    <row r="762" hidden="1">
      <c r="H762" s="295"/>
    </row>
    <row r="763" hidden="1">
      <c r="H763" s="295"/>
    </row>
    <row r="764" hidden="1">
      <c r="H764" s="295"/>
    </row>
    <row r="765" hidden="1">
      <c r="H765" s="295"/>
    </row>
    <row r="766" hidden="1">
      <c r="H766" s="295"/>
    </row>
    <row r="767" hidden="1">
      <c r="H767" s="295"/>
    </row>
    <row r="768" hidden="1">
      <c r="H768" s="295"/>
    </row>
    <row r="769" hidden="1">
      <c r="H769" s="295"/>
    </row>
    <row r="770" hidden="1">
      <c r="H770" s="295"/>
    </row>
    <row r="771" hidden="1">
      <c r="H771" s="295"/>
    </row>
    <row r="772" hidden="1">
      <c r="H772" s="295"/>
    </row>
    <row r="773" hidden="1">
      <c r="H773" s="295"/>
    </row>
    <row r="774" hidden="1">
      <c r="H774" s="295"/>
    </row>
    <row r="775" hidden="1">
      <c r="H775" s="295"/>
    </row>
    <row r="776" hidden="1">
      <c r="H776" s="295"/>
    </row>
    <row r="777" hidden="1">
      <c r="H777" s="295"/>
    </row>
    <row r="778" hidden="1">
      <c r="H778" s="295"/>
    </row>
    <row r="779" hidden="1">
      <c r="H779" s="295"/>
    </row>
    <row r="780" hidden="1">
      <c r="H780" s="295"/>
    </row>
    <row r="781" hidden="1">
      <c r="H781" s="295"/>
    </row>
    <row r="782" hidden="1">
      <c r="H782" s="295"/>
    </row>
    <row r="783" hidden="1">
      <c r="H783" s="295"/>
    </row>
    <row r="784" hidden="1">
      <c r="H784" s="295"/>
    </row>
    <row r="785" hidden="1">
      <c r="H785" s="295"/>
    </row>
    <row r="786" hidden="1">
      <c r="H786" s="295"/>
    </row>
    <row r="787" hidden="1">
      <c r="H787" s="295"/>
    </row>
    <row r="788" hidden="1">
      <c r="H788" s="295"/>
    </row>
    <row r="789" hidden="1">
      <c r="H789" s="295"/>
    </row>
    <row r="790" hidden="1">
      <c r="H790" s="295"/>
    </row>
    <row r="791" hidden="1">
      <c r="H791" s="295"/>
    </row>
    <row r="792" hidden="1">
      <c r="H792" s="295"/>
    </row>
    <row r="793" hidden="1">
      <c r="H793" s="295"/>
    </row>
    <row r="794" hidden="1">
      <c r="H794" s="295"/>
    </row>
    <row r="795" hidden="1">
      <c r="H795" s="295"/>
    </row>
    <row r="796" hidden="1">
      <c r="H796" s="295"/>
    </row>
    <row r="797" hidden="1">
      <c r="H797" s="295"/>
    </row>
    <row r="798" hidden="1">
      <c r="H798" s="295"/>
    </row>
    <row r="799" hidden="1">
      <c r="H799" s="295"/>
    </row>
    <row r="800" hidden="1">
      <c r="H800" s="295"/>
    </row>
    <row r="801" hidden="1">
      <c r="H801" s="295"/>
    </row>
    <row r="802" hidden="1">
      <c r="H802" s="295"/>
    </row>
    <row r="803" hidden="1">
      <c r="H803" s="295"/>
    </row>
    <row r="804" hidden="1">
      <c r="H804" s="295"/>
    </row>
    <row r="805" hidden="1">
      <c r="H805" s="295"/>
    </row>
    <row r="806" hidden="1">
      <c r="H806" s="295"/>
    </row>
    <row r="807" hidden="1">
      <c r="H807" s="295"/>
    </row>
    <row r="808" hidden="1">
      <c r="H808" s="295"/>
    </row>
    <row r="809" hidden="1">
      <c r="H809" s="295"/>
    </row>
    <row r="810" hidden="1">
      <c r="H810" s="295"/>
    </row>
    <row r="811" hidden="1">
      <c r="H811" s="295"/>
    </row>
    <row r="812" hidden="1">
      <c r="H812" s="295"/>
    </row>
    <row r="813" hidden="1">
      <c r="H813" s="295"/>
    </row>
    <row r="814" hidden="1">
      <c r="H814" s="295"/>
    </row>
    <row r="815" hidden="1">
      <c r="H815" s="295"/>
    </row>
    <row r="816" hidden="1">
      <c r="H816" s="295"/>
    </row>
    <row r="817" hidden="1">
      <c r="H817" s="295"/>
    </row>
    <row r="818" hidden="1">
      <c r="H818" s="295"/>
    </row>
    <row r="819" hidden="1">
      <c r="H819" s="295"/>
    </row>
    <row r="820" hidden="1">
      <c r="H820" s="295"/>
    </row>
    <row r="821" hidden="1">
      <c r="H821" s="295"/>
    </row>
    <row r="822" hidden="1">
      <c r="H822" s="295"/>
    </row>
    <row r="823" hidden="1">
      <c r="H823" s="295"/>
    </row>
    <row r="824" hidden="1">
      <c r="H824" s="295"/>
    </row>
    <row r="825" hidden="1">
      <c r="H825" s="295"/>
    </row>
    <row r="826" hidden="1">
      <c r="H826" s="295"/>
    </row>
    <row r="827" hidden="1">
      <c r="H827" s="295"/>
    </row>
    <row r="828" hidden="1">
      <c r="H828" s="295"/>
    </row>
    <row r="829" hidden="1">
      <c r="H829" s="295"/>
    </row>
    <row r="830" hidden="1">
      <c r="H830" s="295"/>
    </row>
    <row r="831" hidden="1">
      <c r="H831" s="295"/>
    </row>
    <row r="832" hidden="1">
      <c r="H832" s="295"/>
    </row>
    <row r="833" hidden="1">
      <c r="H833" s="295"/>
    </row>
    <row r="834" hidden="1">
      <c r="H834" s="295"/>
    </row>
    <row r="835" hidden="1">
      <c r="H835" s="295"/>
    </row>
    <row r="836" hidden="1">
      <c r="H836" s="295"/>
    </row>
    <row r="837" hidden="1">
      <c r="H837" s="295"/>
    </row>
    <row r="838" hidden="1">
      <c r="H838" s="295"/>
    </row>
    <row r="839" hidden="1">
      <c r="H839" s="295"/>
    </row>
    <row r="840" hidden="1">
      <c r="H840" s="295"/>
    </row>
    <row r="841" hidden="1">
      <c r="H841" s="295"/>
    </row>
    <row r="842" hidden="1">
      <c r="H842" s="295"/>
    </row>
    <row r="843" hidden="1">
      <c r="H843" s="295"/>
    </row>
    <row r="844" hidden="1">
      <c r="H844" s="295"/>
    </row>
    <row r="845" hidden="1">
      <c r="H845" s="295"/>
    </row>
    <row r="846" hidden="1">
      <c r="H846" s="295"/>
    </row>
    <row r="847" hidden="1">
      <c r="H847" s="295"/>
    </row>
    <row r="848" hidden="1">
      <c r="H848" s="295"/>
    </row>
    <row r="849" hidden="1">
      <c r="H849" s="295"/>
    </row>
    <row r="850" hidden="1">
      <c r="H850" s="295"/>
    </row>
    <row r="851" hidden="1">
      <c r="H851" s="295"/>
    </row>
    <row r="852" hidden="1">
      <c r="H852" s="295"/>
    </row>
    <row r="853" hidden="1">
      <c r="H853" s="295"/>
    </row>
    <row r="854" hidden="1">
      <c r="H854" s="295"/>
    </row>
    <row r="855" hidden="1">
      <c r="H855" s="295"/>
    </row>
    <row r="856" hidden="1">
      <c r="H856" s="295"/>
    </row>
    <row r="857" hidden="1">
      <c r="H857" s="295"/>
    </row>
    <row r="858" hidden="1">
      <c r="H858" s="295"/>
    </row>
    <row r="859" hidden="1">
      <c r="H859" s="295"/>
    </row>
    <row r="860" hidden="1">
      <c r="H860" s="295"/>
    </row>
    <row r="861" hidden="1">
      <c r="H861" s="295"/>
    </row>
    <row r="862" hidden="1">
      <c r="H862" s="295"/>
    </row>
    <row r="863" hidden="1">
      <c r="H863" s="295"/>
    </row>
    <row r="864" hidden="1">
      <c r="H864" s="295"/>
    </row>
    <row r="865" hidden="1">
      <c r="H865" s="295"/>
    </row>
    <row r="866" hidden="1">
      <c r="H866" s="295"/>
    </row>
    <row r="867" hidden="1">
      <c r="H867" s="295"/>
    </row>
    <row r="868" hidden="1">
      <c r="H868" s="295"/>
    </row>
    <row r="869" hidden="1">
      <c r="H869" s="295"/>
    </row>
    <row r="870" hidden="1">
      <c r="H870" s="295"/>
    </row>
    <row r="871" hidden="1">
      <c r="H871" s="295"/>
    </row>
    <row r="872" hidden="1">
      <c r="H872" s="295"/>
    </row>
    <row r="873" hidden="1">
      <c r="H873" s="295"/>
    </row>
    <row r="874" hidden="1">
      <c r="H874" s="295"/>
    </row>
    <row r="875" hidden="1">
      <c r="H875" s="295"/>
    </row>
    <row r="876" hidden="1">
      <c r="H876" s="295"/>
    </row>
    <row r="877" hidden="1">
      <c r="H877" s="295"/>
    </row>
    <row r="878" hidden="1">
      <c r="H878" s="295"/>
    </row>
    <row r="879" hidden="1">
      <c r="H879" s="295"/>
    </row>
    <row r="880" hidden="1">
      <c r="H880" s="295"/>
    </row>
    <row r="881" hidden="1">
      <c r="H881" s="295"/>
    </row>
    <row r="882" hidden="1">
      <c r="H882" s="295"/>
    </row>
    <row r="883" hidden="1">
      <c r="H883" s="295"/>
    </row>
    <row r="884" hidden="1">
      <c r="H884" s="295"/>
    </row>
    <row r="885" hidden="1">
      <c r="H885" s="295"/>
    </row>
    <row r="886" hidden="1">
      <c r="H886" s="295"/>
    </row>
    <row r="887" hidden="1">
      <c r="H887" s="295"/>
    </row>
    <row r="888" hidden="1">
      <c r="H888" s="295"/>
    </row>
    <row r="889" hidden="1">
      <c r="H889" s="295"/>
    </row>
    <row r="890" hidden="1">
      <c r="H890" s="295"/>
    </row>
    <row r="891" hidden="1">
      <c r="H891" s="295"/>
    </row>
    <row r="892" hidden="1">
      <c r="H892" s="295"/>
    </row>
    <row r="893" hidden="1">
      <c r="H893" s="295"/>
    </row>
    <row r="894" hidden="1">
      <c r="H894" s="295"/>
    </row>
    <row r="895" hidden="1">
      <c r="H895" s="295"/>
    </row>
    <row r="896" hidden="1">
      <c r="H896" s="295"/>
    </row>
    <row r="897" hidden="1">
      <c r="H897" s="295"/>
    </row>
    <row r="898" hidden="1">
      <c r="H898" s="295"/>
    </row>
    <row r="899" hidden="1">
      <c r="H899" s="295"/>
    </row>
    <row r="900" hidden="1">
      <c r="H900" s="295"/>
    </row>
    <row r="901" hidden="1">
      <c r="H901" s="295"/>
    </row>
    <row r="902" hidden="1">
      <c r="H902" s="295"/>
    </row>
    <row r="903" hidden="1">
      <c r="H903" s="295"/>
    </row>
    <row r="904" hidden="1">
      <c r="H904" s="295"/>
    </row>
    <row r="905" hidden="1">
      <c r="H905" s="295"/>
    </row>
    <row r="906" hidden="1">
      <c r="H906" s="295"/>
    </row>
    <row r="907" hidden="1">
      <c r="H907" s="295"/>
    </row>
    <row r="908" hidden="1">
      <c r="H908" s="295"/>
    </row>
    <row r="909" hidden="1">
      <c r="H909" s="295"/>
    </row>
    <row r="910" hidden="1">
      <c r="H910" s="295"/>
    </row>
    <row r="911" hidden="1">
      <c r="H911" s="295"/>
    </row>
    <row r="912" hidden="1">
      <c r="H912" s="295"/>
    </row>
    <row r="913" hidden="1">
      <c r="H913" s="295"/>
    </row>
    <row r="914" hidden="1">
      <c r="H914" s="295"/>
    </row>
    <row r="915" hidden="1">
      <c r="H915" s="295"/>
    </row>
    <row r="916" hidden="1">
      <c r="H916" s="295"/>
    </row>
    <row r="917" hidden="1">
      <c r="H917" s="295"/>
    </row>
    <row r="918" hidden="1">
      <c r="H918" s="295"/>
    </row>
    <row r="919" hidden="1">
      <c r="H919" s="295"/>
    </row>
    <row r="920" hidden="1">
      <c r="H920" s="295"/>
    </row>
    <row r="921" hidden="1">
      <c r="H921" s="295"/>
    </row>
    <row r="922" hidden="1">
      <c r="H922" s="295"/>
    </row>
    <row r="923" hidden="1">
      <c r="H923" s="295"/>
    </row>
    <row r="924" hidden="1">
      <c r="H924" s="295"/>
    </row>
    <row r="925" hidden="1">
      <c r="H925" s="295"/>
    </row>
    <row r="926" hidden="1">
      <c r="H926" s="295"/>
    </row>
    <row r="927" hidden="1">
      <c r="H927" s="295"/>
    </row>
    <row r="928" hidden="1">
      <c r="H928" s="295"/>
    </row>
    <row r="929" hidden="1">
      <c r="H929" s="295"/>
    </row>
    <row r="930" hidden="1">
      <c r="H930" s="295"/>
    </row>
    <row r="931" hidden="1">
      <c r="H931" s="295"/>
    </row>
    <row r="932" hidden="1">
      <c r="H932" s="295"/>
    </row>
    <row r="933" hidden="1">
      <c r="H933" s="295"/>
    </row>
    <row r="934" hidden="1">
      <c r="H934" s="295"/>
    </row>
    <row r="935" hidden="1">
      <c r="H935" s="295"/>
    </row>
    <row r="936" hidden="1">
      <c r="H936" s="295"/>
    </row>
    <row r="937" hidden="1">
      <c r="H937" s="295"/>
    </row>
    <row r="938" hidden="1">
      <c r="H938" s="295"/>
    </row>
    <row r="939" hidden="1">
      <c r="H939" s="295"/>
    </row>
    <row r="940" hidden="1">
      <c r="H940" s="295"/>
    </row>
    <row r="941" hidden="1">
      <c r="H941" s="295"/>
    </row>
    <row r="942" hidden="1">
      <c r="H942" s="295"/>
    </row>
    <row r="943" hidden="1">
      <c r="H943" s="295"/>
    </row>
    <row r="944" hidden="1">
      <c r="H944" s="295"/>
    </row>
    <row r="945" hidden="1">
      <c r="H945" s="295"/>
    </row>
    <row r="946" hidden="1">
      <c r="H946" s="295"/>
    </row>
    <row r="947" hidden="1">
      <c r="H947" s="295"/>
    </row>
    <row r="948" hidden="1">
      <c r="H948" s="295"/>
    </row>
    <row r="949" hidden="1">
      <c r="H949" s="295"/>
    </row>
    <row r="950" hidden="1">
      <c r="H950" s="295"/>
    </row>
    <row r="951" hidden="1">
      <c r="H951" s="295"/>
    </row>
    <row r="952" hidden="1">
      <c r="H952" s="295"/>
    </row>
    <row r="953" hidden="1">
      <c r="H953" s="295"/>
    </row>
    <row r="954" hidden="1">
      <c r="H954" s="295"/>
    </row>
    <row r="955" hidden="1">
      <c r="H955" s="295"/>
    </row>
    <row r="956" hidden="1">
      <c r="H956" s="295"/>
    </row>
    <row r="957" hidden="1">
      <c r="H957" s="295"/>
    </row>
    <row r="958" hidden="1">
      <c r="H958" s="295"/>
    </row>
    <row r="959" hidden="1">
      <c r="H959" s="295"/>
    </row>
    <row r="960" hidden="1">
      <c r="H960" s="295"/>
    </row>
    <row r="961" hidden="1">
      <c r="H961" s="295"/>
    </row>
    <row r="962" hidden="1">
      <c r="H962" s="295"/>
    </row>
    <row r="963" hidden="1">
      <c r="H963" s="295"/>
    </row>
    <row r="964" hidden="1">
      <c r="H964" s="295"/>
    </row>
    <row r="965" hidden="1">
      <c r="H965" s="295"/>
    </row>
    <row r="966" hidden="1">
      <c r="H966" s="295"/>
    </row>
    <row r="967" hidden="1">
      <c r="H967" s="295"/>
    </row>
    <row r="968" hidden="1">
      <c r="H968" s="295"/>
    </row>
    <row r="969" hidden="1">
      <c r="H969" s="295"/>
    </row>
    <row r="970" hidden="1">
      <c r="H970" s="295"/>
    </row>
    <row r="971" hidden="1">
      <c r="H971" s="295"/>
    </row>
    <row r="972" hidden="1">
      <c r="H972" s="295"/>
    </row>
    <row r="973" hidden="1">
      <c r="H973" s="295"/>
    </row>
    <row r="974" hidden="1">
      <c r="H974" s="295"/>
    </row>
    <row r="975" hidden="1">
      <c r="H975" s="295"/>
    </row>
    <row r="976" hidden="1">
      <c r="H976" s="295"/>
    </row>
    <row r="977" hidden="1">
      <c r="H977" s="295"/>
    </row>
    <row r="978" hidden="1">
      <c r="H978" s="295"/>
    </row>
    <row r="979" hidden="1">
      <c r="H979" s="295"/>
    </row>
    <row r="980" hidden="1">
      <c r="H980" s="295"/>
    </row>
    <row r="981" hidden="1">
      <c r="H981" s="295"/>
    </row>
    <row r="982" hidden="1">
      <c r="H982" s="295"/>
    </row>
    <row r="983" hidden="1">
      <c r="H983" s="295"/>
    </row>
    <row r="984" hidden="1">
      <c r="H984" s="295"/>
    </row>
    <row r="985" hidden="1">
      <c r="H985" s="295"/>
    </row>
    <row r="986" hidden="1">
      <c r="H986" s="295"/>
    </row>
    <row r="987" hidden="1">
      <c r="H987" s="295"/>
    </row>
    <row r="988" hidden="1">
      <c r="H988" s="295"/>
    </row>
    <row r="989" hidden="1">
      <c r="H989" s="295"/>
    </row>
    <row r="990" hidden="1">
      <c r="H990" s="295"/>
    </row>
    <row r="991" hidden="1">
      <c r="H991" s="295"/>
    </row>
    <row r="992" hidden="1">
      <c r="H992" s="295"/>
    </row>
    <row r="993" hidden="1">
      <c r="H993" s="295"/>
    </row>
    <row r="994" hidden="1">
      <c r="H994" s="295"/>
    </row>
    <row r="995" hidden="1">
      <c r="H995" s="295"/>
    </row>
    <row r="996" hidden="1">
      <c r="H996" s="295"/>
    </row>
    <row r="997" hidden="1">
      <c r="H997" s="295"/>
    </row>
    <row r="998" hidden="1">
      <c r="H998" s="295"/>
    </row>
    <row r="999" hidden="1">
      <c r="H999" s="295"/>
    </row>
    <row r="1000" hidden="1">
      <c r="H1000" s="295"/>
    </row>
    <row r="1001" hidden="1">
      <c r="H1001" s="295"/>
    </row>
    <row r="1002" hidden="1">
      <c r="H1002" s="295"/>
    </row>
    <row r="1003" hidden="1">
      <c r="H1003" s="295"/>
    </row>
    <row r="1004" hidden="1">
      <c r="H1004" s="295"/>
    </row>
    <row r="1005" hidden="1">
      <c r="H1005" s="295"/>
    </row>
    <row r="1006" hidden="1">
      <c r="H1006" s="295"/>
    </row>
    <row r="1007" hidden="1">
      <c r="H1007" s="295"/>
    </row>
    <row r="1008" hidden="1">
      <c r="H1008" s="295"/>
    </row>
    <row r="1009" hidden="1">
      <c r="H1009" s="295"/>
    </row>
    <row r="1010" hidden="1">
      <c r="H1010" s="295"/>
    </row>
    <row r="1011" hidden="1">
      <c r="H1011" s="295"/>
    </row>
    <row r="1012" hidden="1">
      <c r="H1012" s="295"/>
    </row>
    <row r="1013" hidden="1">
      <c r="H1013" s="295"/>
    </row>
    <row r="1014" hidden="1">
      <c r="H1014" s="295"/>
    </row>
    <row r="1015" hidden="1">
      <c r="H1015" s="295"/>
    </row>
    <row r="1016" hidden="1">
      <c r="H1016" s="295"/>
    </row>
    <row r="1017" hidden="1">
      <c r="H1017" s="295"/>
    </row>
    <row r="1018" hidden="1">
      <c r="H1018" s="295"/>
    </row>
    <row r="1019" hidden="1">
      <c r="H1019" s="295"/>
    </row>
    <row r="1020" hidden="1">
      <c r="H1020" s="295"/>
    </row>
    <row r="1021" hidden="1">
      <c r="H1021" s="295"/>
    </row>
    <row r="1022" hidden="1">
      <c r="H1022" s="295"/>
    </row>
    <row r="1023" hidden="1">
      <c r="H1023" s="295"/>
    </row>
    <row r="1024" hidden="1">
      <c r="H1024" s="295"/>
    </row>
    <row r="1025" hidden="1">
      <c r="H1025" s="295"/>
    </row>
    <row r="1026" hidden="1">
      <c r="H1026" s="295"/>
    </row>
    <row r="1027" hidden="1">
      <c r="H1027" s="295"/>
    </row>
    <row r="1028" hidden="1">
      <c r="H1028" s="295"/>
    </row>
    <row r="1029" hidden="1">
      <c r="H1029" s="295"/>
    </row>
    <row r="1030" hidden="1">
      <c r="H1030" s="295"/>
    </row>
    <row r="1031" hidden="1">
      <c r="H1031" s="295"/>
    </row>
    <row r="1032" hidden="1">
      <c r="H1032" s="295"/>
    </row>
    <row r="1033" hidden="1">
      <c r="H1033" s="295"/>
    </row>
    <row r="1034" hidden="1">
      <c r="H1034" s="295"/>
    </row>
    <row r="1035" hidden="1">
      <c r="H1035" s="295"/>
    </row>
    <row r="1036" hidden="1">
      <c r="H1036" s="295"/>
    </row>
    <row r="1037" hidden="1">
      <c r="H1037" s="295"/>
    </row>
    <row r="1038" hidden="1">
      <c r="H1038" s="295"/>
    </row>
    <row r="1039" hidden="1">
      <c r="H1039" s="295"/>
    </row>
    <row r="1040" hidden="1">
      <c r="H1040" s="295"/>
    </row>
    <row r="1041" hidden="1">
      <c r="H1041" s="295"/>
    </row>
    <row r="1042" hidden="1">
      <c r="H1042" s="295"/>
    </row>
    <row r="1043" hidden="1">
      <c r="H1043" s="295"/>
    </row>
    <row r="1044" hidden="1">
      <c r="H1044" s="295"/>
    </row>
    <row r="1045" hidden="1">
      <c r="H1045" s="295"/>
    </row>
    <row r="1046" hidden="1">
      <c r="H1046" s="295"/>
    </row>
    <row r="1047" hidden="1">
      <c r="H1047" s="295"/>
    </row>
    <row r="1048" hidden="1">
      <c r="H1048" s="295"/>
    </row>
    <row r="1049" hidden="1">
      <c r="H1049" s="295"/>
    </row>
    <row r="1050" hidden="1">
      <c r="H1050" s="295"/>
    </row>
    <row r="1051" hidden="1">
      <c r="H1051" s="295"/>
    </row>
    <row r="1052" hidden="1">
      <c r="H1052" s="295"/>
    </row>
    <row r="1053" hidden="1">
      <c r="H1053" s="295"/>
    </row>
    <row r="1054" hidden="1">
      <c r="H1054" s="295"/>
    </row>
    <row r="1055" hidden="1">
      <c r="H1055" s="295"/>
    </row>
    <row r="1056" hidden="1">
      <c r="H1056" s="295"/>
    </row>
    <row r="1057" hidden="1">
      <c r="H1057" s="295"/>
    </row>
    <row r="1058" hidden="1">
      <c r="H1058" s="295"/>
    </row>
    <row r="1059" hidden="1">
      <c r="H1059" s="295"/>
    </row>
    <row r="1060" hidden="1">
      <c r="H1060" s="295"/>
    </row>
    <row r="1061" hidden="1">
      <c r="H1061" s="295"/>
    </row>
    <row r="1062" hidden="1">
      <c r="H1062" s="295"/>
    </row>
    <row r="1063" hidden="1">
      <c r="H1063" s="295"/>
    </row>
    <row r="1064">
      <c r="A1064" s="131" t="str">
        <f>HYPERLINK("https://phillipreeve.net/blog/rolling-review-zeiss-loxia-distagon-2-821mm-t/https://phillipreeve.net/blog/rolling-review-zeiss-loxia-distagon-2-821mm-t/","Zeiss Loxia 2.8/21 Distagon T*")</f>
        <v>Zeiss Loxia 2.8/21 Distagon T*</v>
      </c>
      <c r="B1064" s="76">
        <v>394.0</v>
      </c>
      <c r="C1064" s="77">
        <v>21.0</v>
      </c>
      <c r="D1064" s="78">
        <v>2.8</v>
      </c>
      <c r="E1064" s="144">
        <v>62.0</v>
      </c>
      <c r="F1064" s="145">
        <v>72.0</v>
      </c>
      <c r="G1064" s="84" t="s">
        <v>24</v>
      </c>
      <c r="H1064" s="82" t="s">
        <v>71</v>
      </c>
      <c r="I1064" s="81">
        <v>0.13</v>
      </c>
      <c r="J1064" s="83">
        <v>25.0</v>
      </c>
      <c r="K1064" s="84" t="s">
        <v>26</v>
      </c>
      <c r="L1064" s="81">
        <v>10.0</v>
      </c>
      <c r="M1064" s="128" t="s">
        <v>72</v>
      </c>
      <c r="N1064" s="81" t="s">
        <v>58</v>
      </c>
      <c r="O1064" s="86">
        <v>42339.0</v>
      </c>
      <c r="P1064" s="87">
        <v>1499.0</v>
      </c>
      <c r="Q1064" s="87">
        <v>830.0</v>
      </c>
      <c r="R1064" s="88" t="str">
        <f>HYPERLINK("https://amzn.to/2yspzBm","link*")</f>
        <v>link*</v>
      </c>
      <c r="S1064" s="88" t="str">
        <f>HYPERLINK("https://www.bhphotovideo.com/c/product/1189220-REG/zeiss_2131_999_loxia_21mm_f_2_8_lens.html/BI/19619/KBID/12129/DFF/d10-v21-t1-x677077/SID/EZ","link*")</f>
        <v>link*</v>
      </c>
      <c r="T1064" s="88" t="str">
        <f>HYPERLINK("https://amzn.to/2GHSOoA","link*")</f>
        <v>link*</v>
      </c>
      <c r="U1064"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row>
    <row r="1065">
      <c r="A1065" s="22" t="str">
        <f>HYPERLINK("https://phillipreeve.net/blog/voigtlander-21mm-f35-review/","Voigtlander 21mm F3.5 Color-Skopar")</f>
        <v>Voigtlander 21mm F3.5 Color-Skopar</v>
      </c>
      <c r="B1065" s="23">
        <v>230.0</v>
      </c>
      <c r="C1065" s="24">
        <v>21.0</v>
      </c>
      <c r="D1065" s="25">
        <v>3.5</v>
      </c>
      <c r="E1065" s="147">
        <v>63.0</v>
      </c>
      <c r="F1065" s="136">
        <v>40.0</v>
      </c>
      <c r="G1065" s="32" t="s">
        <v>24</v>
      </c>
      <c r="H1065" s="29" t="s">
        <v>71</v>
      </c>
      <c r="I1065" s="148"/>
      <c r="J1065" s="31">
        <v>20.0</v>
      </c>
      <c r="K1065" s="32" t="s">
        <v>26</v>
      </c>
      <c r="L1065" s="30">
        <v>10.0</v>
      </c>
      <c r="M1065" s="112" t="s">
        <v>60</v>
      </c>
      <c r="N1065" s="30" t="s">
        <v>28</v>
      </c>
      <c r="O1065" s="34">
        <v>43374.0</v>
      </c>
      <c r="P1065" s="35">
        <v>699.0</v>
      </c>
      <c r="Q1065" s="35">
        <v>525.0</v>
      </c>
      <c r="R1065" s="36" t="str">
        <f>HYPERLINK("https://amzn.to/2JCie75","link*")</f>
        <v>link*</v>
      </c>
      <c r="S1065" s="36" t="str">
        <f>HYPERLINK("https://www.bhphotovideo.com/c/product/1437613-REG/voigtlander_color_skopar_21mm_f_3_5_aspherical.html/BI/19619/KBID/12129/kw/VO2135E/DFF/d10-v2-t1-xVO2135E","link*")</f>
        <v>link*</v>
      </c>
      <c r="T1065" s="36" t="str">
        <f>HYPERLINK("https://amzn.to/2ZoERan","link*")</f>
        <v>link*</v>
      </c>
      <c r="U1065" s="36"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V1065" s="94"/>
    </row>
    <row r="1066" hidden="1">
      <c r="A1066" s="109" t="str">
        <f>HYPERLINK("https://phillipreeve.net/blog/review-sony-fe-24mm-1-4-gm/","Sony GM 1.4/24")</f>
        <v>Sony GM 1.4/24</v>
      </c>
      <c r="B1066" s="39">
        <v>445.0</v>
      </c>
      <c r="C1066" s="40">
        <v>24.0</v>
      </c>
      <c r="D1066" s="143">
        <v>1.4</v>
      </c>
      <c r="E1066" s="144">
        <v>75.0</v>
      </c>
      <c r="F1066" s="145">
        <v>92.0</v>
      </c>
      <c r="G1066" s="44" t="s">
        <v>30</v>
      </c>
      <c r="H1066" s="45" t="s">
        <v>53</v>
      </c>
      <c r="I1066" s="46">
        <v>0.17</v>
      </c>
      <c r="J1066" s="47">
        <v>25.0</v>
      </c>
      <c r="K1066" s="44" t="s">
        <v>26</v>
      </c>
      <c r="L1066" s="46">
        <v>11.0</v>
      </c>
      <c r="M1066" s="111" t="s">
        <v>27</v>
      </c>
      <c r="N1066" s="46" t="s">
        <v>32</v>
      </c>
      <c r="O1066" s="49">
        <v>43374.0</v>
      </c>
      <c r="P1066" s="50">
        <v>1399.0</v>
      </c>
      <c r="Q1066" s="50">
        <v>1500.0</v>
      </c>
      <c r="R1066" s="51" t="str">
        <f>HYPERLINK("https://amzn.to/2ywcbw1","link*")</f>
        <v>link*</v>
      </c>
      <c r="S1066" s="51" t="str">
        <f>HYPERLINK("https://www.bhphotovideo.com/c/product/1435887-REG/sony_fe_24mm_f_1_4_gm.html/BI/19619/KBID/12129/DFF/d10-v21-t1-x915647/SID/EZ","link*")</f>
        <v>link*</v>
      </c>
      <c r="T1066" s="51" t="str">
        <f>HYPERLINK("https://amzn.to/2L2tV9y","link*")</f>
        <v>link*</v>
      </c>
      <c r="U1066" s="51" t="str">
        <f>HYPERLINK("http://rover.ebay.com/rover/1/711-53200-19255-0/1?icep_ff3=9&amp;pub=5575076376&amp;toolid=10001&amp;campid=5338573609&amp;customid=&amp;icep_uq=sony+gm+24mm&amp;icep_sellerId=&amp;icep_ex_kw=&amp;icep_sortBy=12&amp;icep_catId=3323&amp;icep_minPrice=&amp;icep_maxPrice=&amp;ipn=psmain&amp;icep_vectorid=2294"&amp;"66&amp;kwid=902099&amp;mtid=824&amp;kw=lg","link*")</f>
        <v>link*</v>
      </c>
    </row>
    <row r="1067" hidden="1">
      <c r="A1067" s="75" t="s">
        <v>73</v>
      </c>
      <c r="B1067" s="76">
        <v>760.0</v>
      </c>
      <c r="C1067" s="77">
        <v>24.0</v>
      </c>
      <c r="D1067" s="149">
        <v>1.4</v>
      </c>
      <c r="E1067" s="144">
        <v>85.0</v>
      </c>
      <c r="F1067" s="150">
        <v>116.0</v>
      </c>
      <c r="G1067" s="81" t="s">
        <v>30</v>
      </c>
      <c r="H1067" s="82" t="s">
        <v>56</v>
      </c>
      <c r="I1067" s="81">
        <v>0.19</v>
      </c>
      <c r="J1067" s="83">
        <v>25.0</v>
      </c>
      <c r="K1067" s="84" t="s">
        <v>26</v>
      </c>
      <c r="L1067" s="81">
        <v>9.0</v>
      </c>
      <c r="M1067" s="123">
        <v>43784.0</v>
      </c>
      <c r="N1067" s="81" t="s">
        <v>41</v>
      </c>
      <c r="O1067" s="86">
        <v>43221.0</v>
      </c>
      <c r="P1067" s="87">
        <v>849.0</v>
      </c>
      <c r="Q1067" s="87">
        <v>620.0</v>
      </c>
      <c r="R1067" s="88" t="str">
        <f>HYPERLINK("https://amzn.to/2Isw2Rv","link*")</f>
        <v>link*</v>
      </c>
      <c r="S1067" s="88" t="str">
        <f>HYPERLINK("https://www.bhphotovideo.com/c/product/1393491-REG/sigma_24mm_f_1_4_dg_hsm.html/BI/19619/KBID/12129/kw/SI2414SO/DFF/d10-v2-t1-xSI2414SO","link*")</f>
        <v>link*</v>
      </c>
      <c r="T1067" s="88" t="str">
        <f>HYPERLINK("https://amzn.to/2K7sIP4","link*")</f>
        <v>link*</v>
      </c>
      <c r="U1067"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V1067" s="68" t="s">
        <v>42</v>
      </c>
    </row>
    <row r="1068" hidden="1">
      <c r="A1068" s="131" t="str">
        <f>HYPERLINK("https://phillipreeve.net/blog/review-samyang-af-2-4-28-fe-at-least-its-small/","Samyang AF 24mm F/2.8")</f>
        <v>Samyang AF 24mm F/2.8</v>
      </c>
      <c r="B1068" s="76">
        <v>93.0</v>
      </c>
      <c r="C1068" s="77">
        <v>24.0</v>
      </c>
      <c r="D1068" s="78">
        <v>2.8</v>
      </c>
      <c r="E1068" s="144">
        <v>61.0</v>
      </c>
      <c r="F1068" s="151">
        <v>37.0</v>
      </c>
      <c r="G1068" s="84" t="s">
        <v>30</v>
      </c>
      <c r="H1068" s="82" t="s">
        <v>74</v>
      </c>
      <c r="I1068" s="81">
        <v>0.15</v>
      </c>
      <c r="J1068" s="83">
        <v>20.0</v>
      </c>
      <c r="K1068" s="84" t="s">
        <v>26</v>
      </c>
      <c r="L1068" s="81">
        <v>9.0</v>
      </c>
      <c r="M1068" s="128" t="s">
        <v>75</v>
      </c>
      <c r="N1068" s="81" t="s">
        <v>46</v>
      </c>
      <c r="O1068" s="86">
        <v>43282.0</v>
      </c>
      <c r="P1068" s="129">
        <v>279.0</v>
      </c>
      <c r="Q1068" s="129">
        <v>210.0</v>
      </c>
      <c r="R1068" s="88" t="str">
        <f>HYPERLINK("https://amzn.to/2NEHZ7c","link*")</f>
        <v>link*</v>
      </c>
      <c r="S1068" s="88" t="str">
        <f>HYPERLINK("https://www.bhphotovideo.com/c/product/1413350-REG/samyang_syio24af_e_af_24mm_f_2_8_fe.html/BI/19619/KBID/12129/kw/SASYIO24AFE/DFF/d10-v2-t1-xSASYIO24AFE","link*")</f>
        <v>link*</v>
      </c>
      <c r="T1068" s="88" t="str">
        <f>HYPERLINK("https://amzn.to/2Onv1QE","link*")</f>
        <v>link*</v>
      </c>
      <c r="U1068"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row>
    <row r="1069" hidden="1">
      <c r="A1069" s="152" t="str">
        <f>HYPERLINK("https://phillipreeve.net/blog/review-tamron-24mm-f-2-8-di-iii-osd-m12/","Tamron 24mm f/2.8 Di III OSD M1:2")</f>
        <v>Tamron 24mm f/2.8 Di III OSD M1:2</v>
      </c>
      <c r="B1069" s="76">
        <v>215.0</v>
      </c>
      <c r="C1069" s="77">
        <v>24.0</v>
      </c>
      <c r="D1069" s="78">
        <v>2.8</v>
      </c>
      <c r="E1069" s="138">
        <v>73.0</v>
      </c>
      <c r="F1069" s="139">
        <v>64.0</v>
      </c>
      <c r="G1069" s="84" t="s">
        <v>30</v>
      </c>
      <c r="H1069" s="82" t="s">
        <v>53</v>
      </c>
      <c r="I1069" s="140">
        <v>0.5</v>
      </c>
      <c r="J1069" s="83">
        <v>12.0</v>
      </c>
      <c r="K1069" s="84" t="s">
        <v>26</v>
      </c>
      <c r="L1069" s="81">
        <v>7.0</v>
      </c>
      <c r="M1069" s="128" t="s">
        <v>70</v>
      </c>
      <c r="N1069" s="81" t="s">
        <v>55</v>
      </c>
      <c r="O1069" s="86">
        <v>43796.0</v>
      </c>
      <c r="P1069" s="87">
        <v>349.0</v>
      </c>
      <c r="Q1069" s="87"/>
      <c r="R1069" s="88" t="str">
        <f>HYPERLINK("https://amzn.to/34hgYPr","link*")</f>
        <v>link*</v>
      </c>
      <c r="S1069" s="88" t="str">
        <f>HYPERLINK("https://www.bhphotovideo.com/c/product/1512042-REG/tamron_f051_24mm_f_2_8_di_iii.html/BI/19619/KBID/12129/DFF/d10-v21-t1-x994971/SID/EZ","link*")</f>
        <v>link*</v>
      </c>
      <c r="T1069" s="88" t="str">
        <f>HYPERLINK("https://amzn.to/38yg1G1","link*")</f>
        <v>link*</v>
      </c>
      <c r="U1069" s="88" t="str">
        <f>HYPERLINK("http://rover.ebay.com/rover/1/711-53200-19255-0/1?icep_ff3=9&amp;pub=5575076376&amp;toolid=10001&amp;campid=5338573609&amp;customid=&amp;icep_uq=tamron+24+2.8+osd+&amp;icep_sellerId=&amp;icep_ex_kw=&amp;icep_sortBy=12&amp;icep_catId=3323&amp;icep_minPrice=&amp;icep_maxPrice=&amp;ipn=psmain&amp;icep_vectori"&amp;"d=229466&amp;kwid=902099&amp;mtid=824&amp;kw=lg","link*")</f>
        <v>link*</v>
      </c>
    </row>
    <row r="1070" hidden="1">
      <c r="A1070" s="152" t="str">
        <f>HYPERLINK("https://phillipreeve.net/blog/review-sony-fe-2-824-70mm-gm/","Sony GM 2.8/24-70")</f>
        <v>Sony GM 2.8/24-70</v>
      </c>
      <c r="B1070" s="76">
        <v>886.0</v>
      </c>
      <c r="C1070" s="77">
        <v>24.0</v>
      </c>
      <c r="D1070" s="78">
        <v>2.8</v>
      </c>
      <c r="E1070" s="144">
        <v>88.0</v>
      </c>
      <c r="F1070" s="151">
        <v>136.0</v>
      </c>
      <c r="G1070" s="84" t="s">
        <v>30</v>
      </c>
      <c r="H1070" s="82" t="s">
        <v>51</v>
      </c>
      <c r="I1070" s="140">
        <v>0.25</v>
      </c>
      <c r="J1070" s="83">
        <v>38.0</v>
      </c>
      <c r="K1070" s="84" t="s">
        <v>26</v>
      </c>
      <c r="L1070" s="81">
        <v>9.0</v>
      </c>
      <c r="M1070" s="128" t="s">
        <v>44</v>
      </c>
      <c r="N1070" s="81" t="s">
        <v>32</v>
      </c>
      <c r="O1070" s="86">
        <v>42401.0</v>
      </c>
      <c r="P1070" s="87">
        <v>2199.0</v>
      </c>
      <c r="Q1070" s="87">
        <v>1500.0</v>
      </c>
      <c r="R1070" s="88" t="str">
        <f>HYPERLINK("https://amzn.to/2STHavK","link*")</f>
        <v>link*</v>
      </c>
      <c r="S1070" s="88" t="str">
        <f>HYPERLINK("https://www.bhphotovideo.com/c/search?Ntt=gm%2024-70&amp;N=0&amp;InitialSearch=yes&amp;sts=ma&amp;Top+Nav-Search=&amp;BI=19619&amp;KBID=12129&amp;KWID=EZ","link*")</f>
        <v>link*</v>
      </c>
      <c r="T1070" s="88" t="str">
        <f>HYPERLINK("https://amzn.to/2ZwoyU7","link*")</f>
        <v>link*</v>
      </c>
      <c r="U1070"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row>
    <row r="1071" hidden="1">
      <c r="A1071" s="137" t="s">
        <v>76</v>
      </c>
      <c r="B1071" s="76">
        <v>835.0</v>
      </c>
      <c r="C1071" s="77">
        <v>24.0</v>
      </c>
      <c r="D1071" s="78">
        <v>2.8</v>
      </c>
      <c r="E1071" s="138">
        <v>87.8</v>
      </c>
      <c r="F1071" s="139">
        <v>122.9</v>
      </c>
      <c r="G1071" s="84" t="s">
        <v>30</v>
      </c>
      <c r="H1071" s="82" t="s">
        <v>51</v>
      </c>
      <c r="I1071" s="140">
        <v>0.29</v>
      </c>
      <c r="J1071" s="83">
        <v>18.0</v>
      </c>
      <c r="K1071" s="84" t="s">
        <v>26</v>
      </c>
      <c r="L1071" s="81">
        <v>11.0</v>
      </c>
      <c r="M1071" s="128" t="s">
        <v>77</v>
      </c>
      <c r="N1071" s="81" t="s">
        <v>41</v>
      </c>
      <c r="O1071" s="86">
        <v>43799.0</v>
      </c>
      <c r="P1071" s="153" t="s">
        <v>78</v>
      </c>
      <c r="Q1071" s="87"/>
      <c r="R1071" s="88" t="str">
        <f>HYPERLINK("https://amzn.to/2YPjpb1","link*")</f>
        <v>link*</v>
      </c>
      <c r="S1071" s="88" t="str">
        <f>HYPERLINK("https://www.bhphotovideo.com/c/product/1516303-REG/sigma_24_70mm_f_2_8_dg_dn.html/BI/19619/KBID/12129/DFF/d10-v21-t1-x999330/SID/EZ","link*")</f>
        <v>link*</v>
      </c>
      <c r="T1071" s="130" t="s">
        <v>33</v>
      </c>
      <c r="U1071" s="130" t="s">
        <v>33</v>
      </c>
    </row>
    <row r="1072" hidden="1">
      <c r="A1072" s="75" t="s">
        <v>79</v>
      </c>
      <c r="B1072" s="76">
        <v>780.0</v>
      </c>
      <c r="C1072" s="77">
        <v>24.0</v>
      </c>
      <c r="D1072" s="78" t="s">
        <v>80</v>
      </c>
      <c r="E1072" s="144">
        <v>80.0</v>
      </c>
      <c r="F1072" s="151">
        <v>119.0</v>
      </c>
      <c r="G1072" s="84" t="s">
        <v>30</v>
      </c>
      <c r="H1072" s="82" t="s">
        <v>48</v>
      </c>
      <c r="I1072" s="140">
        <v>0.27</v>
      </c>
      <c r="J1072" s="83">
        <v>50.0</v>
      </c>
      <c r="K1072" s="154" t="s">
        <v>49</v>
      </c>
      <c r="L1072" s="81">
        <v>7.0</v>
      </c>
      <c r="M1072" s="128" t="s">
        <v>81</v>
      </c>
      <c r="N1072" s="81" t="s">
        <v>32</v>
      </c>
      <c r="O1072" s="86">
        <v>42064.0</v>
      </c>
      <c r="P1072" s="87">
        <v>998.0</v>
      </c>
      <c r="Q1072" s="87">
        <v>600.0</v>
      </c>
      <c r="R1072" s="88" t="str">
        <f>HYPERLINK("http://amzn.to/2fbX5FU","link*")</f>
        <v>link*</v>
      </c>
      <c r="S1072" s="88" t="str">
        <f>HYPERLINK("https://www.bhphotovideo.com/c/search?Ntt=sony%2024-240&amp;N=0&amp;InitialSearch=yes&amp;sts=ma&amp;Top+Nav-Search=&amp;BI=19619&amp;KBID=12129&amp;KWID=EZ","link*")</f>
        <v>link*</v>
      </c>
      <c r="T1072" s="88" t="str">
        <f>HYPERLINK("http://amzn.to/2wyrL7A","link*")</f>
        <v>link*</v>
      </c>
      <c r="U1072"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row>
    <row r="1073" hidden="1">
      <c r="A1073" s="75" t="s">
        <v>82</v>
      </c>
      <c r="B1073" s="76">
        <v>663.0</v>
      </c>
      <c r="C1073" s="77">
        <v>24.0</v>
      </c>
      <c r="D1073" s="78">
        <v>4.0</v>
      </c>
      <c r="E1073" s="144">
        <v>83.0</v>
      </c>
      <c r="F1073" s="145">
        <v>113.0</v>
      </c>
      <c r="G1073" s="84" t="s">
        <v>30</v>
      </c>
      <c r="H1073" s="82" t="s">
        <v>56</v>
      </c>
      <c r="I1073" s="140">
        <v>0.31</v>
      </c>
      <c r="J1073" s="83">
        <v>38.0</v>
      </c>
      <c r="K1073" s="154" t="s">
        <v>49</v>
      </c>
      <c r="L1073" s="81">
        <v>9.0</v>
      </c>
      <c r="M1073" s="128" t="s">
        <v>35</v>
      </c>
      <c r="N1073" s="81" t="s">
        <v>32</v>
      </c>
      <c r="O1073" s="86">
        <v>43009.0</v>
      </c>
      <c r="P1073" s="87">
        <v>1398.0</v>
      </c>
      <c r="Q1073" s="68">
        <v>1050.0</v>
      </c>
      <c r="R1073" s="88" t="str">
        <f>HYPERLINK("https://amzn.to/2K7LwMR","link*")</f>
        <v>link*</v>
      </c>
      <c r="S1073" s="88" t="str">
        <f>HYPERLINK("https://www.bhphotovideo.com/c/search?Ntt=sony%2024-105&amp;N=0&amp;InitialSearch=yes&amp;sts=ma&amp;Top+Nav-Search=&amp;BI=19619&amp;KBID=12129&amp;KWID=EZ","link*")</f>
        <v>link*</v>
      </c>
      <c r="T1073" s="88" t="str">
        <f>HYPERLINK("https://amzn.to/2Ld8hOS","link*")</f>
        <v>link*</v>
      </c>
      <c r="U1073"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row>
    <row r="1074" hidden="1">
      <c r="A1074" s="22" t="str">
        <f>HYPERLINK("https://phillipreeve.net/blog/rolling-review-carl-zeiss-vario-tessar-t-fe-424-70-za/","Sony ZA 4/24-70 OSS")</f>
        <v>Sony ZA 4/24-70 OSS</v>
      </c>
      <c r="B1074" s="23">
        <v>426.0</v>
      </c>
      <c r="C1074" s="24">
        <v>24.0</v>
      </c>
      <c r="D1074" s="25">
        <v>4.0</v>
      </c>
      <c r="E1074" s="147">
        <v>73.0</v>
      </c>
      <c r="F1074" s="155">
        <v>95.0</v>
      </c>
      <c r="G1074" s="32" t="s">
        <v>30</v>
      </c>
      <c r="H1074" s="29" t="s">
        <v>53</v>
      </c>
      <c r="I1074" s="30">
        <v>0.2</v>
      </c>
      <c r="J1074" s="31">
        <v>40.0</v>
      </c>
      <c r="K1074" s="156" t="s">
        <v>49</v>
      </c>
      <c r="L1074" s="30">
        <v>7.0</v>
      </c>
      <c r="M1074" s="112" t="s">
        <v>38</v>
      </c>
      <c r="N1074" s="30" t="s">
        <v>32</v>
      </c>
      <c r="O1074" s="34">
        <v>41640.0</v>
      </c>
      <c r="P1074" s="35">
        <v>898.0</v>
      </c>
      <c r="Q1074" s="35">
        <v>420.0</v>
      </c>
      <c r="R1074" s="36" t="str">
        <f>HYPERLINK("http://amzn.to/2vlG2Yq","link*")</f>
        <v>link*</v>
      </c>
      <c r="S1074" s="36" t="str">
        <f>HYPERLINK("https://www.bhphotovideo.com/c/product/1008126-REG/sony_sel2470z_vario_tessar_t_fe_24_70mm.html/BI/19619/KBID/12129/DFF/d10-v21-t1-x466842/SID/EZ","link*")</f>
        <v>link*</v>
      </c>
      <c r="T1074" s="36" t="str">
        <f>HYPERLINK("http://amzn.to/2fl1XZk","link*")</f>
        <v>link*</v>
      </c>
      <c r="U1074" s="36"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V1074" s="94"/>
    </row>
    <row r="1075" hidden="1">
      <c r="A1075" s="109" t="str">
        <f>HYPERLINK("https://phillipreeve.net/blog/review-zeiss-batis-distagon-t-25mm-f2/","Zeiss Batis 2/25")</f>
        <v>Zeiss Batis 2/25</v>
      </c>
      <c r="B1075" s="39">
        <v>335.0</v>
      </c>
      <c r="C1075" s="40">
        <v>25.0</v>
      </c>
      <c r="D1075" s="41">
        <v>2.0</v>
      </c>
      <c r="E1075" s="144">
        <v>92.0</v>
      </c>
      <c r="F1075" s="145">
        <v>78.0</v>
      </c>
      <c r="G1075" s="44" t="s">
        <v>30</v>
      </c>
      <c r="H1075" s="45" t="s">
        <v>53</v>
      </c>
      <c r="I1075" s="46">
        <v>0.19</v>
      </c>
      <c r="J1075" s="47">
        <v>20.0</v>
      </c>
      <c r="K1075" s="44" t="s">
        <v>26</v>
      </c>
      <c r="L1075" s="46">
        <v>9.0</v>
      </c>
      <c r="M1075" s="111" t="s">
        <v>83</v>
      </c>
      <c r="N1075" s="46" t="s">
        <v>58</v>
      </c>
      <c r="O1075" s="49">
        <v>42125.0</v>
      </c>
      <c r="P1075" s="50">
        <v>1299.0</v>
      </c>
      <c r="Q1075" s="50">
        <v>675.0</v>
      </c>
      <c r="R1075" s="51" t="str">
        <f>HYPERLINK("https://amzn.to/2ypHQiT","link*")</f>
        <v>link*</v>
      </c>
      <c r="S1075" s="51" t="str">
        <f>HYPERLINK("https://www.bhphotovideo.com/c/product/1140832-REG/zeiss_2103_750_25mm_f_2_0_batis_wide.html/BI/19619/KBID/12129/DFF/d10-v21-t1-x627141/SID/EZ","link*")</f>
        <v>link*</v>
      </c>
      <c r="T1075" s="51" t="str">
        <f>HYPERLINK("https://amzn.to/2L20DIj","link*")</f>
        <v>link*</v>
      </c>
      <c r="U1075" s="51"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row>
    <row r="1076">
      <c r="A1076" s="22" t="str">
        <f>HYPERLINK("https://phillipreeve.net/blog/review-zeiss-loxia-2-4-25mm-distagon/","Zeiss Loxia 2.4/25")</f>
        <v>Zeiss Loxia 2.4/25</v>
      </c>
      <c r="B1076" s="23">
        <v>393.0</v>
      </c>
      <c r="C1076" s="24">
        <v>25.0</v>
      </c>
      <c r="D1076" s="25">
        <v>2.4</v>
      </c>
      <c r="E1076" s="147">
        <v>62.0</v>
      </c>
      <c r="F1076" s="155">
        <v>75.0</v>
      </c>
      <c r="G1076" s="32" t="s">
        <v>24</v>
      </c>
      <c r="H1076" s="29" t="s">
        <v>71</v>
      </c>
      <c r="I1076" s="30">
        <v>0.16</v>
      </c>
      <c r="J1076" s="31">
        <v>25.0</v>
      </c>
      <c r="K1076" s="32" t="s">
        <v>26</v>
      </c>
      <c r="L1076" s="30">
        <v>10.0</v>
      </c>
      <c r="M1076" s="112" t="s">
        <v>83</v>
      </c>
      <c r="N1076" s="30" t="s">
        <v>58</v>
      </c>
      <c r="O1076" s="34">
        <v>43160.0</v>
      </c>
      <c r="P1076" s="35">
        <v>1299.0</v>
      </c>
      <c r="Q1076" s="35">
        <v>900.0</v>
      </c>
      <c r="R1076" s="36" t="str">
        <f>HYPERLINK("https://amzn.to/2OlyeAf","link*")</f>
        <v>link*</v>
      </c>
      <c r="S1076" s="36" t="str">
        <f>HYPERLINK("https://www.bhphotovideo.com/c/product/1389169-REG/zeiss_000000_2218_783_loxia_25mm_f_2_4_lens.html/BI/19619/KBID/12129/kw/ZE2524L/DFF/d10-v2-t1-xZE2524L","link*")</f>
        <v>link*</v>
      </c>
      <c r="T1076" s="36" t="str">
        <f>HYPERLINK("https://amzn.to/2OlyeAf","link*")</f>
        <v>link*</v>
      </c>
      <c r="U1076" s="36" t="str">
        <f>HYPERLINK("http://rover.ebay.com/rover/1/711-53200-19255-0/1?icep_ff3=9&amp;pub=5575076376&amp;toolid=10001&amp;campid=5338573609&amp;customid=&amp;icep_uq=Zeiss+loxia+25mm&amp;icep_sellerId=&amp;icep_ex_kw=&amp;icep_sortBy=12&amp;icep_catId=3323&amp;icep_minPrice=&amp;icep_maxPrice=&amp;ipn=psmain&amp;icep_vectorid="&amp;"229466&amp;kwid=902099&amp;mtid=824&amp;kw=lg","link*")</f>
        <v>link*</v>
      </c>
      <c r="V1076" s="94"/>
    </row>
    <row r="1077" hidden="1">
      <c r="A1077" s="38" t="s">
        <v>84</v>
      </c>
      <c r="B1077" s="39">
        <v>965.0</v>
      </c>
      <c r="C1077" s="40">
        <v>28.0</v>
      </c>
      <c r="D1077" s="41">
        <v>1.4</v>
      </c>
      <c r="E1077" s="144">
        <v>83.0</v>
      </c>
      <c r="F1077" s="145">
        <v>134.0</v>
      </c>
      <c r="G1077" s="44" t="s">
        <v>30</v>
      </c>
      <c r="H1077" s="45" t="s">
        <v>56</v>
      </c>
      <c r="I1077" s="46">
        <v>0.19</v>
      </c>
      <c r="J1077" s="47">
        <v>28.0</v>
      </c>
      <c r="K1077" s="44" t="s">
        <v>26</v>
      </c>
      <c r="L1077" s="46">
        <v>9.0</v>
      </c>
      <c r="M1077" s="111" t="s">
        <v>81</v>
      </c>
      <c r="N1077" s="46" t="s">
        <v>41</v>
      </c>
      <c r="O1077" s="49">
        <v>43435.0</v>
      </c>
      <c r="P1077" s="50">
        <v>1399.0</v>
      </c>
      <c r="Q1077" s="50" t="s">
        <v>36</v>
      </c>
      <c r="R1077" s="51" t="str">
        <f>HYPERLINK("https://amzn.to/2Wn0pxO","link*")</f>
        <v>link*</v>
      </c>
      <c r="S1077" s="51" t="str">
        <f>HYPERLINK("https://www.bhphotovideo.com/c/product/1436285-REG/sigma_28mm_f_1_4_dg_hsm.html/BI/19619/KBID/12129/kw/SI2814DGSE/DFF/d10-v2-t1-xSI2814DGSE","link*")</f>
        <v>link*</v>
      </c>
      <c r="T1077" s="51" t="str">
        <f>HYPERLINK("https://amzn.to/2WzVkHd","link*")</f>
        <v>link*</v>
      </c>
      <c r="U1077" s="51"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row>
    <row r="1078" hidden="1">
      <c r="A1078" s="131" t="str">
        <f>HYPERLINK("https://www.systemkamera-forum.de/blog/2015/05/sony-fe-28mm-f2-test-und-erfahrungsbericht/","Sony FE 2/28")</f>
        <v>Sony FE 2/28</v>
      </c>
      <c r="B1078" s="76">
        <v>200.0</v>
      </c>
      <c r="C1078" s="77">
        <v>28.0</v>
      </c>
      <c r="D1078" s="78">
        <v>2.0</v>
      </c>
      <c r="E1078" s="144">
        <v>60.0</v>
      </c>
      <c r="F1078" s="145">
        <v>60.0</v>
      </c>
      <c r="G1078" s="84" t="s">
        <v>30</v>
      </c>
      <c r="H1078" s="82" t="s">
        <v>74</v>
      </c>
      <c r="I1078" s="81">
        <v>0.13</v>
      </c>
      <c r="J1078" s="83">
        <v>29.0</v>
      </c>
      <c r="K1078" s="84" t="s">
        <v>26</v>
      </c>
      <c r="L1078" s="81">
        <v>9.0</v>
      </c>
      <c r="M1078" s="128" t="s">
        <v>60</v>
      </c>
      <c r="N1078" s="81" t="s">
        <v>32</v>
      </c>
      <c r="O1078" s="86">
        <v>42064.0</v>
      </c>
      <c r="P1078" s="153">
        <v>448.0</v>
      </c>
      <c r="Q1078" s="153">
        <v>280.0</v>
      </c>
      <c r="R1078" s="88" t="str">
        <f>HYPERLINK("https://amzn.to/2GXJWdo","link*")</f>
        <v>link*</v>
      </c>
      <c r="S1078" s="88" t="str">
        <f>HYPERLINK("https://www.bhphotovideo.com/c/product/1402637-REG/sony_fe_28mm_f_2_lens.html/BI/19619/KBID/12129/kw/SO2820F/DFF/d10-v2-t1-xSO2820F","link*")</f>
        <v>link*</v>
      </c>
      <c r="T1078" s="88" t="str">
        <f>HYPERLINK("http://amzn.to/2wyLOCO","link*")</f>
        <v>link*</v>
      </c>
      <c r="U1078" s="88" t="str">
        <f>HYPERLINK("http://rover.ebay.com/rover/1/711-53200-19255-0/1?icep_ff3=10&amp;pub=5575076376&amp;toolid=10001&amp;campid=5338164340&amp;customid=&amp;icep_uq=sony+28+f2&amp;icep_sellerId=&amp;icep_ex_kw=&amp;icep_sortBy=12&amp;icep_catId=&amp;icep_minPrice=&amp;icep_maxPrice=&amp;ipn=psmain&amp;icep_vectorid=229466&amp;kw"&amp;"id=902099&amp;mtid=824&amp;kw=lg","link*")</f>
        <v>link*</v>
      </c>
    </row>
    <row r="1079" hidden="1">
      <c r="A1079" s="131" t="str">
        <f>HYPERLINK("https://phillipreeve.net/blog/review-tamron-28-75mm-f-2-8-di-iii-rxd-sony-e-mount/","Tamron 2.8/28-75")</f>
        <v>Tamron 2.8/28-75</v>
      </c>
      <c r="B1079" s="76">
        <v>550.0</v>
      </c>
      <c r="C1079" s="77">
        <v>28.0</v>
      </c>
      <c r="D1079" s="78">
        <v>2.8</v>
      </c>
      <c r="E1079" s="144">
        <v>73.0</v>
      </c>
      <c r="F1079" s="145">
        <v>118.0</v>
      </c>
      <c r="G1079" s="84" t="s">
        <v>30</v>
      </c>
      <c r="H1079" s="82" t="s">
        <v>53</v>
      </c>
      <c r="I1079" s="140">
        <v>0.34</v>
      </c>
      <c r="J1079" s="83">
        <v>19.0</v>
      </c>
      <c r="K1079" s="84" t="s">
        <v>26</v>
      </c>
      <c r="L1079" s="81">
        <v>9.0</v>
      </c>
      <c r="M1079" s="128" t="s">
        <v>85</v>
      </c>
      <c r="N1079" s="81" t="s">
        <v>55</v>
      </c>
      <c r="O1079" s="86">
        <v>43252.0</v>
      </c>
      <c r="P1079" s="153">
        <v>879.0</v>
      </c>
      <c r="Q1079" s="87">
        <v>790.0</v>
      </c>
      <c r="R1079" s="88" t="str">
        <f>HYPERLINK("https://amzn.to/2ST5uxq","link*")</f>
        <v>link*</v>
      </c>
      <c r="S1079" s="88" t="str">
        <f>HYPERLINK("https://www.bhphotovideo.com/c/product/1393332-REG/tamron_a036_28_75mm_f_2_8_di_iii.html/BI/19619/KBID/12129/DFF/d10-v21-t1-x892059/SID/EZ","link*")</f>
        <v>link*</v>
      </c>
      <c r="T1079" s="88" t="str">
        <f>HYPERLINK("https://amzn.to/2ZmSzdU","link*")</f>
        <v>link*</v>
      </c>
      <c r="U1079"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row>
    <row r="1080" hidden="1">
      <c r="A1080" s="75" t="s">
        <v>88</v>
      </c>
      <c r="B1080" s="76">
        <v>295.0</v>
      </c>
      <c r="C1080" s="77">
        <v>28.0</v>
      </c>
      <c r="D1080" s="78" t="s">
        <v>89</v>
      </c>
      <c r="E1080" s="144">
        <v>73.0</v>
      </c>
      <c r="F1080" s="145">
        <v>83.0</v>
      </c>
      <c r="G1080" s="84" t="s">
        <v>30</v>
      </c>
      <c r="H1080" s="82" t="s">
        <v>90</v>
      </c>
      <c r="I1080" s="81">
        <v>0.19</v>
      </c>
      <c r="J1080" s="83">
        <v>30.0</v>
      </c>
      <c r="K1080" s="154" t="s">
        <v>49</v>
      </c>
      <c r="L1080" s="81">
        <v>7.0</v>
      </c>
      <c r="M1080" s="128" t="s">
        <v>60</v>
      </c>
      <c r="N1080" s="81" t="s">
        <v>32</v>
      </c>
      <c r="O1080" s="86">
        <v>41548.0</v>
      </c>
      <c r="P1080" s="87">
        <v>398.0</v>
      </c>
      <c r="Q1080" s="87">
        <v>110.0</v>
      </c>
      <c r="R1080" s="88" t="str">
        <f>HYPERLINK("https://www.amazon.com/gp/product/B00FYOFADE/ref=as_li_tl?ie=UTF8&amp;tag=wwwphillipree-20&amp;camp=1789&amp;creative=9325&amp;linkCode=as2&amp;creativeASIN=B00FYOFADE&amp;linkId=96720b245156eae53bb1a672d4453d3f","link*")</f>
        <v>link*</v>
      </c>
      <c r="S1080" s="88" t="str">
        <f>HYPERLINK("https://www.bhphotovideo.com/c/product/1015472-REG/sony_sel2870_fe_28_70mm_f_3_5_5_6_oss.html/BI/19619/KBID/12129/DFF/d10-v21-t1-x473993/SID/EZ","link*")</f>
        <v>link*</v>
      </c>
      <c r="T1080" s="88" t="str">
        <f>HYPERLINK("https://www.amazon.de/gp/product/B00HSHFPD0/ref=as_li_tl?ie=UTF8&amp;tag=wwwphillipree-21&amp;camp=1638&amp;creative=6742&amp;linkCode=as2&amp;creativeASIN=B00HSHFPD0&amp;linkId=6701f30673f8a4071232ca85e1953506","link*")</f>
        <v>link*</v>
      </c>
      <c r="U1080"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row>
    <row r="1081" hidden="1">
      <c r="A1081" s="90" t="s">
        <v>91</v>
      </c>
      <c r="B1081" s="23">
        <v>1215.0</v>
      </c>
      <c r="C1081" s="24">
        <v>28.0</v>
      </c>
      <c r="D1081" s="25">
        <v>4.0</v>
      </c>
      <c r="E1081" s="147">
        <v>105.0</v>
      </c>
      <c r="F1081" s="155">
        <v>165.0</v>
      </c>
      <c r="G1081" s="32" t="s">
        <v>30</v>
      </c>
      <c r="H1081" s="174" t="s">
        <v>92</v>
      </c>
      <c r="I1081" s="148"/>
      <c r="J1081" s="31">
        <v>40.0</v>
      </c>
      <c r="K1081" s="156" t="s">
        <v>49</v>
      </c>
      <c r="L1081" s="30">
        <v>9.0</v>
      </c>
      <c r="M1081" s="112" t="s">
        <v>93</v>
      </c>
      <c r="N1081" s="30" t="s">
        <v>32</v>
      </c>
      <c r="O1081" s="34">
        <v>41883.0</v>
      </c>
      <c r="P1081" s="35">
        <v>2498.0</v>
      </c>
      <c r="Q1081" s="35">
        <v>1400.0</v>
      </c>
      <c r="R1081" s="36" t="str">
        <f>HYPERLINK("http://amzn.to/2v2kiy9","link*")</f>
        <v>link*</v>
      </c>
      <c r="S1081" s="36" t="str">
        <f>HYPERLINK("https://www.bhphotovideo.com/c/product/1082051-REG/sony_selp28135g_e_pz_28_135mm_f_4.html/BI/19619/KBID/12129/DFF/d10-v21-t1-x556056/SID/EZ","link*")</f>
        <v>link*</v>
      </c>
      <c r="T1081" s="36" t="str">
        <f>HYPERLINK("http://amzn.to/2wlpg9b","link*")</f>
        <v>link*</v>
      </c>
      <c r="U1081" s="36"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V1081" s="37" t="s">
        <v>94</v>
      </c>
    </row>
    <row r="1082" hidden="1">
      <c r="A1082" s="109" t="str">
        <f>HYPERLINK("https://phillipreeve.net/blog/review-sigma-35mm-1-2-art-dg-dn/","Sigma Art 1.2/35")</f>
        <v>Sigma Art 1.2/35</v>
      </c>
      <c r="B1082" s="39">
        <v>1090.0</v>
      </c>
      <c r="C1082" s="40">
        <v>35.0</v>
      </c>
      <c r="D1082" s="181">
        <v>1.2</v>
      </c>
      <c r="E1082" s="144">
        <v>88.0</v>
      </c>
      <c r="F1082" s="145">
        <v>136.0</v>
      </c>
      <c r="G1082" s="46" t="s">
        <v>30</v>
      </c>
      <c r="H1082" s="182" t="s">
        <v>51</v>
      </c>
      <c r="I1082" s="46">
        <v>0.19</v>
      </c>
      <c r="J1082" s="47">
        <v>30.0</v>
      </c>
      <c r="K1082" s="44" t="s">
        <v>26</v>
      </c>
      <c r="L1082" s="46">
        <v>11.0</v>
      </c>
      <c r="M1082" s="74">
        <v>43816.0</v>
      </c>
      <c r="N1082" s="46" t="s">
        <v>41</v>
      </c>
      <c r="O1082" s="49">
        <v>43647.0</v>
      </c>
      <c r="P1082" s="50">
        <v>1499.0</v>
      </c>
      <c r="Q1082" s="50" t="s">
        <v>36</v>
      </c>
      <c r="R1082" s="51" t="str">
        <f>HYPERLINK("https://amzn.to/2LiHhxc","link*")</f>
        <v>link*</v>
      </c>
      <c r="S1082" s="51" t="str">
        <f>HYPERLINK("https://www.bhphotovideo.com/c/product/1492967-REG/sigma_341969_35mm_f_1_2_dg_dn.html/BI/19619/KBID/12129/DFF/d10-v21-t1-x976038/SID/EZ","link*")</f>
        <v>link*</v>
      </c>
      <c r="T1082" s="146"/>
      <c r="U1082" s="51"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row>
    <row r="1083" hidden="1">
      <c r="A1083" s="131" t="str">
        <f>HYPERLINK("https://phillipreeve.net/blog/review-sony-fe-35mm-1-4-za/","Sony ZA 1.4/35")</f>
        <v>Sony ZA 1.4/35</v>
      </c>
      <c r="B1083" s="76">
        <v>630.0</v>
      </c>
      <c r="C1083" s="77">
        <v>35.0</v>
      </c>
      <c r="D1083" s="78">
        <v>1.4</v>
      </c>
      <c r="E1083" s="144">
        <v>79.0</v>
      </c>
      <c r="F1083" s="145">
        <v>112.0</v>
      </c>
      <c r="G1083" s="81" t="s">
        <v>30</v>
      </c>
      <c r="H1083" s="82" t="s">
        <v>48</v>
      </c>
      <c r="I1083" s="81">
        <v>0.18</v>
      </c>
      <c r="J1083" s="83">
        <v>30.0</v>
      </c>
      <c r="K1083" s="84" t="s">
        <v>26</v>
      </c>
      <c r="L1083" s="81">
        <v>9.0</v>
      </c>
      <c r="M1083" s="123">
        <v>43689.0</v>
      </c>
      <c r="N1083" s="81" t="s">
        <v>32</v>
      </c>
      <c r="O1083" s="86">
        <v>42064.0</v>
      </c>
      <c r="P1083" s="87">
        <v>1599.0</v>
      </c>
      <c r="Q1083" s="87">
        <v>900.0</v>
      </c>
      <c r="R1083" s="88" t="str">
        <f>HYPERLINK("https://amzn.to/2LRSMOS","link*")</f>
        <v>link*</v>
      </c>
      <c r="S1083" s="88" t="str">
        <f>HYPERLINK("https://www.bhphotovideo.com/c/product/1126137-REG/sony_sel35f14z_distagon_t_fe_35mm.html/BI/19619/KBID/12129/DFF/d10-v21-t1-x612725/SID/EZ","link*")</f>
        <v>link*</v>
      </c>
      <c r="T1083" s="88" t="str">
        <f>HYPERLINK("https://amzn.to/2ZmfSnX","link*")</f>
        <v>link*</v>
      </c>
      <c r="U1083" s="88" t="str">
        <f>HYPERLINK("http://rover.ebay.com/rover/1/711-53200-19255-0/1?icep_ff3=9&amp;pub=5575076376&amp;toolid=10001&amp;campid=5338573609&amp;customid=&amp;icep_uq=sony+35+1.4+fe-a-mount&amp;icep_sellerId=&amp;icep_ex_kw=&amp;icep_sortBy=12&amp;icep_catId=3323&amp;icep_minPrice=&amp;icep_maxPrice=&amp;ipn=psmain&amp;icep_vec"&amp;"torid=229466&amp;kwid=902099&amp;mtid=824&amp;kw=lg","link*")</f>
        <v>link*</v>
      </c>
    </row>
    <row r="1084" hidden="1">
      <c r="A1084" s="131" t="str">
        <f>HYPERLINK("https://phillipreeve.net/blog/review-samyang-af-35-1-4-fe/","Samyang 1.4/35")</f>
        <v>Samyang 1.4/35</v>
      </c>
      <c r="B1084" s="76">
        <v>645.0</v>
      </c>
      <c r="C1084" s="77">
        <v>35.0</v>
      </c>
      <c r="D1084" s="78">
        <v>1.4</v>
      </c>
      <c r="E1084" s="144">
        <v>76.0</v>
      </c>
      <c r="F1084" s="151">
        <v>115.0</v>
      </c>
      <c r="G1084" s="81" t="s">
        <v>30</v>
      </c>
      <c r="H1084" s="82" t="s">
        <v>53</v>
      </c>
      <c r="I1084" s="81">
        <v>0.17</v>
      </c>
      <c r="J1084" s="83">
        <v>30.0</v>
      </c>
      <c r="K1084" s="84" t="s">
        <v>26</v>
      </c>
      <c r="L1084" s="81">
        <v>9.0</v>
      </c>
      <c r="M1084" s="123">
        <v>43719.0</v>
      </c>
      <c r="N1084" s="81" t="s">
        <v>46</v>
      </c>
      <c r="O1084" s="86">
        <v>43009.0</v>
      </c>
      <c r="P1084" s="87">
        <v>599.0</v>
      </c>
      <c r="Q1084" s="87">
        <v>400.0</v>
      </c>
      <c r="R1084" s="88" t="str">
        <f>HYPERLINK("https://amzn.to/2K8DDXH","link*")</f>
        <v>link*</v>
      </c>
      <c r="S1084" s="88" t="str">
        <f>HYPERLINK("https://www.bhphotovideo.com/c/product/1373698-REG/samyang_syio3514_e_35mm_f1_4_auto_focus.html/BI/19619/KBID/12129/DFF/d10-v21-t1-x858016/SID/EZ","link*")</f>
        <v>link*</v>
      </c>
      <c r="T1084" s="88" t="str">
        <f>HYPERLINK("https://amzn.to/2Zhl3FI","link*")</f>
        <v>link*</v>
      </c>
      <c r="U1084"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V1084" s="68" t="s">
        <v>99</v>
      </c>
    </row>
    <row r="1085">
      <c r="A1085" s="131" t="str">
        <f>HYPERLINK("https://phillipreeve.net/blog/review-voigtlander-35mm-1-4-nokton-e-classic/","Voigtlander 35mm F1.4 Nokton Classic")</f>
        <v>Voigtlander 35mm F1.4 Nokton Classic</v>
      </c>
      <c r="B1085" s="76">
        <v>262.0</v>
      </c>
      <c r="C1085" s="77">
        <v>35.0</v>
      </c>
      <c r="D1085" s="78">
        <v>1.4</v>
      </c>
      <c r="E1085" s="144">
        <v>67.0</v>
      </c>
      <c r="F1085" s="151">
        <v>40.0</v>
      </c>
      <c r="G1085" s="81" t="s">
        <v>24</v>
      </c>
      <c r="H1085" s="82" t="s">
        <v>47</v>
      </c>
      <c r="I1085" s="81">
        <v>0.16</v>
      </c>
      <c r="J1085" s="83">
        <v>30.0</v>
      </c>
      <c r="K1085" s="84" t="s">
        <v>26</v>
      </c>
      <c r="L1085" s="81">
        <v>10.0</v>
      </c>
      <c r="M1085" s="123">
        <v>43624.0</v>
      </c>
      <c r="N1085" s="81" t="s">
        <v>28</v>
      </c>
      <c r="O1085" s="86">
        <v>43132.0</v>
      </c>
      <c r="P1085" s="87">
        <v>799.0</v>
      </c>
      <c r="Q1085" s="87">
        <v>450.0</v>
      </c>
      <c r="R1085" s="88" t="str">
        <f>HYPERLINK("https://amzn.to/2M1M8WH","link*")</f>
        <v>link*</v>
      </c>
      <c r="S1085" s="88" t="str">
        <f>HYPERLINK("https://www.bhphotovideo.com/c/product/1381712-REG/voigtlander_nokton_classic_35mm_f_1_4.html/BI/19619/KBID/12129/DFF/d10-v21-t1-x877353/SID/EZ","link*")</f>
        <v>link*</v>
      </c>
      <c r="T1085" s="88" t="str">
        <f>HYPERLINK("https://amzn.to/2ZswTZ3","link*")</f>
        <v>link*</v>
      </c>
      <c r="U1085"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row>
    <row r="1086" hidden="1">
      <c r="A1086" s="131" t="str">
        <f>HYPERLINK("https://phillipreeve.net/blog/review-sigma-35mm-1-4-art/","Sigma Art 1.4/35")</f>
        <v>Sigma Art 1.4/35</v>
      </c>
      <c r="B1086" s="76">
        <v>740.0</v>
      </c>
      <c r="C1086" s="77">
        <v>35.0</v>
      </c>
      <c r="D1086" s="78">
        <v>1.4</v>
      </c>
      <c r="E1086" s="144">
        <v>77.0</v>
      </c>
      <c r="F1086" s="139">
        <v>121.0</v>
      </c>
      <c r="G1086" s="81" t="s">
        <v>30</v>
      </c>
      <c r="H1086" s="82" t="s">
        <v>53</v>
      </c>
      <c r="I1086" s="81">
        <v>0.19</v>
      </c>
      <c r="J1086" s="83">
        <v>30.0</v>
      </c>
      <c r="K1086" s="84" t="s">
        <v>26</v>
      </c>
      <c r="L1086" s="81">
        <v>9.0</v>
      </c>
      <c r="M1086" s="123">
        <v>43782.0</v>
      </c>
      <c r="N1086" s="81" t="s">
        <v>41</v>
      </c>
      <c r="O1086" s="86">
        <v>43221.0</v>
      </c>
      <c r="P1086" s="153">
        <v>899.0</v>
      </c>
      <c r="Q1086" s="153">
        <v>600.0</v>
      </c>
      <c r="R1086" s="88" t="str">
        <f>HYPERLINK("https://amzn.to/2LOaQcZ","link*")</f>
        <v>link*</v>
      </c>
      <c r="S1086" s="88" t="str">
        <f>HYPERLINK("https://www.bhphotovideo.com/c/product/1393492-REG/sigma_35mm_f_1_4_dg_hsm.html/BI/19619/KBID/12129/DFF/d10-v21-t1-x881157/SID/EZ","link*")</f>
        <v>link*</v>
      </c>
      <c r="T1086" s="88" t="str">
        <f>HYPERLINK("https://amzn.to/2ZrfakE","link*")</f>
        <v>link*</v>
      </c>
      <c r="U1086"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V1086" s="68" t="s">
        <v>42</v>
      </c>
    </row>
    <row r="1087" hidden="1">
      <c r="A1087" s="131" t="str">
        <f>HYPERLINK("https://phillipreeve.net/blog/review-sony-fe-35mm-f1-8/","Sony FE 1.8/35")</f>
        <v>Sony FE 1.8/35</v>
      </c>
      <c r="B1087" s="76">
        <v>280.0</v>
      </c>
      <c r="C1087" s="77">
        <v>35.0</v>
      </c>
      <c r="D1087" s="78">
        <v>1.8</v>
      </c>
      <c r="E1087" s="144">
        <v>66.0</v>
      </c>
      <c r="F1087" s="151">
        <v>73.0</v>
      </c>
      <c r="G1087" s="81" t="s">
        <v>30</v>
      </c>
      <c r="H1087" s="82" t="s">
        <v>90</v>
      </c>
      <c r="I1087" s="185">
        <v>0.24</v>
      </c>
      <c r="J1087" s="83">
        <v>22.0</v>
      </c>
      <c r="K1087" s="84" t="s">
        <v>26</v>
      </c>
      <c r="L1087" s="81">
        <v>9.0</v>
      </c>
      <c r="M1087" s="123">
        <v>43719.0</v>
      </c>
      <c r="N1087" s="81" t="s">
        <v>32</v>
      </c>
      <c r="O1087" s="86">
        <v>43647.0</v>
      </c>
      <c r="P1087" s="87">
        <v>749.0</v>
      </c>
      <c r="Q1087" s="87">
        <v>600.0</v>
      </c>
      <c r="R1087" s="88" t="str">
        <f>HYPERLINK("https://amzn.to/31HFLMg","link*")</f>
        <v>link*</v>
      </c>
      <c r="S1087" s="88" t="str">
        <f>HYPERLINK("https://www.bhphotovideo.com/c/product/1492866-REG/sony_sel35f18f_35mm_f_1_8_fe_lens.html/BI/19619/KBID/12129/DFF/d10-v21-t1-x975763/SID/EZ","link*")</f>
        <v>link*</v>
      </c>
      <c r="T1087" s="88" t="str">
        <f>HYPERLINK("https://amzn.to/2PiATLC","link*")</f>
        <v>link*</v>
      </c>
      <c r="U1087"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row>
    <row r="1088">
      <c r="A1088" s="131" t="str">
        <f>HYPERLINK("https://phillipreeve.net/blog/review-zeiss-loxia-35mm-2-0/","Zeiss Loxia 2/35 Biogon T*")</f>
        <v>Zeiss Loxia 2/35 Biogon T*</v>
      </c>
      <c r="B1088" s="76">
        <v>340.0</v>
      </c>
      <c r="C1088" s="77">
        <v>35.0</v>
      </c>
      <c r="D1088" s="78">
        <v>2.0</v>
      </c>
      <c r="E1088" s="144">
        <v>62.0</v>
      </c>
      <c r="F1088" s="145">
        <v>66.0</v>
      </c>
      <c r="G1088" s="81" t="s">
        <v>24</v>
      </c>
      <c r="H1088" s="82" t="s">
        <v>71</v>
      </c>
      <c r="I1088" s="81">
        <v>0.17</v>
      </c>
      <c r="J1088" s="83">
        <v>30.0</v>
      </c>
      <c r="K1088" s="84" t="s">
        <v>26</v>
      </c>
      <c r="L1088" s="81">
        <v>10.0</v>
      </c>
      <c r="M1088" s="123">
        <v>43625.0</v>
      </c>
      <c r="N1088" s="81" t="s">
        <v>58</v>
      </c>
      <c r="O1088" s="86">
        <v>41974.0</v>
      </c>
      <c r="P1088" s="87">
        <v>1299.0</v>
      </c>
      <c r="Q1088" s="87">
        <v>630.0</v>
      </c>
      <c r="R1088" s="88" t="str">
        <f>HYPERLINK("https://amzn.to/2T2sJWe","link*")</f>
        <v>link*</v>
      </c>
      <c r="S1088" s="88" t="str">
        <f>HYPERLINK("https://www.bhphotovideo.com/c/product/1080388-REG/zeiss_2103_749_loxia_35mm_f_2_biogon.html/BI/19619/KBID/12129/DFF/d10-v21-t1-x553792/SID/EZ","link*")</f>
        <v>link*</v>
      </c>
      <c r="T1088" s="89" t="s">
        <v>33</v>
      </c>
      <c r="U1088"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V1088" s="68" t="s">
        <v>101</v>
      </c>
    </row>
    <row r="1089" hidden="1">
      <c r="A1089" s="131" t="str">
        <f>HYPERLINK("http://www.photozone.de/sonyalphaff/865-zeiss35f28ff","Sony ZA 2.8/35")</f>
        <v>Sony ZA 2.8/35</v>
      </c>
      <c r="B1089" s="76">
        <v>120.0</v>
      </c>
      <c r="C1089" s="77">
        <v>35.0</v>
      </c>
      <c r="D1089" s="78">
        <v>2.8</v>
      </c>
      <c r="E1089" s="144">
        <v>62.0</v>
      </c>
      <c r="F1089" s="145">
        <v>37.0</v>
      </c>
      <c r="G1089" s="81" t="s">
        <v>30</v>
      </c>
      <c r="H1089" s="82" t="s">
        <v>74</v>
      </c>
      <c r="I1089" s="81">
        <v>0.12</v>
      </c>
      <c r="J1089" s="83">
        <v>35.0</v>
      </c>
      <c r="K1089" s="84" t="s">
        <v>26</v>
      </c>
      <c r="L1089" s="81">
        <v>9.0</v>
      </c>
      <c r="M1089" s="123">
        <v>43592.0</v>
      </c>
      <c r="N1089" s="81" t="s">
        <v>32</v>
      </c>
      <c r="O1089" s="86">
        <v>41487.0</v>
      </c>
      <c r="P1089" s="87">
        <v>798.0</v>
      </c>
      <c r="Q1089" s="87">
        <v>410.0</v>
      </c>
      <c r="R1089" s="88" t="str">
        <f>HYPERLINK("https://amzn.to/2yvhL24","link*")</f>
        <v>link*</v>
      </c>
      <c r="S1089" s="88" t="str">
        <f>HYPERLINK("https://www.bhphotovideo.com/c/product/1008123-REG/sony_sel35f28z_sonnar_t_fe_35mm.html/BI/19619/KBID/12129/DFF/d10-v21-t1-x466840/SID/EZ","link*")</f>
        <v>link*</v>
      </c>
      <c r="T1089" s="89" t="s">
        <v>33</v>
      </c>
      <c r="U1089"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row>
    <row r="1090" hidden="1">
      <c r="A1090" s="385" t="s">
        <v>234</v>
      </c>
      <c r="B1090" s="187">
        <v>210.0</v>
      </c>
      <c r="C1090" s="188">
        <v>35.0</v>
      </c>
      <c r="D1090" s="160">
        <v>2.8</v>
      </c>
      <c r="E1090" s="189">
        <v>73.0</v>
      </c>
      <c r="F1090" s="190">
        <v>64.0</v>
      </c>
      <c r="G1090" s="163" t="s">
        <v>30</v>
      </c>
      <c r="H1090" s="164" t="s">
        <v>53</v>
      </c>
      <c r="I1090" s="191">
        <v>0.5</v>
      </c>
      <c r="J1090" s="192">
        <v>15.0</v>
      </c>
      <c r="K1090" s="163" t="s">
        <v>26</v>
      </c>
      <c r="L1090" s="193">
        <v>7.0</v>
      </c>
      <c r="M1090" s="167" t="s">
        <v>60</v>
      </c>
      <c r="N1090" s="168" t="s">
        <v>55</v>
      </c>
      <c r="O1090" s="86">
        <v>43796.0</v>
      </c>
      <c r="P1090" s="194">
        <v>349.0</v>
      </c>
      <c r="Q1090" s="386" t="s">
        <v>36</v>
      </c>
      <c r="R1090" s="88" t="str">
        <f>HYPERLINK("https://amzn.to/2LUF8sR","link*")</f>
        <v>link*</v>
      </c>
      <c r="S1090" s="88" t="str">
        <f>HYPERLINK("https://www.bhphotovideo.com/c/product/1512043-REG/tamron_f035_35mm_f_2_8_di_iii.html/BI/19619/KBID/12129/DFF/d10-v21-t1-x994972/SID/EZ","link*")</f>
        <v>link*</v>
      </c>
      <c r="T1090" s="88" t="str">
        <f>HYPERLINK("https://amzn.to/36BcBQO","link*")</f>
        <v>link*</v>
      </c>
      <c r="U1090" s="88" t="str">
        <f>HYPERLINK("http://rover.ebay.com/rover/1/711-53200-19255-0/1?icep_ff3=9&amp;pub=5575076376&amp;toolid=10001&amp;campid=5338573609&amp;customid=&amp;icep_uq=tamron+35+2.8+osd+&amp;icep_sellerId=&amp;icep_ex_kw=&amp;icep_sortBy=12&amp;icep_catId=3323&amp;icep_minPrice=&amp;icep_maxPrice=&amp;ipn=psmain&amp;icep_vectori"&amp;"d=229466&amp;kwid=902099&amp;mtid=824&amp;kw=lg","link*")</f>
        <v>link*</v>
      </c>
    </row>
    <row r="1091" hidden="1">
      <c r="A1091" s="90" t="s">
        <v>102</v>
      </c>
      <c r="B1091" s="23">
        <v>86.0</v>
      </c>
      <c r="C1091" s="24">
        <v>35.0</v>
      </c>
      <c r="D1091" s="25">
        <v>2.8</v>
      </c>
      <c r="E1091" s="147">
        <v>62.0</v>
      </c>
      <c r="F1091" s="155">
        <v>33.0</v>
      </c>
      <c r="G1091" s="30" t="s">
        <v>30</v>
      </c>
      <c r="H1091" s="29" t="s">
        <v>74</v>
      </c>
      <c r="I1091" s="30">
        <v>0.12</v>
      </c>
      <c r="J1091" s="31">
        <v>35.0</v>
      </c>
      <c r="K1091" s="32" t="s">
        <v>26</v>
      </c>
      <c r="L1091" s="30">
        <v>9.0</v>
      </c>
      <c r="M1091" s="93">
        <v>43623.0</v>
      </c>
      <c r="N1091" s="30" t="s">
        <v>46</v>
      </c>
      <c r="O1091" s="34">
        <v>42917.0</v>
      </c>
      <c r="P1091" s="196">
        <v>399.0</v>
      </c>
      <c r="Q1091" s="196">
        <v>210.0</v>
      </c>
      <c r="R1091" s="36" t="str">
        <f>HYPERLINK("https://amzn.to/2MGKrxp","link*")</f>
        <v>link*</v>
      </c>
      <c r="S1091" s="36" t="str">
        <f>HYPERLINK("https://www.bhphotovideo.com/c/product/1348365-REG/samyang_syio35af_e_35mm_f2_8_compact_wide.html/BI/19619/KBID/12129/DFF/d10-v21-t1-x832776/SID/EZ","link*")</f>
        <v>link*</v>
      </c>
      <c r="T1091" s="36" t="str">
        <f>HYPERLINK("https://amzn.to/2rM4SRk","link*")</f>
        <v>link*</v>
      </c>
      <c r="U1091" s="36"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V1091" s="94"/>
    </row>
    <row r="1092">
      <c r="A1092" s="109" t="str">
        <f>HYPERLINK("https://phillipreeve.net/blog/voigtlander-40mm-f1-2-nokton-aspherical-rolling-review/","Voigtlander 40mm F1.2 Nokton")</f>
        <v>Voigtlander 40mm F1.2 Nokton</v>
      </c>
      <c r="B1092" s="39">
        <v>420.0</v>
      </c>
      <c r="C1092" s="40">
        <v>40.0</v>
      </c>
      <c r="D1092" s="197">
        <v>1.2</v>
      </c>
      <c r="E1092" s="144">
        <v>70.0</v>
      </c>
      <c r="F1092" s="145">
        <v>59.0</v>
      </c>
      <c r="G1092" s="46" t="s">
        <v>24</v>
      </c>
      <c r="H1092" s="45" t="s">
        <v>47</v>
      </c>
      <c r="I1092" s="46">
        <v>0.16</v>
      </c>
      <c r="J1092" s="47">
        <v>35.0</v>
      </c>
      <c r="K1092" s="44" t="s">
        <v>26</v>
      </c>
      <c r="L1092" s="46">
        <v>10.0</v>
      </c>
      <c r="M1092" s="74">
        <v>43624.0</v>
      </c>
      <c r="N1092" s="46" t="s">
        <v>28</v>
      </c>
      <c r="O1092" s="49">
        <v>43040.0</v>
      </c>
      <c r="P1092" s="50">
        <v>1099.0</v>
      </c>
      <c r="Q1092" s="50">
        <v>780.0</v>
      </c>
      <c r="R1092" s="51" t="str">
        <f>HYPERLINK("https://amzn.to/2A412DK","link*")</f>
        <v>link*</v>
      </c>
      <c r="S1092" s="51" t="str">
        <f>HYPERLINK("https://www.bhphotovideo.com/c/product/1362557-REG/voigtlander_nokton_40mm_f_1_2_aspherical.html/BI/19619/KBID/12129/DFF/d10-v21-t1-x851241/SID/EZ","link*")</f>
        <v>link*</v>
      </c>
      <c r="T1092" s="146" t="s">
        <v>33</v>
      </c>
      <c r="U1092" s="51"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row>
    <row r="1093" hidden="1">
      <c r="A1093" s="131" t="str">
        <f>HYPERLINK("https://phillipreeve.net/blog/review-sigma-40mm-1-4-art/","Sigma Art 1.4/40")</f>
        <v>Sigma Art 1.4/40</v>
      </c>
      <c r="B1093" s="76">
        <v>1265.0</v>
      </c>
      <c r="C1093" s="77">
        <v>40.0</v>
      </c>
      <c r="D1093" s="78">
        <v>1.4</v>
      </c>
      <c r="E1093" s="144">
        <v>88.0</v>
      </c>
      <c r="F1093" s="151">
        <v>157.0</v>
      </c>
      <c r="G1093" s="81" t="s">
        <v>30</v>
      </c>
      <c r="H1093" s="198" t="s">
        <v>51</v>
      </c>
      <c r="I1093" s="81">
        <v>0.15</v>
      </c>
      <c r="J1093" s="83">
        <v>40.0</v>
      </c>
      <c r="K1093" s="84" t="s">
        <v>26</v>
      </c>
      <c r="L1093" s="81">
        <v>9.0</v>
      </c>
      <c r="M1093" s="123">
        <v>43815.0</v>
      </c>
      <c r="N1093" s="81" t="s">
        <v>41</v>
      </c>
      <c r="O1093" s="86">
        <v>43435.0</v>
      </c>
      <c r="P1093" s="87">
        <v>1399.0</v>
      </c>
      <c r="Q1093" s="87" t="s">
        <v>36</v>
      </c>
      <c r="R1093" s="88" t="str">
        <f>HYPERLINK("https://amzn.to/2SYXFXq","link*")</f>
        <v>link*</v>
      </c>
      <c r="S1093" s="88" t="str">
        <f>HYPERLINK("https://www.bhphotovideo.com/c/product/1436292-REG/sigma_40mm_f_1_4_dg_hsm.html/BI/19619/KBID/12129/DFF/d10-v21-t1-x925196/SID/EZ","link*")</f>
        <v>link*</v>
      </c>
      <c r="T1093" s="89" t="s">
        <v>33</v>
      </c>
      <c r="U1093"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V1093" s="68" t="s">
        <v>42</v>
      </c>
    </row>
    <row r="1094" hidden="1">
      <c r="A1094" s="22" t="str">
        <f>HYPERLINK("https://phillipreeve.net/blog/review-zeiss-batis-2-40-cf/","Zeiss Batis 2/40 CF T*")</f>
        <v>Zeiss Batis 2/40 CF T*</v>
      </c>
      <c r="B1094" s="23">
        <v>361.0</v>
      </c>
      <c r="C1094" s="24">
        <v>40.0</v>
      </c>
      <c r="D1094" s="25">
        <v>2.0</v>
      </c>
      <c r="E1094" s="147">
        <v>91.0</v>
      </c>
      <c r="F1094" s="136">
        <v>93.0</v>
      </c>
      <c r="G1094" s="30" t="s">
        <v>30</v>
      </c>
      <c r="H1094" s="29" t="s">
        <v>53</v>
      </c>
      <c r="I1094" s="199">
        <v>0.3</v>
      </c>
      <c r="J1094" s="31">
        <v>24.0</v>
      </c>
      <c r="K1094" s="32" t="s">
        <v>26</v>
      </c>
      <c r="L1094" s="30">
        <v>9.0</v>
      </c>
      <c r="M1094" s="93">
        <v>43686.0</v>
      </c>
      <c r="N1094" s="30" t="s">
        <v>58</v>
      </c>
      <c r="O1094" s="34">
        <v>43435.0</v>
      </c>
      <c r="P1094" s="35">
        <v>1299.0</v>
      </c>
      <c r="Q1094" s="35">
        <v>950.0</v>
      </c>
      <c r="R1094" s="36" t="str">
        <f>HYPERLINK("https://amzn.to/2LUN0MF","link*")</f>
        <v>link*</v>
      </c>
      <c r="S1094" s="36" t="str">
        <f>HYPERLINK("https://www.bhphotovideo.com/c/product/1436738-REG/zeiss_000000_2239_137_batis_40mm_f_2_cf.html/BI/19619/KBID/12129/DFF/d10-v21-t1-x915694/SID/EZ","link*")</f>
        <v>link*</v>
      </c>
      <c r="T1094" s="70" t="s">
        <v>33</v>
      </c>
      <c r="U1094" s="36"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V1094" s="37" t="s">
        <v>105</v>
      </c>
    </row>
    <row r="1095" hidden="1">
      <c r="A1095" s="38" t="s">
        <v>106</v>
      </c>
      <c r="B1095" s="39">
        <v>162.0</v>
      </c>
      <c r="C1095" s="40">
        <v>45.0</v>
      </c>
      <c r="D1095" s="41">
        <v>1.8</v>
      </c>
      <c r="E1095" s="144">
        <v>62.0</v>
      </c>
      <c r="F1095" s="151">
        <v>56.0</v>
      </c>
      <c r="G1095" s="46" t="s">
        <v>30</v>
      </c>
      <c r="H1095" s="45" t="s">
        <v>74</v>
      </c>
      <c r="I1095" s="46">
        <v>0.12</v>
      </c>
      <c r="J1095" s="47">
        <v>45.0</v>
      </c>
      <c r="K1095" s="44" t="s">
        <v>26</v>
      </c>
      <c r="L1095" s="46">
        <v>9.0</v>
      </c>
      <c r="M1095" s="74">
        <v>43623.0</v>
      </c>
      <c r="N1095" s="46" t="s">
        <v>46</v>
      </c>
      <c r="O1095" s="49">
        <v>43647.0</v>
      </c>
      <c r="P1095" s="200">
        <v>399.0</v>
      </c>
      <c r="Q1095" s="200">
        <v>300.0</v>
      </c>
      <c r="R1095" s="51" t="str">
        <f>HYPERLINK("https://amzn.to/2YC6MST","link*")</f>
        <v>link*</v>
      </c>
      <c r="S1095" s="51" t="str">
        <f>HYPERLINK("https://www.bhphotovideo.com/c/product/1478738-REG/samyang_af_45mm_f_1_8_fe.html/BI/19619/KBID/12129/DFF/d10-v21-t1-x964329/SID/EZ","link*")</f>
        <v>link*</v>
      </c>
      <c r="T1095" s="146" t="s">
        <v>33</v>
      </c>
      <c r="U1095" s="51"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row>
    <row r="1096" hidden="1">
      <c r="A1096" s="90" t="s">
        <v>107</v>
      </c>
      <c r="B1096" s="23">
        <v>215.0</v>
      </c>
      <c r="C1096" s="24">
        <v>45.0</v>
      </c>
      <c r="D1096" s="25">
        <v>2.8</v>
      </c>
      <c r="E1096" s="147">
        <v>64.0</v>
      </c>
      <c r="F1096" s="155">
        <v>46.0</v>
      </c>
      <c r="G1096" s="30" t="s">
        <v>30</v>
      </c>
      <c r="H1096" s="29" t="s">
        <v>90</v>
      </c>
      <c r="I1096" s="201">
        <v>0.25</v>
      </c>
      <c r="J1096" s="31">
        <v>24.0</v>
      </c>
      <c r="K1096" s="32" t="s">
        <v>26</v>
      </c>
      <c r="L1096" s="30">
        <v>7.0</v>
      </c>
      <c r="M1096" s="93">
        <v>43654.0</v>
      </c>
      <c r="N1096" s="30" t="s">
        <v>41</v>
      </c>
      <c r="O1096" s="34">
        <v>43647.0</v>
      </c>
      <c r="P1096" s="35">
        <v>549.0</v>
      </c>
      <c r="Q1096" s="35" t="s">
        <v>36</v>
      </c>
      <c r="R1096" s="36" t="str">
        <f>HYPERLINK("https://amzn.to/2SYEvAX","link*")</f>
        <v>link*</v>
      </c>
      <c r="S1096" s="36" t="str">
        <f>HYPERLINK("https://www.bhphotovideo.com/c/product/1492966-REG/sigma_360965_45mm_f_2_8_dg_dn.html/BI/19619/KBID/12129/DFF/d10-v21-t1-x976020/SID/EZ","link*")</f>
        <v>link*</v>
      </c>
      <c r="T1096" s="70" t="s">
        <v>33</v>
      </c>
      <c r="U1096" s="36"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V1096" s="37" t="s">
        <v>108</v>
      </c>
    </row>
    <row r="1097">
      <c r="A1097" s="109" t="str">
        <f>HYPERLINK("https://phillipreeve.net/blog/review-voigtlander-50mm-1-2-nokton-e/","Voigtlander 50mm F1.2 Nokton")</f>
        <v>Voigtlander 50mm F1.2 Nokton</v>
      </c>
      <c r="B1097" s="39">
        <v>440.0</v>
      </c>
      <c r="C1097" s="40">
        <v>50.0</v>
      </c>
      <c r="D1097" s="197">
        <v>1.2</v>
      </c>
      <c r="E1097" s="144">
        <v>70.0</v>
      </c>
      <c r="F1097" s="145">
        <v>58.0</v>
      </c>
      <c r="G1097" s="46" t="s">
        <v>24</v>
      </c>
      <c r="H1097" s="45" t="s">
        <v>47</v>
      </c>
      <c r="I1097" s="46">
        <v>0.15</v>
      </c>
      <c r="J1097" s="47">
        <v>45.0</v>
      </c>
      <c r="K1097" s="44" t="s">
        <v>26</v>
      </c>
      <c r="L1097" s="46">
        <v>12.0</v>
      </c>
      <c r="M1097" s="74">
        <v>43624.0</v>
      </c>
      <c r="N1097" s="46" t="s">
        <v>28</v>
      </c>
      <c r="O1097" s="49">
        <v>43556.0</v>
      </c>
      <c r="P1097" s="50">
        <v>1099.0</v>
      </c>
      <c r="Q1097" s="50" t="s">
        <v>36</v>
      </c>
      <c r="R1097" s="51" t="str">
        <f>HYPERLINK("https://amzn.to/2OAfE7N","link*")</f>
        <v>link*</v>
      </c>
      <c r="S1097" s="51" t="str">
        <f>HYPERLINK("https://www.bhphotovideo.com/c/product/1433349-REG/voigtlander_ba348a_nokton_50mm_f_1_2_aspherical.html/BI/19619/KBID/12129/DFF/d10-v21-t1-x915623/SID/EZ","link*")</f>
        <v>link*</v>
      </c>
      <c r="T1097" s="146" t="s">
        <v>33</v>
      </c>
      <c r="U1097" s="51" t="str">
        <f>HYPERLINK("http://rover.ebay.com/rover/1/711-53200-19255-0/1?icep_ff3=9&amp;pub=5575076376&amp;toolid=10001&amp;campid=5338164340&amp;customid=&amp;icep_uq=voigtlander+sony+50+1.2&amp;icep_sellerId=&amp;icep_ex_kw=&amp;icep_sortBy=12&amp;icep_catId=3323&amp;icep_minPrice=&amp;icep_maxPrice=&amp;ipn=psmain&amp;icep_ve"&amp;"ctorid=229466&amp;kwid=902099&amp;mtid=824&amp;kw=lg","link*")</f>
        <v>link*</v>
      </c>
    </row>
    <row r="1098" hidden="1">
      <c r="A1098" s="75" t="s">
        <v>109</v>
      </c>
      <c r="B1098" s="76">
        <v>778.0</v>
      </c>
      <c r="C1098" s="77">
        <v>50.0</v>
      </c>
      <c r="D1098" s="78">
        <v>1.4</v>
      </c>
      <c r="E1098" s="144">
        <v>84.0</v>
      </c>
      <c r="F1098" s="145">
        <v>108.0</v>
      </c>
      <c r="G1098" s="81" t="s">
        <v>30</v>
      </c>
      <c r="H1098" s="82" t="s">
        <v>48</v>
      </c>
      <c r="I1098" s="81">
        <v>0.15</v>
      </c>
      <c r="J1098" s="83">
        <v>45.0</v>
      </c>
      <c r="K1098" s="84" t="s">
        <v>26</v>
      </c>
      <c r="L1098" s="81">
        <v>11.0</v>
      </c>
      <c r="M1098" s="123">
        <v>43720.0</v>
      </c>
      <c r="N1098" s="81" t="s">
        <v>32</v>
      </c>
      <c r="O1098" s="86">
        <v>42583.0</v>
      </c>
      <c r="P1098" s="87">
        <v>1499.0</v>
      </c>
      <c r="Q1098" s="87">
        <v>1000.0</v>
      </c>
      <c r="R1098" s="88" t="str">
        <f>HYPERLINK("https://amzn.to/2K88EL7","link*")</f>
        <v>link*</v>
      </c>
      <c r="S1098" s="88" t="str">
        <f>HYPERLINK("https://www.bhphotovideo.com/c/product/1264965-REG/sony_sel50f14z_planar_t_fe_50mm.html/BI/19619/KBID/12129/DFF/d10-v21-t1-x746806/SID/EZ","link*")</f>
        <v>link*</v>
      </c>
      <c r="T1098" s="89" t="s">
        <v>33</v>
      </c>
      <c r="U1098"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row>
    <row r="1099" hidden="1">
      <c r="A1099" s="75" t="s">
        <v>110</v>
      </c>
      <c r="B1099" s="76">
        <v>910.0</v>
      </c>
      <c r="C1099" s="77">
        <v>50.0</v>
      </c>
      <c r="D1099" s="78">
        <v>1.4</v>
      </c>
      <c r="E1099" s="144">
        <v>85.0</v>
      </c>
      <c r="F1099" s="150">
        <v>125.9</v>
      </c>
      <c r="G1099" s="81" t="s">
        <v>30</v>
      </c>
      <c r="H1099" s="82" t="s">
        <v>56</v>
      </c>
      <c r="I1099" s="81">
        <v>0.18</v>
      </c>
      <c r="J1099" s="83">
        <v>40.0</v>
      </c>
      <c r="K1099" s="84" t="s">
        <v>26</v>
      </c>
      <c r="L1099" s="81">
        <v>9.0</v>
      </c>
      <c r="M1099" s="123">
        <v>43690.0</v>
      </c>
      <c r="N1099" s="81" t="s">
        <v>41</v>
      </c>
      <c r="O1099" s="86">
        <v>43221.0</v>
      </c>
      <c r="P1099" s="87">
        <v>949.0</v>
      </c>
      <c r="Q1099" s="87">
        <v>650.0</v>
      </c>
      <c r="R1099" s="88" t="str">
        <f>HYPERLINK("https://amzn.to/2K4JmyT","link*")</f>
        <v>link*</v>
      </c>
      <c r="S1099" s="88" t="str">
        <f>HYPERLINK("https://www.bhphotovideo.com/c/product/1393493-REG/sigma_50mm_f_1_4_dg_hsm.html/BI/19619/KBID/12129/kw/SI5014SO/DFF/d10-v2-t1-xSI5014SO","link*")</f>
        <v>link*</v>
      </c>
      <c r="T1099" s="88" t="str">
        <f>HYPERLINK("https://amzn.to/2Wpdoz5","link*")</f>
        <v>link*</v>
      </c>
      <c r="U1099" s="88" t="str">
        <f>HYPERLINK("http://rover.ebay.com/rover/1/711-53200-19255-0/1?icep_ff3=9&amp;pub=5575076376&amp;toolid=10001&amp;campid=5338164340&amp;customid=&amp;icep_uq=sigma+sony+art+50+1.4&amp;icep_sellerId=&amp;icep_ex_kw=&amp;icep_sortBy=12&amp;icep_catId=3323&amp;icep_minPrice=&amp;icep_maxPrice=&amp;ipn=psmain&amp;icep_vect"&amp;"orid=229466&amp;kwid=902099&amp;mtid=824&amp;kw=lg","link*")</f>
        <v>link*</v>
      </c>
      <c r="V1099" s="68" t="s">
        <v>42</v>
      </c>
    </row>
    <row r="1100" hidden="1">
      <c r="A1100" s="75" t="s">
        <v>111</v>
      </c>
      <c r="B1100" s="76">
        <v>585.0</v>
      </c>
      <c r="C1100" s="77">
        <v>50.0</v>
      </c>
      <c r="D1100" s="78">
        <v>1.4</v>
      </c>
      <c r="E1100" s="144">
        <v>74.0</v>
      </c>
      <c r="F1100" s="145">
        <v>98.0</v>
      </c>
      <c r="G1100" s="81" t="s">
        <v>30</v>
      </c>
      <c r="H1100" s="82" t="s">
        <v>53</v>
      </c>
      <c r="I1100" s="81">
        <v>0.15</v>
      </c>
      <c r="J1100" s="83">
        <v>45.0</v>
      </c>
      <c r="K1100" s="84" t="s">
        <v>26</v>
      </c>
      <c r="L1100" s="81">
        <v>9.0</v>
      </c>
      <c r="M1100" s="123">
        <v>43686.0</v>
      </c>
      <c r="N1100" s="81" t="s">
        <v>46</v>
      </c>
      <c r="O1100" s="86">
        <v>42583.0</v>
      </c>
      <c r="P1100" s="87">
        <v>699.0</v>
      </c>
      <c r="Q1100" s="87">
        <v>365.0</v>
      </c>
      <c r="R1100" s="88" t="str">
        <f>HYPERLINK("https://amzn.to/2SY1Pyr","link*")</f>
        <v>link*</v>
      </c>
      <c r="S1100" s="88" t="str">
        <f>HYPERLINK("https://www.bhphotovideo.com/c/product/1352862-REG/samyang_syio50af_e_50mm_f_1_4_auto_focus.html/BI/19619/KBID/12129/DFF/d10-v21-t1-x837927/SID/EZ","link*")</f>
        <v>link*</v>
      </c>
      <c r="T1100" s="89" t="s">
        <v>33</v>
      </c>
      <c r="U1100"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row>
    <row r="1101" hidden="1">
      <c r="A1101" s="131" t="str">
        <f>HYPERLINK("https://phillipreeve.net/blog/review-sony-fe-1-850/","Sony 50mm F1.8")</f>
        <v>Sony 50mm F1.8</v>
      </c>
      <c r="B1101" s="76">
        <v>186.0</v>
      </c>
      <c r="C1101" s="77">
        <v>50.0</v>
      </c>
      <c r="D1101" s="78">
        <v>1.8</v>
      </c>
      <c r="E1101" s="144">
        <v>69.0</v>
      </c>
      <c r="F1101" s="145">
        <v>60.0</v>
      </c>
      <c r="G1101" s="81" t="s">
        <v>30</v>
      </c>
      <c r="H1101" s="82" t="s">
        <v>74</v>
      </c>
      <c r="I1101" s="81">
        <v>0.14</v>
      </c>
      <c r="J1101" s="83">
        <v>45.0</v>
      </c>
      <c r="K1101" s="84" t="s">
        <v>26</v>
      </c>
      <c r="L1101" s="81">
        <v>7.0</v>
      </c>
      <c r="M1101" s="123">
        <v>43591.0</v>
      </c>
      <c r="N1101" s="81" t="s">
        <v>32</v>
      </c>
      <c r="O1101" s="86">
        <v>42430.0</v>
      </c>
      <c r="P1101" s="153">
        <v>249.0</v>
      </c>
      <c r="Q1101" s="153">
        <v>165.0</v>
      </c>
      <c r="R1101" s="88" t="str">
        <f>HYPERLINK("http://amzn.to/2v2F5Se","link*")</f>
        <v>link*</v>
      </c>
      <c r="S1101" s="88" t="str">
        <f>HYPERLINK("https://www.bhphotovideo.com/c/product/1242613-REG/sony_sel50f18f_fe_50mm_f_1_8_lens.html/BI/19619/KBID/12129/kw/SO5018F/DFF/d10-v2-t1-xSO5018F","link*")</f>
        <v>link*</v>
      </c>
      <c r="T1101" s="88" t="str">
        <f>HYPERLINK("http://amzn.to/2wyHB25","link*")</f>
        <v>link*</v>
      </c>
      <c r="U1101"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row>
    <row r="1102">
      <c r="A1102" s="131" t="str">
        <f>HYPERLINK("https://docs.google.com/document/d/115s6JHR9S4pBUesKJEkgWeoP8rcGbT31p6fQSg5SFQM/edit?usp=sharing","Voigtlander 50mm F2 APO-Lanthar")</f>
        <v>Voigtlander 50mm F2 APO-Lanthar</v>
      </c>
      <c r="B1102" s="76">
        <v>364.0</v>
      </c>
      <c r="C1102" s="77">
        <v>50.0</v>
      </c>
      <c r="D1102" s="78">
        <v>2.0</v>
      </c>
      <c r="E1102" s="138">
        <v>63.0</v>
      </c>
      <c r="F1102" s="150">
        <v>61.0</v>
      </c>
      <c r="G1102" s="81" t="s">
        <v>24</v>
      </c>
      <c r="H1102" s="82" t="s">
        <v>74</v>
      </c>
      <c r="I1102" s="81">
        <v>0.156</v>
      </c>
      <c r="J1102" s="83">
        <v>45.0</v>
      </c>
      <c r="K1102" s="84" t="s">
        <v>26</v>
      </c>
      <c r="L1102" s="81">
        <v>12.0</v>
      </c>
      <c r="M1102" s="123">
        <v>43687.0</v>
      </c>
      <c r="N1102" s="81" t="s">
        <v>28</v>
      </c>
      <c r="O1102" s="86">
        <v>43811.0</v>
      </c>
      <c r="P1102" s="87"/>
      <c r="Q1102" s="87" t="s">
        <v>36</v>
      </c>
      <c r="R1102" s="88" t="str">
        <f>HYPERLINK("https://amzn.to/2uCNQ9n","link*")</f>
        <v>link*</v>
      </c>
      <c r="S1102" s="88" t="str">
        <f>HYPERLINK("https://www.bhphotovideo.com/c/product/1526146-REG/voigtlander_apo_lanthar50_apo_lanthar_50mm_f_2_aspherical.html/BI/19619/KBID/12129/DFF/d10-v21-t1-x1008376/SID/EZ","link*")</f>
        <v>link*</v>
      </c>
      <c r="T1102" s="130" t="s">
        <v>33</v>
      </c>
      <c r="U1102" s="130"/>
      <c r="V1102" s="68"/>
    </row>
    <row r="1103">
      <c r="A1103" s="131" t="str">
        <f>HYPERLINK("https://phillipreeve.net/blog/review-zeiss-loxia-planar-250-t/","Zeiss Loxia 50mm F2")</f>
        <v>Zeiss Loxia 50mm F2</v>
      </c>
      <c r="B1103" s="76">
        <v>320.0</v>
      </c>
      <c r="C1103" s="77">
        <v>50.0</v>
      </c>
      <c r="D1103" s="78">
        <v>2.0</v>
      </c>
      <c r="E1103" s="144">
        <v>62.0</v>
      </c>
      <c r="F1103" s="145">
        <v>60.0</v>
      </c>
      <c r="G1103" s="81" t="s">
        <v>24</v>
      </c>
      <c r="H1103" s="82" t="s">
        <v>71</v>
      </c>
      <c r="I1103" s="81">
        <v>0.15</v>
      </c>
      <c r="J1103" s="83">
        <v>45.0</v>
      </c>
      <c r="K1103" s="84" t="s">
        <v>26</v>
      </c>
      <c r="L1103" s="81">
        <v>10.0</v>
      </c>
      <c r="M1103" s="123">
        <v>43561.0</v>
      </c>
      <c r="N1103" s="81" t="s">
        <v>58</v>
      </c>
      <c r="O1103" s="86">
        <v>41913.0</v>
      </c>
      <c r="P1103" s="87">
        <v>949.0</v>
      </c>
      <c r="Q1103" s="87">
        <v>500.0</v>
      </c>
      <c r="R1103" s="88" t="str">
        <f>HYPERLINK("http://amzn.to/2faVsIu","link*")</f>
        <v>link*</v>
      </c>
      <c r="S1103" s="88" t="str">
        <f>HYPERLINK("https://www.bhphotovideo.com/c/product/1080387-REG/zeiss_2103_748_loxia_50mm_f_2_planar.html/BI/19619/KBID/12129/kw/ZE502LFE/DFF/d10-v2-t1-xZE502LFE","link*")</f>
        <v>link*</v>
      </c>
      <c r="T1103" s="88" t="str">
        <f>HYPERLINK("http://amzn.to/2wyJAU4","link*")</f>
        <v>link*</v>
      </c>
      <c r="U1103"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V1103" s="68" t="s">
        <v>101</v>
      </c>
    </row>
    <row r="1104" hidden="1">
      <c r="A1104" s="22" t="str">
        <f>HYPERLINK("https://phillipreeve.net/blog/rolling-review-sony-fe-2-850-macro/","Sony 50mm F/2.8 Macro")</f>
        <v>Sony 50mm F/2.8 Macro</v>
      </c>
      <c r="B1104" s="23">
        <v>236.0</v>
      </c>
      <c r="C1104" s="24">
        <v>50.0</v>
      </c>
      <c r="D1104" s="25">
        <v>2.8</v>
      </c>
      <c r="E1104" s="147">
        <v>72.0</v>
      </c>
      <c r="F1104" s="155">
        <v>71.0</v>
      </c>
      <c r="G1104" s="30" t="s">
        <v>30</v>
      </c>
      <c r="H1104" s="29" t="s">
        <v>90</v>
      </c>
      <c r="I1104" s="202">
        <v>1.0</v>
      </c>
      <c r="J1104" s="31">
        <v>16.0</v>
      </c>
      <c r="K1104" s="32" t="s">
        <v>26</v>
      </c>
      <c r="L1104" s="30">
        <v>7.0</v>
      </c>
      <c r="M1104" s="93">
        <v>43654.0</v>
      </c>
      <c r="N1104" s="30" t="s">
        <v>32</v>
      </c>
      <c r="O1104" s="34">
        <v>42614.0</v>
      </c>
      <c r="P1104" s="203">
        <v>499.0</v>
      </c>
      <c r="Q1104" s="203">
        <v>350.0</v>
      </c>
      <c r="R1104" s="36" t="str">
        <f>HYPERLINK("http://amzn.to/2v2g0qz","link*")</f>
        <v>link*</v>
      </c>
      <c r="S1104" s="36" t="str">
        <f>HYPERLINK("https://www.bhphotovideo.com/c/product/1277527-REG/sony_sel50m28_fe_50mm_f_2_8_macro.html/BI/19619/KBID/12129/kw/SO5028FF/DFF/d10-v2-t1-xSO5028FF","link*")</f>
        <v>link*</v>
      </c>
      <c r="T1104" s="36" t="str">
        <f>HYPERLINK("http://amzn.to/2vbknRN","link*")</f>
        <v>link*</v>
      </c>
      <c r="U1104" s="36"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V1104" s="94"/>
    </row>
    <row r="1105" hidden="1">
      <c r="A1105" s="95" t="str">
        <f>HYPERLINK("https://phillipreeve.net/blog/sony-fe-1-855-za-sonnar-t-review/","Sony ZA 55mm F1.8 Sonnar")</f>
        <v>Sony ZA 55mm F1.8 Sonnar</v>
      </c>
      <c r="B1105" s="96">
        <v>281.0</v>
      </c>
      <c r="C1105" s="97">
        <v>55.0</v>
      </c>
      <c r="D1105" s="98">
        <v>1.8</v>
      </c>
      <c r="E1105" s="147">
        <v>64.0</v>
      </c>
      <c r="F1105" s="155">
        <v>71.0</v>
      </c>
      <c r="G1105" s="103" t="s">
        <v>30</v>
      </c>
      <c r="H1105" s="102" t="s">
        <v>74</v>
      </c>
      <c r="I1105" s="103">
        <v>0.14</v>
      </c>
      <c r="J1105" s="104">
        <v>50.0</v>
      </c>
      <c r="K1105" s="101" t="s">
        <v>26</v>
      </c>
      <c r="L1105" s="103">
        <v>9.0</v>
      </c>
      <c r="M1105" s="204">
        <v>43592.0</v>
      </c>
      <c r="N1105" s="103" t="s">
        <v>32</v>
      </c>
      <c r="O1105" s="106">
        <v>41548.0</v>
      </c>
      <c r="P1105" s="107">
        <v>999.0</v>
      </c>
      <c r="Q1105" s="107">
        <v>625.0</v>
      </c>
      <c r="R1105" s="108" t="str">
        <f>HYPERLINK("https://amzn.to/2ywdgEk","link*")</f>
        <v>link*</v>
      </c>
      <c r="S1105" s="108" t="str">
        <f>HYPERLINK("https://www.bhphotovideo.com/c/product/1008124-REG/sony_sel55f18z_sonnar_t_fe_55mm.html/BI/19619/KBID/12129/DFF/d10-v21-t1-x466841/SID/EZ","link*")</f>
        <v>link*</v>
      </c>
      <c r="T1105" s="205" t="s">
        <v>33</v>
      </c>
      <c r="U1105" s="10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V1105" s="94"/>
    </row>
    <row r="1106">
      <c r="A1106" s="95" t="str">
        <f>HYPERLINK("https://phillipreeve.net/blog/voigtlander-65-f2-apo-macro-review/","Voigtlander Macro 65mm F2 Apo Lanthar")</f>
        <v>Voigtlander Macro 65mm F2 Apo Lanthar</v>
      </c>
      <c r="B1106" s="96">
        <v>635.0</v>
      </c>
      <c r="C1106" s="97">
        <v>65.0</v>
      </c>
      <c r="D1106" s="98">
        <v>2.0</v>
      </c>
      <c r="E1106" s="147">
        <v>78.0</v>
      </c>
      <c r="F1106" s="155">
        <v>91.0</v>
      </c>
      <c r="G1106" s="103" t="s">
        <v>24</v>
      </c>
      <c r="H1106" s="102" t="s">
        <v>53</v>
      </c>
      <c r="I1106" s="206">
        <v>0.5</v>
      </c>
      <c r="J1106" s="104">
        <v>31.0</v>
      </c>
      <c r="K1106" s="101" t="s">
        <v>26</v>
      </c>
      <c r="L1106" s="103">
        <v>10.0</v>
      </c>
      <c r="M1106" s="204">
        <v>43687.0</v>
      </c>
      <c r="N1106" s="103" t="s">
        <v>28</v>
      </c>
      <c r="O1106" s="207">
        <v>42917.0</v>
      </c>
      <c r="P1106" s="107">
        <v>999.0</v>
      </c>
      <c r="Q1106" s="107">
        <v>770.0</v>
      </c>
      <c r="R1106" s="108" t="str">
        <f>HYPERLINK("https://amzn.to/2LU48SI","link*")</f>
        <v>link*</v>
      </c>
      <c r="S1106" s="108" t="str">
        <f>HYPERLINK("https://www.bhphotovideo.com/c/product/1350400-REG/voigtlander_macro_apo_lanthar_65mm_f2.html/BI/19619/KBID/12129/DFF/d10-v21-t1-x835677/SID/EZ","link*")</f>
        <v>link*</v>
      </c>
      <c r="T1106" s="205" t="s">
        <v>33</v>
      </c>
      <c r="U1106" s="10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V1106" s="94"/>
    </row>
    <row r="1107" hidden="1">
      <c r="A1107" s="38" t="s">
        <v>112</v>
      </c>
      <c r="B1107" s="39">
        <v>562.0</v>
      </c>
      <c r="C1107" s="40">
        <v>70.0</v>
      </c>
      <c r="D1107" s="41">
        <v>2.8</v>
      </c>
      <c r="E1107" s="144">
        <v>71.0</v>
      </c>
      <c r="F1107" s="150">
        <v>132.0</v>
      </c>
      <c r="G1107" s="46" t="s">
        <v>30</v>
      </c>
      <c r="H1107" s="45" t="s">
        <v>74</v>
      </c>
      <c r="I1107" s="208">
        <v>1.0</v>
      </c>
      <c r="J1107" s="47">
        <v>26.0</v>
      </c>
      <c r="K1107" s="44" t="s">
        <v>26</v>
      </c>
      <c r="L1107" s="46">
        <v>9.0</v>
      </c>
      <c r="M1107" s="74">
        <v>43751.0</v>
      </c>
      <c r="N1107" s="46" t="s">
        <v>41</v>
      </c>
      <c r="O1107" s="49">
        <v>43221.0</v>
      </c>
      <c r="P1107" s="209">
        <v>569.0</v>
      </c>
      <c r="Q1107" s="209">
        <v>360.0</v>
      </c>
      <c r="R1107" s="51" t="str">
        <f>HYPERLINK("https://amzn.to/2YGO9te","link*")</f>
        <v>link*</v>
      </c>
      <c r="S1107" s="51" t="str">
        <f>HYPERLINK("https://www.bhphotovideo.com/c/product/1393483-REG/sigma_70mm_f_2_8_dg_macro.html/BI/19619/KBID/12129/DFF/d10-v21-t1-x895111/SID/EZ","link*")</f>
        <v>link*</v>
      </c>
      <c r="T1107" s="146" t="s">
        <v>33</v>
      </c>
      <c r="U1107" s="51"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V1107" s="68" t="s">
        <v>42</v>
      </c>
    </row>
    <row r="1108" hidden="1">
      <c r="A1108" s="75" t="s">
        <v>113</v>
      </c>
      <c r="B1108" s="76">
        <v>1480.0</v>
      </c>
      <c r="C1108" s="77">
        <v>70.0</v>
      </c>
      <c r="D1108" s="78">
        <v>2.8</v>
      </c>
      <c r="E1108" s="144">
        <v>88.0</v>
      </c>
      <c r="F1108" s="145">
        <v>200.0</v>
      </c>
      <c r="G1108" s="81" t="s">
        <v>30</v>
      </c>
      <c r="H1108" s="82" t="s">
        <v>56</v>
      </c>
      <c r="I1108" s="185">
        <v>0.25</v>
      </c>
      <c r="J1108" s="83">
        <v>96.0</v>
      </c>
      <c r="K1108" s="154" t="s">
        <v>49</v>
      </c>
      <c r="L1108" s="81">
        <v>11.0</v>
      </c>
      <c r="M1108" s="85" t="s">
        <v>114</v>
      </c>
      <c r="N1108" s="81" t="s">
        <v>32</v>
      </c>
      <c r="O1108" s="86">
        <v>42401.0</v>
      </c>
      <c r="P1108" s="87">
        <v>2599.0</v>
      </c>
      <c r="Q1108" s="87">
        <v>2150.0</v>
      </c>
      <c r="R1108" s="88" t="str">
        <f>HYPERLINK("https://amzn.to/2KbaJGn","link*")</f>
        <v>link*</v>
      </c>
      <c r="S1108" s="88" t="str">
        <f>HYPERLINK("https://www.bhphotovideo.com/c/product/1222776-REG/sony_sel70200gm_fe_70_200mm_f_2_8_gm.html/BI/19619/KBID/12129/DFF/d10-v21-t1-x746807/SID/EZ","link*")</f>
        <v>link*</v>
      </c>
      <c r="T1108" s="89" t="s">
        <v>33</v>
      </c>
      <c r="U1108"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row>
    <row r="1109" hidden="1">
      <c r="A1109" s="75" t="s">
        <v>115</v>
      </c>
      <c r="B1109" s="76">
        <v>815.0</v>
      </c>
      <c r="C1109" s="77">
        <v>70.0</v>
      </c>
      <c r="D1109" s="78">
        <v>2.8</v>
      </c>
      <c r="E1109" s="387"/>
      <c r="F1109" s="150">
        <v>149.0</v>
      </c>
      <c r="G1109" s="81" t="s">
        <v>30</v>
      </c>
      <c r="H1109" s="82" t="s">
        <v>53</v>
      </c>
      <c r="I1109" s="185"/>
      <c r="J1109" s="83">
        <v>85.0</v>
      </c>
      <c r="K1109" s="81"/>
      <c r="L1109" s="81"/>
      <c r="M1109" s="85"/>
      <c r="N1109" s="81" t="s">
        <v>55</v>
      </c>
      <c r="O1109" s="86">
        <v>43952.0</v>
      </c>
      <c r="P1109" s="87"/>
      <c r="Q1109" s="87" t="s">
        <v>36</v>
      </c>
      <c r="R1109" s="130"/>
      <c r="S1109" s="130"/>
      <c r="T1109" s="89"/>
      <c r="U1109" s="130"/>
    </row>
    <row r="1110" hidden="1">
      <c r="A1110" s="75" t="s">
        <v>117</v>
      </c>
      <c r="B1110" s="76">
        <v>854.0</v>
      </c>
      <c r="C1110" s="77">
        <v>70.0</v>
      </c>
      <c r="D1110" s="78" t="s">
        <v>118</v>
      </c>
      <c r="E1110" s="144">
        <v>84.0</v>
      </c>
      <c r="F1110" s="145">
        <v>144.0</v>
      </c>
      <c r="G1110" s="81" t="s">
        <v>30</v>
      </c>
      <c r="H1110" s="82" t="s">
        <v>48</v>
      </c>
      <c r="I1110" s="140">
        <v>0.31</v>
      </c>
      <c r="J1110" s="83">
        <v>90.0</v>
      </c>
      <c r="K1110" s="154" t="s">
        <v>49</v>
      </c>
      <c r="L1110" s="81">
        <v>9.0</v>
      </c>
      <c r="M1110" s="85" t="s">
        <v>52</v>
      </c>
      <c r="N1110" s="81" t="s">
        <v>32</v>
      </c>
      <c r="O1110" s="86">
        <v>42430.0</v>
      </c>
      <c r="P1110" s="87">
        <v>1198.0</v>
      </c>
      <c r="Q1110" s="87">
        <v>900.0</v>
      </c>
      <c r="R1110" s="88" t="str">
        <f>HYPERLINK("https://amzn.to/2SVN1Ao","link*")</f>
        <v>link*</v>
      </c>
      <c r="S1110" s="88" t="str">
        <f>HYPERLINK("https://www.bhphotovideo.com/c/product/1242614-REG/sony_sel70300g_fe_70_300mm_f_4_5_5_6_g.html/BI/19619/KBID/12129/DFF/d10-v21-t1-x722726/SID/EZ","link*")</f>
        <v>link*</v>
      </c>
      <c r="T1110" s="89" t="s">
        <v>33</v>
      </c>
      <c r="U1110"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row>
    <row r="1111" hidden="1">
      <c r="A1111" s="22" t="str">
        <f>HYPERLINK("https://phillipreeve.net/blog/review-sony-fe-470-200-g-oss/https://phillipreeve.net/blog/review-sony-fe-470-200-g-oss/","Sony G 4/70-200 OSS")</f>
        <v>Sony G 4/70-200 OSS</v>
      </c>
      <c r="B1111" s="23">
        <v>840.0</v>
      </c>
      <c r="C1111" s="24">
        <v>70.0</v>
      </c>
      <c r="D1111" s="25">
        <v>4.0</v>
      </c>
      <c r="E1111" s="147">
        <v>80.0</v>
      </c>
      <c r="F1111" s="155">
        <v>175.0</v>
      </c>
      <c r="G1111" s="30" t="s">
        <v>30</v>
      </c>
      <c r="H1111" s="29" t="s">
        <v>48</v>
      </c>
      <c r="I1111" s="30">
        <v>0.18</v>
      </c>
      <c r="J1111" s="31">
        <v>100.0</v>
      </c>
      <c r="K1111" s="156" t="s">
        <v>49</v>
      </c>
      <c r="L1111" s="30">
        <v>9.0</v>
      </c>
      <c r="M1111" s="228" t="s">
        <v>121</v>
      </c>
      <c r="N1111" s="30" t="s">
        <v>32</v>
      </c>
      <c r="O1111" s="34">
        <v>41548.0</v>
      </c>
      <c r="P1111" s="35">
        <v>1498.0</v>
      </c>
      <c r="Q1111" s="35">
        <v>980.0</v>
      </c>
      <c r="R1111" s="36" t="str">
        <f>HYPERLINK("http://amzn.to/2fbeX3x","link*")</f>
        <v>link*</v>
      </c>
      <c r="S1111" s="36" t="str">
        <f>HYPERLINK("https://www.bhphotovideo.com/c/product/1380865-REG/sony_fe_70_200mm_f_4_g.html/BI/19619/KBID/12129/kw/SO702004F/DFF/d10-v2-t1-xSO702004F","link*")</f>
        <v>link*</v>
      </c>
      <c r="T1111" s="36" t="str">
        <f>HYPERLINK("http://amzn.to/2vbFQKj","link*")</f>
        <v>link*</v>
      </c>
      <c r="U1111" s="36"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V1111" s="94"/>
    </row>
    <row r="1112" hidden="1">
      <c r="A1112" s="109" t="str">
        <f>HYPERLINK("https://phillipreeve.net/blog/review-sony-fe-85mm-1-4-gm/","Sony GM 1.4/85")</f>
        <v>Sony GM 1.4/85</v>
      </c>
      <c r="B1112" s="39">
        <v>854.0</v>
      </c>
      <c r="C1112" s="40">
        <v>85.0</v>
      </c>
      <c r="D1112" s="41">
        <v>1.4</v>
      </c>
      <c r="E1112" s="144">
        <v>84.0</v>
      </c>
      <c r="F1112" s="145">
        <v>108.0</v>
      </c>
      <c r="G1112" s="46" t="s">
        <v>30</v>
      </c>
      <c r="H1112" s="45" t="s">
        <v>56</v>
      </c>
      <c r="I1112" s="46">
        <v>0.12</v>
      </c>
      <c r="J1112" s="47">
        <v>80.0</v>
      </c>
      <c r="K1112" s="44" t="s">
        <v>26</v>
      </c>
      <c r="L1112" s="46">
        <v>11.0</v>
      </c>
      <c r="M1112" s="74">
        <v>43688.0</v>
      </c>
      <c r="N1112" s="46" t="s">
        <v>32</v>
      </c>
      <c r="O1112" s="49">
        <v>42401.0</v>
      </c>
      <c r="P1112" s="50">
        <v>1799.0</v>
      </c>
      <c r="Q1112" s="50">
        <v>1150.0</v>
      </c>
      <c r="R1112" s="51" t="str">
        <f>HYPERLINK("https://amzn.to/2SZeKAh","link*")</f>
        <v>link*</v>
      </c>
      <c r="S1112" s="51" t="str">
        <f>HYPERLINK("https://www.bhphotovideo.com/c/product/1222775-REG/sony_sel85f14gm_fe_85mm_f_1_4_gm.html/BI/19619/KBID/12129/DFF/d10-v21-t1-x707644/SID/EZ","link*")</f>
        <v>link*</v>
      </c>
      <c r="T1112" s="146" t="s">
        <v>33</v>
      </c>
      <c r="U1112" s="51"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row>
    <row r="1113" hidden="1">
      <c r="A1113" s="75" t="s">
        <v>123</v>
      </c>
      <c r="B1113" s="76">
        <v>1245.0</v>
      </c>
      <c r="C1113" s="77">
        <v>85.0</v>
      </c>
      <c r="D1113" s="78">
        <v>1.4</v>
      </c>
      <c r="E1113" s="144">
        <v>95.0</v>
      </c>
      <c r="F1113" s="145">
        <v>152.0</v>
      </c>
      <c r="G1113" s="81" t="s">
        <v>30</v>
      </c>
      <c r="H1113" s="232" t="s">
        <v>124</v>
      </c>
      <c r="I1113" s="81">
        <v>0.12</v>
      </c>
      <c r="J1113" s="83">
        <v>85.0</v>
      </c>
      <c r="K1113" s="84" t="s">
        <v>26</v>
      </c>
      <c r="L1113" s="81">
        <v>9.0</v>
      </c>
      <c r="M1113" s="123">
        <v>43724.0</v>
      </c>
      <c r="N1113" s="81" t="s">
        <v>41</v>
      </c>
      <c r="O1113" s="86">
        <v>43221.0</v>
      </c>
      <c r="P1113" s="87">
        <v>1199.0</v>
      </c>
      <c r="Q1113" s="87">
        <v>750.0</v>
      </c>
      <c r="R1113" s="88" t="str">
        <f>HYPERLINK("https://amzn.to/2MBd68k","link*")</f>
        <v>link*</v>
      </c>
      <c r="S1113" s="88" t="str">
        <f>HYPERLINK("https://www.bhphotovideo.com/c/product/1393494-REG/sigma_85mm_f_1_4_dg_hsm.html/BI/19619/KBID/12129/kw/SI8514SO/DFF/d10-v2-t1-xSI8514SO","link*")</f>
        <v>link*</v>
      </c>
      <c r="T1113" s="88" t="str">
        <f>HYPERLINK("https://amzn.to/2Wto6JH","link*")</f>
        <v>link*</v>
      </c>
      <c r="U1113"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V1113" s="68" t="s">
        <v>42</v>
      </c>
    </row>
    <row r="1114" hidden="1">
      <c r="A1114" s="75" t="s">
        <v>125</v>
      </c>
      <c r="B1114" s="76">
        <v>568.0</v>
      </c>
      <c r="C1114" s="77">
        <v>85.0</v>
      </c>
      <c r="D1114" s="78">
        <v>1.4</v>
      </c>
      <c r="E1114" s="144">
        <v>88.0</v>
      </c>
      <c r="F1114" s="145">
        <v>100.0</v>
      </c>
      <c r="G1114" s="81" t="s">
        <v>30</v>
      </c>
      <c r="H1114" s="82" t="s">
        <v>56</v>
      </c>
      <c r="I1114" s="81">
        <v>0.11</v>
      </c>
      <c r="J1114" s="83">
        <v>90.0</v>
      </c>
      <c r="K1114" s="84" t="s">
        <v>26</v>
      </c>
      <c r="L1114" s="81">
        <v>9.0</v>
      </c>
      <c r="M1114" s="123">
        <v>43688.0</v>
      </c>
      <c r="N1114" s="81" t="s">
        <v>46</v>
      </c>
      <c r="O1114" s="86">
        <v>43586.0</v>
      </c>
      <c r="P1114" s="153">
        <v>599.0</v>
      </c>
      <c r="Q1114" s="87" t="s">
        <v>36</v>
      </c>
      <c r="R1114" s="88" t="str">
        <f>HYPERLINK("https://amzn.to/2T0yJ1A","link*")</f>
        <v>link*</v>
      </c>
      <c r="S1114" s="88" t="str">
        <f>HYPERLINK("https://www.bhphotovideo.com/c/product/1470654-REG/samyang_syio85af_e_af_85mm_f_1_4_lens.html/BI/19619/KBID/12129/DFF/d10-v21-t1-x955078/SID/EZ","link*")</f>
        <v>link*</v>
      </c>
      <c r="T1114" s="89" t="s">
        <v>33</v>
      </c>
      <c r="U1114"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row>
    <row r="1115" hidden="1">
      <c r="A1115" s="131" t="str">
        <f>HYPERLINK("https://phillipreeve.net/blog/review-sony-fe-85-mm-1-8/","Sony FE 85mm f/1.8")</f>
        <v>Sony FE 85mm f/1.8</v>
      </c>
      <c r="B1115" s="76">
        <v>371.0</v>
      </c>
      <c r="C1115" s="77">
        <v>85.0</v>
      </c>
      <c r="D1115" s="78">
        <v>1.8</v>
      </c>
      <c r="E1115" s="144">
        <v>77.0</v>
      </c>
      <c r="F1115" s="145">
        <v>82.0</v>
      </c>
      <c r="G1115" s="81" t="s">
        <v>30</v>
      </c>
      <c r="H1115" s="82" t="s">
        <v>53</v>
      </c>
      <c r="I1115" s="81">
        <v>0.13</v>
      </c>
      <c r="J1115" s="83">
        <v>80.0</v>
      </c>
      <c r="K1115" s="84" t="s">
        <v>26</v>
      </c>
      <c r="L1115" s="81">
        <v>9.0</v>
      </c>
      <c r="M1115" s="123">
        <v>43686.0</v>
      </c>
      <c r="N1115" s="81" t="s">
        <v>32</v>
      </c>
      <c r="O1115" s="86">
        <v>42767.0</v>
      </c>
      <c r="P1115" s="153">
        <v>599.0</v>
      </c>
      <c r="Q1115" s="153">
        <v>470.0</v>
      </c>
      <c r="R1115" s="88" t="str">
        <f>HYPERLINK("https://amzn.to/2YB4RxU","link*")</f>
        <v>link*</v>
      </c>
      <c r="S1115" s="88" t="str">
        <f>HYPERLINK("https://www.bhphotovideo.com/c/product/1140833-REG/zeiss_2103_751_85mm_f_1_8_batis_short.html/BI/19619/KBID/12129/DFF/d10-v21-t1-x627139/SID/EZ","link*")</f>
        <v>link*</v>
      </c>
      <c r="T1115" s="89" t="s">
        <v>33</v>
      </c>
      <c r="U1115"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row>
    <row r="1116" hidden="1">
      <c r="A1116" s="124" t="s">
        <v>127</v>
      </c>
      <c r="B1116" s="76">
        <v>645.0</v>
      </c>
      <c r="C1116" s="77">
        <v>85.0</v>
      </c>
      <c r="D1116" s="78">
        <v>1.8</v>
      </c>
      <c r="E1116" s="138">
        <v>80.0</v>
      </c>
      <c r="F1116" s="150">
        <v>93.0</v>
      </c>
      <c r="G1116" s="81" t="s">
        <v>30</v>
      </c>
      <c r="H1116" s="82" t="s">
        <v>48</v>
      </c>
      <c r="I1116" s="81">
        <v>0.125</v>
      </c>
      <c r="J1116" s="83">
        <v>80.0</v>
      </c>
      <c r="K1116" s="84" t="s">
        <v>26</v>
      </c>
      <c r="L1116" s="81">
        <v>9.0</v>
      </c>
      <c r="M1116" s="123">
        <v>44022.0</v>
      </c>
      <c r="N1116" s="81" t="s">
        <v>67</v>
      </c>
      <c r="O1116" s="86">
        <v>43922.0</v>
      </c>
      <c r="P1116" s="87">
        <v>499.0</v>
      </c>
      <c r="Q1116" s="87"/>
      <c r="R1116" s="130"/>
      <c r="S1116" s="130"/>
      <c r="T1116" s="89"/>
      <c r="U1116" s="130"/>
      <c r="V1116" s="68" t="s">
        <v>235</v>
      </c>
    </row>
    <row r="1117" hidden="1">
      <c r="A1117" s="131" t="str">
        <f>HYPERLINK("https://phillipreeve.net/blog/zeiss-batis-sonnar-t-85mm-f1-8-a-review/","Zeiss Batis 1.8/85")</f>
        <v>Zeiss Batis 1.8/85</v>
      </c>
      <c r="B1117" s="76">
        <v>475.0</v>
      </c>
      <c r="C1117" s="77">
        <v>85.0</v>
      </c>
      <c r="D1117" s="78">
        <v>1.8</v>
      </c>
      <c r="E1117" s="144">
        <v>92.0</v>
      </c>
      <c r="F1117" s="145">
        <v>81.0</v>
      </c>
      <c r="G1117" s="81" t="s">
        <v>30</v>
      </c>
      <c r="H1117" s="82" t="s">
        <v>53</v>
      </c>
      <c r="I1117" s="81">
        <v>0.13</v>
      </c>
      <c r="J1117" s="83">
        <v>80.0</v>
      </c>
      <c r="K1117" s="154" t="s">
        <v>49</v>
      </c>
      <c r="L1117" s="81">
        <v>9.0</v>
      </c>
      <c r="M1117" s="123">
        <v>43688.0</v>
      </c>
      <c r="N1117" s="81" t="s">
        <v>58</v>
      </c>
      <c r="O1117" s="86">
        <v>42125.0</v>
      </c>
      <c r="P1117" s="87">
        <v>1199.0</v>
      </c>
      <c r="Q1117" s="87">
        <v>750.0</v>
      </c>
      <c r="R1117" s="88" t="str">
        <f>HYPERLINK("https://amzn.to/2T8oWqt","link*")</f>
        <v>link*</v>
      </c>
      <c r="S1117" s="88" t="str">
        <f>HYPERLINK("https://www.bhphotovideo.com/c/product/1140833-REG/zeiss_2103_751_85mm_f_1_8_batis_short.html/BI/19619/KBID/12129/DFF/d10-v21-t1-x627139/SID/EZ","link*")</f>
        <v>link*</v>
      </c>
      <c r="T1117" s="89" t="s">
        <v>33</v>
      </c>
      <c r="U1117"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row>
    <row r="1118">
      <c r="A1118" s="75" t="s">
        <v>129</v>
      </c>
      <c r="B1118" s="76">
        <v>665.0</v>
      </c>
      <c r="C1118" s="77">
        <v>85.0</v>
      </c>
      <c r="D1118" s="78">
        <v>1.8</v>
      </c>
      <c r="E1118" s="144">
        <v>79.0</v>
      </c>
      <c r="F1118" s="145">
        <v>92.0</v>
      </c>
      <c r="G1118" s="81" t="s">
        <v>24</v>
      </c>
      <c r="H1118" s="82" t="s">
        <v>48</v>
      </c>
      <c r="I1118" s="81">
        <v>0.13</v>
      </c>
      <c r="J1118" s="83">
        <v>80.0</v>
      </c>
      <c r="K1118" s="84" t="s">
        <v>26</v>
      </c>
      <c r="L1118" s="81">
        <v>9.0</v>
      </c>
      <c r="M1118" s="123">
        <v>43656.0</v>
      </c>
      <c r="N1118" s="81" t="s">
        <v>63</v>
      </c>
      <c r="O1118" s="233">
        <v>43586.0</v>
      </c>
      <c r="P1118" s="87">
        <v>299.0</v>
      </c>
      <c r="Q1118" s="87" t="s">
        <v>36</v>
      </c>
      <c r="R1118" s="88" t="str">
        <f>HYPERLINK("https://amzn.to/2LVVOBV","link*")</f>
        <v>link*</v>
      </c>
      <c r="S1118" s="130" t="str">
        <f>HYPERLINK("https://www.bhphotovideo.com/c/product/1469189-REG/viltrox_pfu_rbmh_85mm_f1_8_e_mount_85mm_f_1_8_for_sony.html/BI/19619/KBID/12129/DFF/d10-v21-t1-x954301/SID/EZ", S1118,"link*")</f>
        <v>#REF!</v>
      </c>
      <c r="T1118" s="89" t="s">
        <v>33</v>
      </c>
      <c r="U1118"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V1118" s="68" t="s">
        <v>236</v>
      </c>
    </row>
    <row r="1119" hidden="1">
      <c r="A1119" s="131" t="str">
        <f>HYPERLINK("https://phillipreeve.net/blog/review-viltrox-85-mm-f-1-8-stm-af-pfu-rbmh/","Viltrox PFU RBMH 85mm f/1.8 STM")</f>
        <v>Viltrox PFU RBMH 85mm f/1.8 STM</v>
      </c>
      <c r="B1119" s="76">
        <v>636.0</v>
      </c>
      <c r="C1119" s="77">
        <v>85.0</v>
      </c>
      <c r="D1119" s="78">
        <v>1.8</v>
      </c>
      <c r="E1119" s="144">
        <v>79.0</v>
      </c>
      <c r="F1119" s="145">
        <v>92.0</v>
      </c>
      <c r="G1119" s="81" t="s">
        <v>30</v>
      </c>
      <c r="H1119" s="82" t="s">
        <v>48</v>
      </c>
      <c r="I1119" s="81">
        <v>0.13</v>
      </c>
      <c r="J1119" s="83">
        <v>80.0</v>
      </c>
      <c r="K1119" s="84" t="s">
        <v>26</v>
      </c>
      <c r="L1119" s="81">
        <v>9.0</v>
      </c>
      <c r="M1119" s="123">
        <v>43656.0</v>
      </c>
      <c r="N1119" s="81" t="s">
        <v>63</v>
      </c>
      <c r="O1119" s="86">
        <v>43586.0</v>
      </c>
      <c r="P1119" s="87">
        <v>399.0</v>
      </c>
      <c r="Q1119" s="87" t="s">
        <v>36</v>
      </c>
      <c r="R1119" s="88" t="str">
        <f>HYPERLINK("https://amzn.to/2SZfd5v","link*")</f>
        <v>link*</v>
      </c>
      <c r="S1119" s="88" t="str">
        <f>HYPERLINK("https://www.bhphotovideo.com/c/product/1470585-REG/viltrox_pfu_rbmh_85mm_f1_8_stm_e_mount_85mm_f_1_8_lens_for.html/BI/19619/KBID/12129/DFF/d10-v21-t1-x955239/SID/EZ","link*")</f>
        <v>link*</v>
      </c>
      <c r="T1119" s="89" t="s">
        <v>33</v>
      </c>
      <c r="U1119"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row>
    <row r="1120">
      <c r="A1120" s="22" t="str">
        <f>HYPERLINK("https://phillipreeve.net/blog/rolling-review-zeiss-loxia-85mm-2-4/","Zeiss Loxia 2.4/85")</f>
        <v>Zeiss Loxia 2.4/85</v>
      </c>
      <c r="B1120" s="23">
        <v>594.0</v>
      </c>
      <c r="C1120" s="24">
        <v>85.0</v>
      </c>
      <c r="D1120" s="25">
        <v>2.4</v>
      </c>
      <c r="E1120" s="147">
        <v>63.0</v>
      </c>
      <c r="F1120" s="155">
        <v>95.0</v>
      </c>
      <c r="G1120" s="30" t="s">
        <v>24</v>
      </c>
      <c r="H1120" s="29" t="s">
        <v>71</v>
      </c>
      <c r="I1120" s="30">
        <v>0.14</v>
      </c>
      <c r="J1120" s="31">
        <v>80.0</v>
      </c>
      <c r="K1120" s="32" t="s">
        <v>26</v>
      </c>
      <c r="L1120" s="30">
        <v>10.0</v>
      </c>
      <c r="M1120" s="93">
        <v>43653.0</v>
      </c>
      <c r="N1120" s="30" t="s">
        <v>58</v>
      </c>
      <c r="O1120" s="34">
        <v>42644.0</v>
      </c>
      <c r="P1120" s="35">
        <v>1399.0</v>
      </c>
      <c r="Q1120" s="35">
        <v>850.0</v>
      </c>
      <c r="R1120" s="36" t="str">
        <f>HYPERLINK("https://amzn.to/2SY4PLd","link*")</f>
        <v>link*</v>
      </c>
      <c r="S1120" s="36" t="str">
        <f>HYPERLINK("https://www.bhphotovideo.com/c/product/1282150-REG/zeiss_2162_636_loxia_85mm_f_2_4_lens.html/BI/19619/KBID/12129/DFF/d10-v21-t1-x762761/SID/EZ","link*")</f>
        <v>link*</v>
      </c>
      <c r="T1120" s="70" t="s">
        <v>33</v>
      </c>
      <c r="U1120" s="36"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V1120" s="94"/>
    </row>
    <row r="1121" hidden="1">
      <c r="A1121" s="95" t="str">
        <f>HYPERLINK("https://phillipreeve.net/blog/review-sony-fe-90mm-f2-8-macro-oss-one-of-sonys-finest/","Sony 2.8/90 G OSS")</f>
        <v>Sony 2.8/90 G OSS</v>
      </c>
      <c r="B1121" s="96">
        <v>602.0</v>
      </c>
      <c r="C1121" s="97">
        <v>90.0</v>
      </c>
      <c r="D1121" s="98">
        <v>2.8</v>
      </c>
      <c r="E1121" s="147">
        <v>79.0</v>
      </c>
      <c r="F1121" s="155">
        <v>131.0</v>
      </c>
      <c r="G1121" s="103" t="s">
        <v>30</v>
      </c>
      <c r="H1121" s="102" t="s">
        <v>66</v>
      </c>
      <c r="I1121" s="256">
        <v>1.0</v>
      </c>
      <c r="J1121" s="104">
        <v>28.0</v>
      </c>
      <c r="K1121" s="257" t="s">
        <v>49</v>
      </c>
      <c r="L1121" s="103">
        <v>9.0</v>
      </c>
      <c r="M1121" s="204">
        <v>43784.0</v>
      </c>
      <c r="N1121" s="103" t="s">
        <v>32</v>
      </c>
      <c r="O1121" s="106">
        <v>42064.0</v>
      </c>
      <c r="P1121" s="107">
        <v>1099.0</v>
      </c>
      <c r="Q1121" s="107">
        <v>830.0</v>
      </c>
      <c r="R1121" s="108" t="str">
        <f>HYPERLINK("http://amzn.to/2fbeX3x","link*")</f>
        <v>link*</v>
      </c>
      <c r="S1121" s="108" t="str">
        <f>HYPERLINK("https://www.bhphotovideo.com/c/product/1380868-REG/sony_fe_90mm_f_2_8_macro.html/BI/19619/KBID/12129/kw/SO9028F/DFF/d10-v2-t1-xSO9028F","link*")</f>
        <v>link*</v>
      </c>
      <c r="T1121" s="108" t="str">
        <f>HYPERLINK("http://amzn.to/2vvvHcw","link*")</f>
        <v>link*</v>
      </c>
      <c r="U1121" s="10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V1121" s="94"/>
    </row>
    <row r="1122" hidden="1">
      <c r="A1122" s="109" t="str">
        <f>HYPERLINK("https://phillipreeve.net/blog/review-sony-fe-100-f-2-8-stf-gm-oss-lens/","Sony GM 2.8/100 STF OSS")</f>
        <v>Sony GM 2.8/100 STF OSS</v>
      </c>
      <c r="B1122" s="39">
        <v>700.0</v>
      </c>
      <c r="C1122" s="40">
        <v>100.0</v>
      </c>
      <c r="D1122" s="41">
        <v>2.8</v>
      </c>
      <c r="E1122" s="144">
        <v>85.0</v>
      </c>
      <c r="F1122" s="145">
        <v>118.0</v>
      </c>
      <c r="G1122" s="46" t="s">
        <v>30</v>
      </c>
      <c r="H1122" s="45" t="s">
        <v>48</v>
      </c>
      <c r="I1122" s="258">
        <v>0.25</v>
      </c>
      <c r="J1122" s="47">
        <v>57.0</v>
      </c>
      <c r="K1122" s="110" t="s">
        <v>49</v>
      </c>
      <c r="L1122" s="46">
        <v>11.0</v>
      </c>
      <c r="M1122" s="74">
        <v>43752.0</v>
      </c>
      <c r="N1122" s="46" t="s">
        <v>32</v>
      </c>
      <c r="O1122" s="49">
        <v>42767.0</v>
      </c>
      <c r="P1122" s="50">
        <v>1499.0</v>
      </c>
      <c r="Q1122" s="50">
        <v>1100.0</v>
      </c>
      <c r="R1122" s="51" t="str">
        <f>HYPERLINK("https://amzn.to/2YD8rn4","link*")</f>
        <v>link*</v>
      </c>
      <c r="S1122" s="51" t="str">
        <f>HYPERLINK("https://www.bhphotovideo.com/c/product/1317561-REG/sony_sel100f28gm_fe_100mm_f_2_8_stf.html/BI/19619/KBID/12129/DFF/d10-v21-t1-x795192/SID/EZ","link*")</f>
        <v>link*</v>
      </c>
      <c r="T1122" s="146" t="s">
        <v>33</v>
      </c>
      <c r="U1122" s="51"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V1122" s="68" t="s">
        <v>132</v>
      </c>
    </row>
    <row r="1123" hidden="1">
      <c r="A1123" s="131" t="str">
        <f>HYPERLINK("https://phillipreeve.net/blog/review-tokina-firin-100mm-f2-8-fe-macro/","Tokina Firin 2.8/100 Macro")</f>
        <v>Tokina Firin 2.8/100 Macro</v>
      </c>
      <c r="B1123" s="76">
        <v>570.0</v>
      </c>
      <c r="C1123" s="77">
        <v>100.0</v>
      </c>
      <c r="D1123" s="78">
        <v>2.8</v>
      </c>
      <c r="E1123" s="144">
        <v>74.0</v>
      </c>
      <c r="F1123" s="151">
        <v>123.0</v>
      </c>
      <c r="G1123" s="81" t="s">
        <v>30</v>
      </c>
      <c r="H1123" s="82" t="s">
        <v>90</v>
      </c>
      <c r="I1123" s="259">
        <v>1.0</v>
      </c>
      <c r="J1123" s="83">
        <v>30.0</v>
      </c>
      <c r="K1123" s="84" t="s">
        <v>26</v>
      </c>
      <c r="L1123" s="81">
        <v>9.0</v>
      </c>
      <c r="M1123" s="123">
        <v>43686.0</v>
      </c>
      <c r="N1123" s="81" t="s">
        <v>67</v>
      </c>
      <c r="O1123" s="86">
        <v>43617.0</v>
      </c>
      <c r="P1123" s="129">
        <v>599.0</v>
      </c>
      <c r="Q1123" s="129" t="s">
        <v>36</v>
      </c>
      <c r="R1123" s="88" t="str">
        <f>HYPERLINK("http://amzn.to/2fbeX3x","link*")</f>
        <v>link*</v>
      </c>
      <c r="S1123" s="88" t="str">
        <f>HYPERLINK("https://www.bhphotovideo.com/c/product/1473390-REG/tokina_frn_afm100fxse_firin_100mm_f_2_8_fe.html/BI/19619/KBID/12129/kw/TO100AF/DFF/d10-v2-t1-xTO100AF","link*")</f>
        <v>link*</v>
      </c>
      <c r="T1123"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U1123" s="88" t="str">
        <f>HYPERLINK("http://rover.ebay.com/rover/1/711-53200-19255-0/1?icep_ff3=10&amp;pub=5575076376&amp;toolid=10001&amp;campid=5338164340&amp;customid=&amp;icep_uq=tokina+firin+macro&amp;icep_sellerId=&amp;icep_ex_kw=&amp;icep_sortBy=12&amp;icep_catId=&amp;icep_minPrice=&amp;icep_maxPrice=&amp;ipn=psmain&amp;icep_vectorid=2"&amp;"29466&amp;kwid=902099&amp;mtid=824&amp;kw=lg","link*")</f>
        <v>link*</v>
      </c>
      <c r="V1123" s="68" t="s">
        <v>42</v>
      </c>
    </row>
    <row r="1124" hidden="1">
      <c r="A1124" s="90" t="s">
        <v>135</v>
      </c>
      <c r="B1124" s="23">
        <v>1395.0</v>
      </c>
      <c r="C1124" s="24">
        <v>100.0</v>
      </c>
      <c r="D1124" s="25" t="s">
        <v>118</v>
      </c>
      <c r="E1124" s="147">
        <v>94.0</v>
      </c>
      <c r="F1124" s="136">
        <v>205.0</v>
      </c>
      <c r="G1124" s="30" t="s">
        <v>30</v>
      </c>
      <c r="H1124" s="29" t="s">
        <v>56</v>
      </c>
      <c r="I1124" s="199">
        <v>0.35</v>
      </c>
      <c r="J1124" s="31">
        <v>98.0</v>
      </c>
      <c r="K1124" s="156" t="s">
        <v>49</v>
      </c>
      <c r="L1124" s="30">
        <v>9.0</v>
      </c>
      <c r="M1124" s="228" t="s">
        <v>134</v>
      </c>
      <c r="N1124" s="30" t="s">
        <v>32</v>
      </c>
      <c r="O1124" s="34">
        <v>42826.0</v>
      </c>
      <c r="P1124" s="35">
        <v>2499.0</v>
      </c>
      <c r="Q1124" s="35">
        <v>1950.0</v>
      </c>
      <c r="R1124" s="36" t="str">
        <f>HYPERLINK("https://amzn.to/2SZ0aZO","link*")</f>
        <v>link*</v>
      </c>
      <c r="S1124" s="36" t="str">
        <f>HYPERLINK("https://www.bhphotovideo.com/c/product/1333230-REG/sony_sel100400gm_fe_100_400mm_f_4_5_5_6_gm.html/BI/19619/KBID/12129/DFF/d10-v21-t1-x817745/SID/EZ","link*")</f>
        <v>link*</v>
      </c>
      <c r="T1124" s="70" t="s">
        <v>33</v>
      </c>
      <c r="U1124" s="36"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V1124" s="94"/>
    </row>
    <row r="1125" hidden="1">
      <c r="A1125" s="265" t="s">
        <v>136</v>
      </c>
      <c r="B1125" s="96">
        <v>1720.0</v>
      </c>
      <c r="C1125" s="97">
        <v>105.0</v>
      </c>
      <c r="D1125" s="98">
        <v>1.4</v>
      </c>
      <c r="E1125" s="147">
        <v>116.0</v>
      </c>
      <c r="F1125" s="266">
        <v>157.5</v>
      </c>
      <c r="G1125" s="103" t="s">
        <v>30</v>
      </c>
      <c r="H1125" s="267" t="s">
        <v>137</v>
      </c>
      <c r="I1125" s="103">
        <v>0.12</v>
      </c>
      <c r="J1125" s="104">
        <v>100.0</v>
      </c>
      <c r="K1125" s="101" t="s">
        <v>26</v>
      </c>
      <c r="L1125" s="103">
        <v>9.0</v>
      </c>
      <c r="M1125" s="204">
        <v>43816.0</v>
      </c>
      <c r="N1125" s="103" t="s">
        <v>138</v>
      </c>
      <c r="O1125" s="106">
        <v>43221.0</v>
      </c>
      <c r="P1125" s="107">
        <v>1599.0</v>
      </c>
      <c r="Q1125" s="107">
        <v>1200.0</v>
      </c>
      <c r="R1125" s="108" t="str">
        <f>HYPERLINK("https://amzn.to/2EWeThZ","link*")</f>
        <v>link*</v>
      </c>
      <c r="S1125" s="108" t="str">
        <f>HYPERLINK("https://www.bhphotovideo.com/c/product/1393488-REG/sigma_105mm_f_1_4_dg_hsm.html/BI/19619/KBID/12129/kw/SI10514SO/DFF/d10-v2-t1-xSI10514SO","link*")</f>
        <v>link*</v>
      </c>
      <c r="T1125" s="108" t="str">
        <f>HYPERLINK("https://amzn.to/2WpOvTy","link*")</f>
        <v>link*</v>
      </c>
      <c r="U1125" s="108" t="str">
        <f>HYPERLINK("http://rover.ebay.com/rover/1/711-53200-19255-0/1?icep_ff3=9&amp;pub=5575076376&amp;toolid=10001&amp;campid=5338164340&amp;customid=&amp;icep_uq=sigma+art+105+1.4+sony&amp;icep_sellerId=&amp;icep_ex_kw=&amp;icep_sortBy=12&amp;icep_catId=3323&amp;icep_minPrice=&amp;icep_maxPrice=&amp;ipn=psmain&amp;icep_vec"&amp;"torid=229466&amp;kwid=902099&amp;mtid=824&amp;kw=lg","link*")</f>
        <v>link*</v>
      </c>
      <c r="V1125" s="37" t="s">
        <v>42</v>
      </c>
    </row>
    <row r="1126">
      <c r="A1126" s="95" t="str">
        <f>HYPERLINK("https://phillipreeve.net/blog/voigtlander-110mm-f2-5-apo-review/","Voigtlander 110mm F2.5 APO Macro")</f>
        <v>Voigtlander 110mm F2.5 APO Macro</v>
      </c>
      <c r="B1126" s="96">
        <v>771.0</v>
      </c>
      <c r="C1126" s="97">
        <v>110.0</v>
      </c>
      <c r="D1126" s="98">
        <v>2.5</v>
      </c>
      <c r="E1126" s="147">
        <v>78.0</v>
      </c>
      <c r="F1126" s="155">
        <v>100.0</v>
      </c>
      <c r="G1126" s="103" t="s">
        <v>24</v>
      </c>
      <c r="H1126" s="102" t="s">
        <v>47</v>
      </c>
      <c r="I1126" s="256">
        <v>1.0</v>
      </c>
      <c r="J1126" s="104">
        <v>35.0</v>
      </c>
      <c r="K1126" s="101" t="s">
        <v>26</v>
      </c>
      <c r="L1126" s="103">
        <v>10.0</v>
      </c>
      <c r="M1126" s="204">
        <v>43813.0</v>
      </c>
      <c r="N1126" s="103" t="s">
        <v>28</v>
      </c>
      <c r="O1126" s="106">
        <v>43405.0</v>
      </c>
      <c r="P1126" s="107">
        <v>1099.0</v>
      </c>
      <c r="Q1126" s="107" t="s">
        <v>36</v>
      </c>
      <c r="R1126" s="108" t="str">
        <f>HYPERLINK("https://amzn.to/2SXYsrm","link*")</f>
        <v>link*</v>
      </c>
      <c r="S1126" s="108" t="str">
        <f>HYPERLINK("https://www.bhphotovideo.com/c/product/1418780-REG/voigtlander_ba349a_macro_apo_lanthar_110mm_f_2_5.html/BI/19619/KBID/12129/kw/VO11025/DFF/d10-v2-t1-xVO11025","link*")</f>
        <v>link*</v>
      </c>
      <c r="T1126" s="205" t="s">
        <v>33</v>
      </c>
      <c r="U1126" s="10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V1126" s="94"/>
    </row>
    <row r="1127" hidden="1">
      <c r="A1127" s="109" t="str">
        <f>HYPERLINK("https://phillipreeve.net/blog/review-sony-fe-135mm-f1-8-gm/","Sony 1.8/135 GM")</f>
        <v>Sony 1.8/135 GM</v>
      </c>
      <c r="B1127" s="39">
        <v>950.0</v>
      </c>
      <c r="C1127" s="40">
        <v>135.0</v>
      </c>
      <c r="D1127" s="41">
        <v>1.8</v>
      </c>
      <c r="E1127" s="144">
        <v>90.0</v>
      </c>
      <c r="F1127" s="145">
        <v>127.0</v>
      </c>
      <c r="G1127" s="46" t="s">
        <v>30</v>
      </c>
      <c r="H1127" s="182" t="s">
        <v>51</v>
      </c>
      <c r="I1127" s="258">
        <v>0.25</v>
      </c>
      <c r="J1127" s="47">
        <v>70.0</v>
      </c>
      <c r="K1127" s="44" t="s">
        <v>26</v>
      </c>
      <c r="L1127" s="46">
        <v>11.0</v>
      </c>
      <c r="M1127" s="74">
        <v>43751.0</v>
      </c>
      <c r="N1127" s="46" t="s">
        <v>32</v>
      </c>
      <c r="O1127" s="49">
        <v>43525.0</v>
      </c>
      <c r="P1127" s="50">
        <v>1899.0</v>
      </c>
      <c r="Q1127" s="50">
        <v>1800.0</v>
      </c>
      <c r="R1127" s="51" t="str">
        <f>HYPERLINK("https://amzn.to/2WtonMJ","link*")</f>
        <v>link*</v>
      </c>
      <c r="S1127" s="51" t="str">
        <f>HYPERLINK("https://www.bhphotovideo.com/c/product/1393495-REG/sigma_135mm_f_1_8_dg_hsm.html/BI/19619/KBID/12129/kw/SI13518SO/DFF/d10-v2-t1-xSI13518SO","link*")</f>
        <v>link*</v>
      </c>
      <c r="T1127" s="51" t="str">
        <f>HYPERLINK("https://amzn.to/2Z9KKDE","link*")</f>
        <v>link*</v>
      </c>
      <c r="U1127" s="51"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row>
    <row r="1128" hidden="1">
      <c r="A1128" s="75" t="s">
        <v>142</v>
      </c>
      <c r="B1128" s="76">
        <v>1225.0</v>
      </c>
      <c r="C1128" s="77">
        <v>135.0</v>
      </c>
      <c r="D1128" s="78">
        <v>1.8</v>
      </c>
      <c r="E1128" s="144">
        <v>91.0</v>
      </c>
      <c r="F1128" s="150">
        <v>140.9</v>
      </c>
      <c r="G1128" s="81" t="s">
        <v>30</v>
      </c>
      <c r="H1128" s="270" t="s">
        <v>51</v>
      </c>
      <c r="I1128" s="81">
        <v>0.2</v>
      </c>
      <c r="J1128" s="83">
        <v>87.0</v>
      </c>
      <c r="K1128" s="84" t="s">
        <v>26</v>
      </c>
      <c r="L1128" s="81">
        <v>9.0</v>
      </c>
      <c r="M1128" s="123">
        <v>43751.0</v>
      </c>
      <c r="N1128" s="81" t="s">
        <v>41</v>
      </c>
      <c r="O1128" s="86">
        <v>43221.0</v>
      </c>
      <c r="P1128" s="129">
        <v>1399.0</v>
      </c>
      <c r="Q1128" s="129">
        <v>850.0</v>
      </c>
      <c r="R1128" s="88" t="str">
        <f>HYPERLINK("https://amzn.to/2yxIM4R","link*")</f>
        <v>link*</v>
      </c>
      <c r="S1128" s="88" t="str">
        <f>HYPERLINK("https://www.bhphotovideo.com/c/product/1393495-REG/sigma_135mm_f_1_8_dg_hsm.html/BI/19619/KBID/12129/DFF/d10-v21-t1-x881160/SID/EZ","link*")</f>
        <v>link*</v>
      </c>
      <c r="T1128" s="89" t="s">
        <v>33</v>
      </c>
      <c r="U1128"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V1128" s="68" t="s">
        <v>42</v>
      </c>
    </row>
    <row r="1129" hidden="1">
      <c r="A1129" s="22" t="str">
        <f>HYPERLINK("https://phillipreeve.net/blog/zeiss-batis-apo-sonnar-t-135mm-f2-8/","Zeiss 2.8/135 APO")</f>
        <v>Zeiss 2.8/135 APO</v>
      </c>
      <c r="B1129" s="23">
        <v>614.0</v>
      </c>
      <c r="C1129" s="24">
        <v>135.0</v>
      </c>
      <c r="D1129" s="25">
        <v>2.8</v>
      </c>
      <c r="E1129" s="147">
        <v>99.0</v>
      </c>
      <c r="F1129" s="155">
        <v>120.0</v>
      </c>
      <c r="G1129" s="30" t="s">
        <v>30</v>
      </c>
      <c r="H1129" s="29" t="s">
        <v>53</v>
      </c>
      <c r="I1129" s="30">
        <v>0.19</v>
      </c>
      <c r="J1129" s="31">
        <v>87.0</v>
      </c>
      <c r="K1129" s="156" t="s">
        <v>49</v>
      </c>
      <c r="L1129" s="30">
        <v>9.0</v>
      </c>
      <c r="M1129" s="93">
        <v>43783.0</v>
      </c>
      <c r="N1129" s="30" t="s">
        <v>58</v>
      </c>
      <c r="O1129" s="34">
        <v>42826.0</v>
      </c>
      <c r="P1129" s="35">
        <v>1699.0</v>
      </c>
      <c r="Q1129" s="35">
        <v>1000.0</v>
      </c>
      <c r="R1129" s="36" t="str">
        <f>HYPERLINK("https://amzn.to/319GJA4","link*")</f>
        <v>link*</v>
      </c>
      <c r="S1129" s="36" t="str">
        <f>HYPERLINK("https://www.bhphotovideo.com/c/product/1330083-REG/zeiss_2136_695_batis_135mm_f_2_8_lens.html/BI/19619/KBID/12129/DFF/d10-v21-t1-x814884/SID/EZ","link*")</f>
        <v>link*</v>
      </c>
      <c r="T1129" s="70" t="s">
        <v>33</v>
      </c>
      <c r="U1129" s="36" t="str">
        <f>HYPERLINK("http://rover.ebay.com/rover/1/711-53200-19255-0/1?icep_ff3=9&amp;pub=5575076376&amp;toolid=10001&amp;campid=5338164340&amp;customid=&amp;icep_uq=zeiss+batis+135+2.8&amp;icep_sellerId=&amp;icep_ex_kw=&amp;icep_sortBy=12&amp;icep_catId=3323&amp;icep_minPrice=&amp;icep_maxPrice=&amp;ipn=psmain&amp;icep_vector"&amp;"id=229466&amp;kwid=902099&amp;mtid=824&amp;kw=lg","link*")</f>
        <v>link*</v>
      </c>
      <c r="V1129" s="94"/>
    </row>
    <row r="1130" hidden="1">
      <c r="A1130" s="265" t="s">
        <v>144</v>
      </c>
      <c r="B1130" s="96">
        <v>2215.0</v>
      </c>
      <c r="C1130" s="97">
        <v>200.0</v>
      </c>
      <c r="D1130" s="98" t="s">
        <v>145</v>
      </c>
      <c r="E1130" s="147">
        <v>112.0</v>
      </c>
      <c r="F1130" s="155">
        <v>318.0</v>
      </c>
      <c r="G1130" s="103" t="s">
        <v>30</v>
      </c>
      <c r="H1130" s="271" t="s">
        <v>92</v>
      </c>
      <c r="I1130" s="103">
        <v>0.2</v>
      </c>
      <c r="J1130" s="104">
        <v>240.0</v>
      </c>
      <c r="K1130" s="257" t="s">
        <v>49</v>
      </c>
      <c r="L1130" s="103">
        <v>11.0</v>
      </c>
      <c r="M1130" s="272" t="s">
        <v>146</v>
      </c>
      <c r="N1130" s="103" t="s">
        <v>32</v>
      </c>
      <c r="O1130" s="106">
        <v>43647.0</v>
      </c>
      <c r="P1130" s="107">
        <v>1999.0</v>
      </c>
      <c r="Q1130" s="107" t="s">
        <v>36</v>
      </c>
      <c r="R1130" s="205"/>
      <c r="S1130" s="108" t="str">
        <f>HYPERLINK("https://www.bhphotovideo.com/c/product/1485540-REG/sony_sel200600g_fe_200_600mm_f_5_6_6_3_g.html/BI/19619/KBID/12129/DFF/d10-v21-t1-x968882/SID/EZ","link*")</f>
        <v>link*</v>
      </c>
      <c r="T1130" s="205" t="s">
        <v>33</v>
      </c>
      <c r="U1130" s="10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V1130" s="94"/>
    </row>
    <row r="1131" hidden="1">
      <c r="A1131" s="265" t="s">
        <v>147</v>
      </c>
      <c r="B1131" s="96">
        <v>2895.0</v>
      </c>
      <c r="C1131" s="97">
        <v>400.0</v>
      </c>
      <c r="D1131" s="98">
        <v>2.8</v>
      </c>
      <c r="E1131" s="147">
        <v>158.0</v>
      </c>
      <c r="F1131" s="155">
        <v>359.0</v>
      </c>
      <c r="G1131" s="103" t="s">
        <v>30</v>
      </c>
      <c r="H1131" s="102" t="s">
        <v>148</v>
      </c>
      <c r="I1131" s="103">
        <v>0.16</v>
      </c>
      <c r="J1131" s="104">
        <v>270.0</v>
      </c>
      <c r="K1131" s="257" t="s">
        <v>49</v>
      </c>
      <c r="L1131" s="103">
        <v>11.0</v>
      </c>
      <c r="M1131" s="272" t="s">
        <v>149</v>
      </c>
      <c r="N1131" s="103" t="s">
        <v>32</v>
      </c>
      <c r="O1131" s="106">
        <v>43313.0</v>
      </c>
      <c r="P1131" s="107">
        <v>11999.0</v>
      </c>
      <c r="Q1131" s="107" t="s">
        <v>36</v>
      </c>
      <c r="R1131" s="205"/>
      <c r="S1131" s="108" t="str">
        <f>HYPERLINK("https://www.bhphotovideo.com/c/product/1369634-REG/sony_fe_400mm_f_2_8_gm.html/BI/19619/KBID/12129/DFF/d10-v21-t1-x905722/SID/EZ","link*")</f>
        <v>link*</v>
      </c>
      <c r="T1131" s="205" t="s">
        <v>33</v>
      </c>
      <c r="U1131" s="10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V1131" s="94"/>
    </row>
    <row r="1132" hidden="1">
      <c r="A1132" s="53" t="s">
        <v>150</v>
      </c>
      <c r="B1132" s="54">
        <v>3040.0</v>
      </c>
      <c r="C1132" s="55">
        <v>600.0</v>
      </c>
      <c r="D1132" s="56">
        <v>4.0</v>
      </c>
      <c r="E1132" s="144">
        <v>164.0</v>
      </c>
      <c r="F1132" s="145">
        <v>449.0</v>
      </c>
      <c r="G1132" s="61" t="s">
        <v>30</v>
      </c>
      <c r="H1132" s="60" t="s">
        <v>25</v>
      </c>
      <c r="I1132" s="61">
        <v>0.14</v>
      </c>
      <c r="J1132" s="62">
        <v>451.0</v>
      </c>
      <c r="K1132" s="110" t="s">
        <v>49</v>
      </c>
      <c r="L1132" s="61">
        <v>11.0</v>
      </c>
      <c r="M1132" s="274" t="s">
        <v>151</v>
      </c>
      <c r="N1132" s="61" t="s">
        <v>32</v>
      </c>
      <c r="O1132" s="64">
        <v>43678.0</v>
      </c>
      <c r="P1132" s="65" t="s">
        <v>230</v>
      </c>
      <c r="Q1132" s="65" t="s">
        <v>36</v>
      </c>
      <c r="R1132" s="146"/>
      <c r="S1132" s="51" t="str">
        <f>HYPERLINK("https://www.bhphotovideo.com/c/product/1485539-REG/sony_sel600f40gm_fe_600mm_f_4_gm.html/BI/19619/KBID/12129/DFF/d10-v21-t1-x968881/SID/EZ","link*")</f>
        <v>link*</v>
      </c>
      <c r="T1132" s="146" t="s">
        <v>33</v>
      </c>
      <c r="U1132" s="51"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row>
  </sheetData>
  <autoFilter ref="$G$1:$G$1132">
    <filterColumn colId="0">
      <filters>
        <filter val="MF"/>
      </filters>
    </filterColumn>
  </autoFilter>
  <conditionalFormatting sqref="A1064:A1132">
    <cfRule type="expression" dxfId="10" priority="1">
      <formula>(today()-O1064)&lt;0</formula>
    </cfRule>
  </conditionalFormatting>
  <conditionalFormatting sqref="A1064:A1132">
    <cfRule type="expression" dxfId="7" priority="2">
      <formula>(today()-O1064)&lt;180</formula>
    </cfRule>
  </conditionalFormatting>
  <conditionalFormatting sqref="B1 B3:B1132">
    <cfRule type="cellIs" dxfId="0" priority="3" operator="between">
      <formula>50</formula>
      <formula>200</formula>
    </cfRule>
  </conditionalFormatting>
  <conditionalFormatting sqref="B1 B3:B1132">
    <cfRule type="cellIs" dxfId="1" priority="4" operator="between">
      <formula>201</formula>
      <formula>400</formula>
    </cfRule>
  </conditionalFormatting>
  <conditionalFormatting sqref="B3:B1058 B1064:B1132">
    <cfRule type="cellIs" dxfId="2" priority="5" operator="between">
      <formula>401</formula>
      <formula>650</formula>
    </cfRule>
  </conditionalFormatting>
  <conditionalFormatting sqref="P3:P1058 K1064:K1132">
    <cfRule type="containsText" dxfId="5" priority="6" operator="containsText" text="yes">
      <formula>NOT(ISERROR(SEARCH(("yes"),(P3))))</formula>
    </cfRule>
  </conditionalFormatting>
  <conditionalFormatting sqref="B3:B1058 B1064:B1132">
    <cfRule type="cellIs" dxfId="4" priority="7" operator="greaterThan">
      <formula>900</formula>
    </cfRule>
  </conditionalFormatting>
  <conditionalFormatting sqref="B3:B1058">
    <cfRule type="cellIs" dxfId="3" priority="8" operator="between">
      <formula>651</formula>
      <formula>900</formula>
    </cfRule>
  </conditionalFormatting>
  <conditionalFormatting sqref="F1:F1132">
    <cfRule type="colorScale" priority="9">
      <colorScale>
        <cfvo type="min"/>
        <cfvo type="formula" val="150"/>
        <color rgb="FFEAD1DC"/>
        <color rgb="FFA64D79"/>
      </colorScale>
    </cfRule>
  </conditionalFormatting>
  <conditionalFormatting sqref="D3:D82 D1064:D1132">
    <cfRule type="colorScale" priority="10">
      <colorScale>
        <cfvo type="formula" val="1.2"/>
        <cfvo type="formula" val="4"/>
        <color rgb="FF0B5394"/>
        <color rgb="FFFFFFFF"/>
      </colorScale>
    </cfRule>
  </conditionalFormatting>
  <conditionalFormatting sqref="E3:E82 E1064:E1132">
    <cfRule type="colorScale" priority="11">
      <colorScale>
        <cfvo type="formula" val="65"/>
        <cfvo type="formula" val="100"/>
        <color rgb="FFD9D2E9"/>
        <color rgb="FF674EA7"/>
      </colorScale>
    </cfRule>
  </conditionalFormatting>
  <conditionalFormatting sqref="D3:D82 D1064:D1132">
    <cfRule type="containsText" dxfId="6" priority="12" operator="containsText" text="1.2">
      <formula>NOT(ISERROR(SEARCH(("1.2"),(D3))))</formula>
    </cfRule>
  </conditionalFormatting>
  <conditionalFormatting sqref="E3:E82">
    <cfRule type="colorScale" priority="13">
      <colorScale>
        <cfvo type="formula" val="65"/>
        <cfvo type="formula" val="100"/>
        <color rgb="FFD9D2E9"/>
        <color rgb="FF674EA7"/>
      </colorScale>
    </cfRule>
  </conditionalFormatting>
  <conditionalFormatting sqref="D3:D82 D1064:D1132">
    <cfRule type="containsText" dxfId="8" priority="14" operator="containsText" text="1.4">
      <formula>NOT(ISERROR(SEARCH(("1.4"),(D3))))</formula>
    </cfRule>
  </conditionalFormatting>
  <conditionalFormatting sqref="D3:D101 D1064:D1132">
    <cfRule type="containsText" dxfId="9" priority="15" operator="containsText" text="1.8">
      <formula>NOT(ISERROR(SEARCH(("1.8"),(D3))))</formula>
    </cfRule>
  </conditionalFormatting>
  <conditionalFormatting sqref="G3:G102 G1064:G1132">
    <cfRule type="cellIs" dxfId="10" priority="16" operator="equal">
      <formula>"MF"</formula>
    </cfRule>
  </conditionalFormatting>
  <conditionalFormatting sqref="I3:I102 I1064:I1132">
    <cfRule type="cellIs" dxfId="11" priority="17" operator="between">
      <formula>0.24</formula>
      <formula>0.45</formula>
    </cfRule>
  </conditionalFormatting>
  <conditionalFormatting sqref="I3:I102 I1064:I1132">
    <cfRule type="cellIs" dxfId="12" priority="18" operator="between">
      <formula>0.45</formula>
      <formula>0.99</formula>
    </cfRule>
  </conditionalFormatting>
  <conditionalFormatting sqref="I3:I102 I1064:I1132">
    <cfRule type="cellIs" dxfId="13" priority="19" operator="greaterThan">
      <formula>0.99</formula>
    </cfRule>
  </conditionalFormatting>
  <conditionalFormatting sqref="D3:D82">
    <cfRule type="containsText" dxfId="8" priority="20" operator="containsText" text="1.4">
      <formula>NOT(ISERROR(SEARCH(("1.4"),(D3))))</formula>
    </cfRule>
  </conditionalFormatting>
  <conditionalFormatting sqref="D3:D101">
    <cfRule type="containsText" dxfId="9" priority="21" operator="containsText" text="1.8">
      <formula>NOT(ISERROR(SEARCH(("1.8"),(D3))))</formula>
    </cfRule>
  </conditionalFormatting>
  <conditionalFormatting sqref="D3:D82">
    <cfRule type="containsText" dxfId="8" priority="22" operator="containsText" text="1.4">
      <formula>NOT(ISERROR(SEARCH(("1.4"),(D3))))</formula>
    </cfRule>
  </conditionalFormatting>
  <conditionalFormatting sqref="D3:D101">
    <cfRule type="containsText" dxfId="9" priority="23" operator="containsText" text="1.8">
      <formula>NOT(ISERROR(SEARCH(("1.8"),(D3))))</formula>
    </cfRule>
  </conditionalFormatting>
  <conditionalFormatting sqref="D3:D82">
    <cfRule type="containsText" dxfId="8" priority="24" operator="containsText" text="1.4">
      <formula>NOT(ISERROR(SEARCH(("1.4"),(D3))))</formula>
    </cfRule>
  </conditionalFormatting>
  <conditionalFormatting sqref="D3:D101">
    <cfRule type="containsText" dxfId="9" priority="25" operator="containsText" text="1.8">
      <formula>NOT(ISERROR(SEARCH(("1.8"),(D3))))</formula>
    </cfRule>
  </conditionalFormatting>
  <conditionalFormatting sqref="D3:D82">
    <cfRule type="containsText" dxfId="8" priority="26" operator="containsText" text="1.4">
      <formula>NOT(ISERROR(SEARCH(("1.4"),(D3))))</formula>
    </cfRule>
  </conditionalFormatting>
  <conditionalFormatting sqref="D3:D101">
    <cfRule type="containsText" dxfId="9" priority="27" operator="containsText" text="1.8">
      <formula>NOT(ISERROR(SEARCH(("1.8"),(D3))))</formula>
    </cfRule>
  </conditionalFormatting>
  <conditionalFormatting sqref="D3:D82">
    <cfRule type="containsText" dxfId="8" priority="28" operator="containsText" text="1.4">
      <formula>NOT(ISERROR(SEARCH(("1.4"),(D3))))</formula>
    </cfRule>
  </conditionalFormatting>
  <conditionalFormatting sqref="D3:D101">
    <cfRule type="containsText" dxfId="9" priority="29" operator="containsText" text="1.8">
      <formula>NOT(ISERROR(SEARCH(("1.8"),(D3))))</formula>
    </cfRule>
  </conditionalFormatting>
  <conditionalFormatting sqref="D3:D82">
    <cfRule type="containsText" dxfId="8" priority="30" operator="containsText" text="1.4">
      <formula>NOT(ISERROR(SEARCH(("1.4"),(D3))))</formula>
    </cfRule>
  </conditionalFormatting>
  <conditionalFormatting sqref="D3:D101">
    <cfRule type="containsText" dxfId="9" priority="31" operator="containsText" text="1.8">
      <formula>NOT(ISERROR(SEARCH(("1.8"),(D3))))</formula>
    </cfRule>
  </conditionalFormatting>
  <conditionalFormatting sqref="D3:D82">
    <cfRule type="containsText" dxfId="8" priority="32" operator="containsText" text="1.4">
      <formula>NOT(ISERROR(SEARCH(("1.4"),(D3))))</formula>
    </cfRule>
  </conditionalFormatting>
  <conditionalFormatting sqref="D3:D101">
    <cfRule type="containsText" dxfId="9" priority="33" operator="containsText" text="1.8">
      <formula>NOT(ISERROR(SEARCH(("1.8"),(D3))))</formula>
    </cfRule>
  </conditionalFormatting>
  <conditionalFormatting sqref="D3:D82">
    <cfRule type="containsText" dxfId="8" priority="34" operator="containsText" text="1.4">
      <formula>NOT(ISERROR(SEARCH(("1.4"),(D3))))</formula>
    </cfRule>
  </conditionalFormatting>
  <conditionalFormatting sqref="D3:D101">
    <cfRule type="containsText" dxfId="9" priority="35" operator="containsText" text="1.8">
      <formula>NOT(ISERROR(SEARCH(("1.8"),(D3))))</formula>
    </cfRule>
  </conditionalFormatting>
  <conditionalFormatting sqref="D3:D82">
    <cfRule type="containsText" dxfId="8" priority="36" operator="containsText" text="1.4">
      <formula>NOT(ISERROR(SEARCH(("1.4"),(D3))))</formula>
    </cfRule>
  </conditionalFormatting>
  <conditionalFormatting sqref="D3:D101">
    <cfRule type="containsText" dxfId="9" priority="37" operator="containsText" text="1.8">
      <formula>NOT(ISERROR(SEARCH(("1.8"),(D3))))</formula>
    </cfRule>
  </conditionalFormatting>
  <conditionalFormatting sqref="D3:D82">
    <cfRule type="containsText" dxfId="8" priority="38" operator="containsText" text="1.4">
      <formula>NOT(ISERROR(SEARCH(("1.4"),(D3))))</formula>
    </cfRule>
  </conditionalFormatting>
  <conditionalFormatting sqref="D3:D101">
    <cfRule type="containsText" dxfId="9" priority="39" operator="containsText" text="1.8">
      <formula>NOT(ISERROR(SEARCH(("1.8"),(D3))))</formula>
    </cfRule>
  </conditionalFormatting>
  <conditionalFormatting sqref="D3:D82">
    <cfRule type="containsText" dxfId="8" priority="40" operator="containsText" text="1.4">
      <formula>NOT(ISERROR(SEARCH(("1.4"),(D3))))</formula>
    </cfRule>
  </conditionalFormatting>
  <conditionalFormatting sqref="D3:D101">
    <cfRule type="containsText" dxfId="9" priority="41" operator="containsText" text="1.8">
      <formula>NOT(ISERROR(SEARCH(("1.8"),(D3))))</formula>
    </cfRule>
  </conditionalFormatting>
  <conditionalFormatting sqref="D3:D82">
    <cfRule type="containsText" dxfId="8" priority="42" operator="containsText" text="1.4">
      <formula>NOT(ISERROR(SEARCH(("1.4"),(D3))))</formula>
    </cfRule>
  </conditionalFormatting>
  <conditionalFormatting sqref="D3:D101">
    <cfRule type="containsText" dxfId="9" priority="43" operator="containsText" text="1.8">
      <formula>NOT(ISERROR(SEARCH(("1.8"),(D3))))</formula>
    </cfRule>
  </conditionalFormatting>
  <conditionalFormatting sqref="D3:D82">
    <cfRule type="containsText" dxfId="8" priority="44" operator="containsText" text="1.4">
      <formula>NOT(ISERROR(SEARCH(("1.4"),(D3))))</formula>
    </cfRule>
  </conditionalFormatting>
  <conditionalFormatting sqref="D3:D101">
    <cfRule type="containsText" dxfId="9" priority="45" operator="containsText" text="1.8">
      <formula>NOT(ISERROR(SEARCH(("1.8"),(D3))))</formula>
    </cfRule>
  </conditionalFormatting>
  <conditionalFormatting sqref="A3:A100">
    <cfRule type="expression" dxfId="10" priority="46">
      <formula>(today()-T3)&lt;0</formula>
    </cfRule>
  </conditionalFormatting>
  <conditionalFormatting sqref="A3:A100">
    <cfRule type="expression" dxfId="7" priority="47">
      <formula>(today()-T3)&lt;180</formula>
    </cfRule>
  </conditionalFormatting>
  <conditionalFormatting sqref="G3:G102">
    <cfRule type="cellIs" dxfId="10" priority="48" operator="equal">
      <formula>"MF"</formula>
    </cfRule>
  </conditionalFormatting>
  <conditionalFormatting sqref="I3:I102">
    <cfRule type="cellIs" dxfId="11" priority="49" operator="between">
      <formula>0.24</formula>
      <formula>0.45</formula>
    </cfRule>
  </conditionalFormatting>
  <conditionalFormatting sqref="I3:I102">
    <cfRule type="cellIs" dxfId="12" priority="50" operator="between">
      <formula>0.45</formula>
      <formula>0.99</formula>
    </cfRule>
  </conditionalFormatting>
  <conditionalFormatting sqref="I3:I102">
    <cfRule type="cellIs" dxfId="13" priority="51" operator="greaterThan">
      <formula>0.99</formula>
    </cfRule>
  </conditionalFormatting>
  <dataValidations>
    <dataValidation type="list" allowBlank="1" sqref="N3 S4 N5 S6:S8 N9 S10:S15 N16:N17 S18 N19:N21 S22:S29 N30 S31:S38 N39 S40:S41 N42 S43:S44 N45 S46:S49 N50 S51:S54 N55 S56:S57 N58 S59:S67 N68 S69 N70 S71:S75 N76 S77:S82 N1064:N1132">
      <formula1>"Sony,Voigtlander,Zeiss,Sigma,Samyang,Viltrox,Tokina,Tamron"</formula1>
    </dataValidation>
  </dataValidations>
  <hyperlinks>
    <hyperlink r:id="rId1" ref="K1"/>
    <hyperlink r:id="rId2" ref="M1"/>
    <hyperlink r:id="rId3" ref="N1"/>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7.43"/>
  </cols>
  <sheetData>
    <row r="1" ht="76.5" customHeight="1">
      <c r="A1" s="1" t="s">
        <v>0</v>
      </c>
      <c r="B1" s="2" t="s">
        <v>1</v>
      </c>
      <c r="C1" s="3" t="s">
        <v>2</v>
      </c>
      <c r="D1" s="4" t="s">
        <v>3</v>
      </c>
      <c r="E1" s="5" t="s">
        <v>4</v>
      </c>
      <c r="F1" s="6" t="s">
        <v>5</v>
      </c>
      <c r="G1" s="7" t="s">
        <v>6</v>
      </c>
      <c r="H1" s="8" t="s">
        <v>7</v>
      </c>
      <c r="I1" s="3" t="s">
        <v>8</v>
      </c>
      <c r="J1" s="11" t="s">
        <v>15</v>
      </c>
      <c r="K1" s="13" t="s">
        <v>17</v>
      </c>
      <c r="L1" s="14" t="s">
        <v>18</v>
      </c>
      <c r="M1" s="13" t="s">
        <v>19</v>
      </c>
      <c r="N1" s="15" t="s">
        <v>20</v>
      </c>
      <c r="O1" s="3" t="s">
        <v>9</v>
      </c>
      <c r="P1" s="5" t="s">
        <v>10</v>
      </c>
      <c r="Q1" s="3" t="s">
        <v>11</v>
      </c>
      <c r="R1" s="3" t="s">
        <v>12</v>
      </c>
      <c r="S1" s="3" t="s">
        <v>13</v>
      </c>
      <c r="T1" s="3" t="s">
        <v>14</v>
      </c>
      <c r="U1" s="16" t="s">
        <v>21</v>
      </c>
    </row>
    <row r="2" ht="18.0" hidden="1" customHeight="1">
      <c r="A2" s="17" t="s">
        <v>166</v>
      </c>
      <c r="B2" s="18"/>
      <c r="C2" s="18"/>
      <c r="D2" s="18"/>
      <c r="E2" s="18"/>
      <c r="F2" s="18"/>
      <c r="G2" s="19"/>
      <c r="H2" s="20"/>
      <c r="I2" s="18"/>
      <c r="J2" s="18"/>
      <c r="K2" s="18"/>
      <c r="L2" s="18"/>
      <c r="M2" s="18"/>
      <c r="N2" s="18"/>
      <c r="O2" s="18"/>
      <c r="P2" s="19"/>
      <c r="Q2" s="18"/>
      <c r="R2" s="19"/>
      <c r="S2" s="21"/>
      <c r="T2" s="19"/>
    </row>
    <row r="3" hidden="1">
      <c r="A3" s="131" t="str">
        <f>HYPERLINK("https://phillipreeve.net/blog/review-voigtlander-10mm-5-6-e-hyper-wide-heliar/","Voigtlander 10mm F5.6 Hyper Wide ")</f>
        <v>Voigtlander 10mm F5.6 Hyper Wide </v>
      </c>
      <c r="B3" s="76">
        <v>375.0</v>
      </c>
      <c r="C3" s="77">
        <v>10.0</v>
      </c>
      <c r="D3" s="78">
        <v>5.6</v>
      </c>
      <c r="E3" s="388">
        <v>67.0</v>
      </c>
      <c r="F3" s="389" t="s">
        <v>23</v>
      </c>
      <c r="G3" s="390" t="s">
        <v>24</v>
      </c>
      <c r="H3" s="82" t="s">
        <v>25</v>
      </c>
      <c r="I3" s="81">
        <v>0.067</v>
      </c>
      <c r="J3" s="87">
        <v>1099.0</v>
      </c>
      <c r="K3" s="88" t="str">
        <f>HYPERLINK("https://amzn.to/2jJ8WxH","link*")</f>
        <v>link*</v>
      </c>
      <c r="L3" s="88" t="str">
        <f>HYPERLINK("https://www.bhphotovideo.com/c/product/1219550-REG/voigtlander_ba334b_heliar_hyper_wide_10mm_f_5_6.html/BI/19619/KBID/12129/DFF/d10-v21-t1-x732282/SID/EZ","link*")</f>
        <v>link*</v>
      </c>
      <c r="M3" s="88" t="str">
        <f>HYPERLINK("https://amzn.to/2jG72hr","link*")</f>
        <v>link*</v>
      </c>
      <c r="N3" s="88"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3" s="83">
        <v>30.0</v>
      </c>
      <c r="P3" s="84" t="s">
        <v>26</v>
      </c>
      <c r="Q3" s="81">
        <v>10.0</v>
      </c>
      <c r="R3" s="378" t="s">
        <v>27</v>
      </c>
      <c r="S3" s="81" t="s">
        <v>28</v>
      </c>
      <c r="T3" s="86">
        <v>42552.0</v>
      </c>
      <c r="U3" s="68" t="s">
        <v>225</v>
      </c>
    </row>
    <row r="4">
      <c r="A4" s="75" t="s">
        <v>29</v>
      </c>
      <c r="B4" s="76">
        <v>565.0</v>
      </c>
      <c r="C4" s="77">
        <v>12.0</v>
      </c>
      <c r="D4" s="78">
        <v>4.0</v>
      </c>
      <c r="E4" s="79">
        <v>87.0</v>
      </c>
      <c r="F4" s="122">
        <v>117.0</v>
      </c>
      <c r="G4" s="84" t="s">
        <v>30</v>
      </c>
      <c r="H4" s="82" t="s">
        <v>25</v>
      </c>
      <c r="I4" s="81">
        <v>0.14</v>
      </c>
      <c r="J4" s="87">
        <v>1699.0</v>
      </c>
      <c r="K4" s="88" t="str">
        <f>HYPERLINK("https://amzn.to/2SSzKc4","link*")</f>
        <v>link*</v>
      </c>
      <c r="L4" s="88" t="str">
        <f>HYPERLINK("https://www.bhphotovideo.com/c/product/1338517-REG/sony_sel1224g_fe_12_24mm_f_4_g.html/BI/19619/KBID/12129/DFF/d10-v21-t1-x822838/SID/EZ","link*")</f>
        <v>link*</v>
      </c>
      <c r="M4" s="88" t="str">
        <f>HYPERLINK("https://amzn.to/2Kg94zb","link*")</f>
        <v>link*</v>
      </c>
      <c r="N4"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4" s="83">
        <v>24.0</v>
      </c>
      <c r="P4" s="84" t="s">
        <v>26</v>
      </c>
      <c r="Q4" s="81">
        <v>7.0</v>
      </c>
      <c r="R4" s="378" t="s">
        <v>31</v>
      </c>
      <c r="S4" s="81" t="s">
        <v>32</v>
      </c>
      <c r="T4" s="86">
        <v>42856.0</v>
      </c>
    </row>
    <row r="5" hidden="1">
      <c r="A5" s="131" t="str">
        <f>HYPERLINK("https://phillipreeve.net/blog/review-voigtlander-12mm-5-6-aspherical-ultra-wide-heliar/","Voigtlander 12mm F5.6 Ultra Wide-Heliar Aspherical")</f>
        <v>Voigtlander 12mm F5.6 Ultra Wide-Heliar Aspherical</v>
      </c>
      <c r="B5" s="76">
        <v>350.0</v>
      </c>
      <c r="C5" s="77">
        <v>12.0</v>
      </c>
      <c r="D5" s="78">
        <v>5.6</v>
      </c>
      <c r="E5" s="391">
        <v>67.0</v>
      </c>
      <c r="F5" s="389">
        <v>68.0</v>
      </c>
      <c r="G5" s="84" t="s">
        <v>24</v>
      </c>
      <c r="H5" s="82" t="s">
        <v>25</v>
      </c>
      <c r="I5" s="81"/>
      <c r="J5" s="87">
        <v>749.0</v>
      </c>
      <c r="K5" s="89"/>
      <c r="L5" s="89"/>
      <c r="M5" s="89"/>
      <c r="N5" s="88"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5" s="83">
        <v>30.0</v>
      </c>
      <c r="P5" s="84" t="s">
        <v>26</v>
      </c>
      <c r="Q5" s="81">
        <v>10.0</v>
      </c>
      <c r="R5" s="378" t="s">
        <v>38</v>
      </c>
      <c r="S5" s="81" t="s">
        <v>28</v>
      </c>
      <c r="T5" s="86">
        <v>42583.0</v>
      </c>
      <c r="U5" s="68" t="s">
        <v>39</v>
      </c>
    </row>
    <row r="6">
      <c r="A6" s="75" t="s">
        <v>40</v>
      </c>
      <c r="B6" s="76">
        <v>1170.0</v>
      </c>
      <c r="C6" s="77">
        <v>14.0</v>
      </c>
      <c r="D6" s="121">
        <v>1.8</v>
      </c>
      <c r="E6" s="343">
        <v>95.0</v>
      </c>
      <c r="F6" s="80">
        <v>126.0</v>
      </c>
      <c r="G6" s="81" t="s">
        <v>30</v>
      </c>
      <c r="H6" s="82" t="s">
        <v>25</v>
      </c>
      <c r="I6" s="81">
        <v>0.1</v>
      </c>
      <c r="J6" s="87">
        <v>1599.0</v>
      </c>
      <c r="K6" s="88" t="str">
        <f>HYPERLINK("https://amzn.to/2SOWTvV","link*")</f>
        <v>link*</v>
      </c>
      <c r="L6" s="88" t="str">
        <f>HYPERLINK("https://www.bhphotovideo.com/c/product/1393489-REG/sigma_14mm_f_1_8_dg_hsm.html/BI/19619/KBID/12129/DFF/d10-v21-t1-x881154/SID/EZ","link*")</f>
        <v>link*</v>
      </c>
      <c r="M6" s="88" t="str">
        <f>HYPERLINK("https://amzn.to/2ZDl4QJ","link*")</f>
        <v>link*</v>
      </c>
      <c r="N6" s="88"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6" s="83">
        <v>27.0</v>
      </c>
      <c r="P6" s="84" t="s">
        <v>26</v>
      </c>
      <c r="Q6" s="81">
        <v>9.0</v>
      </c>
      <c r="R6" s="123">
        <v>43785.0</v>
      </c>
      <c r="S6" s="81" t="s">
        <v>41</v>
      </c>
      <c r="T6" s="86">
        <v>43221.0</v>
      </c>
      <c r="U6" s="68" t="s">
        <v>42</v>
      </c>
    </row>
    <row r="7">
      <c r="A7" s="75" t="s">
        <v>43</v>
      </c>
      <c r="B7" s="76">
        <v>795.0</v>
      </c>
      <c r="C7" s="77">
        <v>14.0</v>
      </c>
      <c r="D7" s="78">
        <v>2.8</v>
      </c>
      <c r="E7" s="79">
        <v>85.0</v>
      </c>
      <c r="F7" s="80">
        <v>131.0</v>
      </c>
      <c r="G7" s="81" t="s">
        <v>30</v>
      </c>
      <c r="H7" s="82" t="s">
        <v>25</v>
      </c>
      <c r="I7" s="81">
        <v>0.14</v>
      </c>
      <c r="J7" s="87">
        <v>1399.0</v>
      </c>
      <c r="K7" s="88" t="str">
        <f>HYPERLINK("https://amzn.to/2zt8rMC","link*")</f>
        <v>link*</v>
      </c>
      <c r="L7" s="88" t="str">
        <f>HYPERLINK("https://www.bhphotovideo.com/c/product/1492972-REG/sigma_213965_14_24mm_f_2_8_dg_dn.html/BI/19619/KBID/12129/DFF/d10-v21-t1-x976041/SID/EZ","link*")</f>
        <v>link*</v>
      </c>
      <c r="M7" s="89" t="s">
        <v>33</v>
      </c>
      <c r="N7"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7" s="83">
        <v>28.0</v>
      </c>
      <c r="P7" s="84" t="s">
        <v>26</v>
      </c>
      <c r="Q7" s="81">
        <v>11.0</v>
      </c>
      <c r="R7" s="85" t="s">
        <v>44</v>
      </c>
      <c r="S7" s="81" t="s">
        <v>41</v>
      </c>
      <c r="T7" s="86">
        <v>43739.0</v>
      </c>
      <c r="U7" s="68" t="s">
        <v>37</v>
      </c>
    </row>
    <row r="8">
      <c r="A8" s="75" t="s">
        <v>45</v>
      </c>
      <c r="B8" s="76">
        <v>505.0</v>
      </c>
      <c r="C8" s="77">
        <v>14.0</v>
      </c>
      <c r="D8" s="78">
        <v>2.8</v>
      </c>
      <c r="E8" s="79">
        <v>86.0</v>
      </c>
      <c r="F8" s="122">
        <v>98.0</v>
      </c>
      <c r="G8" s="81" t="s">
        <v>30</v>
      </c>
      <c r="H8" s="82" t="s">
        <v>25</v>
      </c>
      <c r="I8" s="81">
        <v>0.12</v>
      </c>
      <c r="J8" s="87">
        <v>799.0</v>
      </c>
      <c r="K8" s="88" t="str">
        <f>HYPERLINK("https://amzn.to/2SX2HUi","link*")</f>
        <v>link*</v>
      </c>
      <c r="L8" s="88" t="str">
        <f>HYPERLINK("https://www.bhphotovideo.com/c/product/1352863-REG/samyang_syio14af_e_14mm_f_2_8_f_f_wide.html/BI/19619/KBID/12129/DFF/d10-v21-t1-x837928/SID/EZ","link*")</f>
        <v>link*</v>
      </c>
      <c r="M8" s="88" t="str">
        <f>HYPERLINK("https://amzn.to/31hwSIL","link*")</f>
        <v>link*</v>
      </c>
      <c r="N8"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8" s="83">
        <v>20.0</v>
      </c>
      <c r="P8" s="84" t="s">
        <v>26</v>
      </c>
      <c r="Q8" s="81">
        <v>7.0</v>
      </c>
      <c r="R8" s="123">
        <v>43752.0</v>
      </c>
      <c r="S8" s="81" t="s">
        <v>46</v>
      </c>
      <c r="T8" s="86">
        <v>43221.0</v>
      </c>
    </row>
    <row r="9" hidden="1">
      <c r="A9" s="131" t="str">
        <f>HYPERLINK("https://phillipreeve.net/blog/review-voigtlander-15mm-4-5-e-super-wide-heliar/","Voigtlander 15mm F4.5 Super Wide Heliar")</f>
        <v>Voigtlander 15mm F4.5 Super Wide Heliar</v>
      </c>
      <c r="B9" s="76">
        <v>298.0</v>
      </c>
      <c r="C9" s="77">
        <v>15.0</v>
      </c>
      <c r="D9" s="78">
        <v>4.5</v>
      </c>
      <c r="E9" s="391">
        <v>67.0</v>
      </c>
      <c r="F9" s="389">
        <v>62.0</v>
      </c>
      <c r="G9" s="84" t="s">
        <v>24</v>
      </c>
      <c r="H9" s="82" t="s">
        <v>47</v>
      </c>
      <c r="I9" s="81">
        <v>0.083</v>
      </c>
      <c r="J9" s="87">
        <v>799.0</v>
      </c>
      <c r="K9" s="88" t="str">
        <f>HYPERLINK("https://amzn.to/2YwplrQ","link*")</f>
        <v>link*</v>
      </c>
      <c r="L9" s="88" t="str">
        <f>HYPERLINK("https://www.bhphotovideo.com/c/product/1219549-REG/voigtlander_ba329b_super_wide_heliar_15mm_f_4_5.html/BI/19619/KBID/12129/DFF/d10-v21-t1-x618202/SID/EZ","link*")</f>
        <v>link*</v>
      </c>
      <c r="M9" s="88" t="str">
        <f>HYPERLINK("https://amzn.to/2ZpTKt5","link*")</f>
        <v>link*</v>
      </c>
      <c r="N9"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9" s="83">
        <v>30.0</v>
      </c>
      <c r="P9" s="84" t="s">
        <v>26</v>
      </c>
      <c r="Q9" s="81">
        <v>10.0</v>
      </c>
      <c r="R9" s="128" t="s">
        <v>38</v>
      </c>
      <c r="S9" s="81" t="s">
        <v>28</v>
      </c>
      <c r="T9" s="86">
        <v>42401.0</v>
      </c>
    </row>
    <row r="10">
      <c r="A10" s="131" t="str">
        <f>HYPERLINK("https://phillipreeve.net/blog/sony-fe-16-35mm-f4-za-t-review/","Sony ZA 4/16-35 OSS ")</f>
        <v>Sony ZA 4/16-35 OSS </v>
      </c>
      <c r="B10" s="76">
        <v>523.0</v>
      </c>
      <c r="C10" s="77">
        <v>16.0</v>
      </c>
      <c r="D10" s="78">
        <v>4.0</v>
      </c>
      <c r="E10" s="79">
        <v>78.0</v>
      </c>
      <c r="F10" s="122">
        <v>98.0</v>
      </c>
      <c r="G10" s="84" t="s">
        <v>30</v>
      </c>
      <c r="H10" s="82" t="s">
        <v>48</v>
      </c>
      <c r="I10" s="81">
        <v>0.19</v>
      </c>
      <c r="J10" s="87">
        <v>1349.0</v>
      </c>
      <c r="K10" s="88" t="str">
        <f>HYPERLINK("http://amzn.to/2v2sY7q","link*")</f>
        <v>link*</v>
      </c>
      <c r="L10" s="88" t="str">
        <f>HYPERLINK("https://www.bhphotovideo.com/c/product/1380866-REG/sony_16_35mm_f_4_vario_tsr.html/BI/19619/KBID/12129/kw/SO16354F/DFF/d10-v2-t1-xSO16354F","link*")</f>
        <v>link*</v>
      </c>
      <c r="M10" s="88" t="str">
        <f>HYPERLINK("http://amzn.to/2wyMLuP","link*")</f>
        <v>link*</v>
      </c>
      <c r="N10"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10" s="83">
        <v>28.0</v>
      </c>
      <c r="P10" s="154" t="s">
        <v>49</v>
      </c>
      <c r="Q10" s="81">
        <v>7.0</v>
      </c>
      <c r="R10" s="128" t="s">
        <v>38</v>
      </c>
      <c r="S10" s="81" t="s">
        <v>32</v>
      </c>
      <c r="T10" s="86">
        <v>41883.0</v>
      </c>
    </row>
    <row r="11">
      <c r="A11" s="75" t="s">
        <v>50</v>
      </c>
      <c r="B11" s="76">
        <v>680.0</v>
      </c>
      <c r="C11" s="77">
        <v>16.0</v>
      </c>
      <c r="D11" s="78">
        <v>2.8</v>
      </c>
      <c r="E11" s="79">
        <v>89.0</v>
      </c>
      <c r="F11" s="122">
        <v>122.0</v>
      </c>
      <c r="G11" s="84" t="s">
        <v>30</v>
      </c>
      <c r="H11" s="82" t="s">
        <v>51</v>
      </c>
      <c r="I11" s="81">
        <v>0.19</v>
      </c>
      <c r="J11" s="87">
        <v>2199.0</v>
      </c>
      <c r="K11" s="88" t="str">
        <f>HYPERLINK("https://amzn.to/2SR0IRl","link*")</f>
        <v>link*</v>
      </c>
      <c r="L11" s="88" t="str">
        <f>HYPERLINK("https://www.bhphotovideo.com/c/product/1338516-REG/sony_sel1635gm_fe_16_35mm_f_2_8_gm.html/BI/19619/KBID/12129/DFF/d10-v21-t1-x822837/SID/EZ","link*")</f>
        <v>link*</v>
      </c>
      <c r="M11" s="88" t="str">
        <f>HYPERLINK("https://amzn.to/2T1ZxOU","link*")</f>
        <v>link*</v>
      </c>
      <c r="N11"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11" s="83">
        <v>28.0</v>
      </c>
      <c r="P11" s="84" t="s">
        <v>26</v>
      </c>
      <c r="Q11" s="81">
        <v>11.0</v>
      </c>
      <c r="R11" s="128" t="s">
        <v>52</v>
      </c>
      <c r="S11" s="81" t="s">
        <v>32</v>
      </c>
      <c r="T11" s="86">
        <v>42856.0</v>
      </c>
    </row>
    <row r="12">
      <c r="A12" s="131" t="str">
        <f>HYPERLINK("https://phillipreeve.net/blog/review-tamron-17-28mm-f-2-8-di-iii-rxd/","Tamron 17-28mm f/2.8 Di III RXD")</f>
        <v>Tamron 17-28mm f/2.8 Di III RXD</v>
      </c>
      <c r="B12" s="76">
        <v>420.0</v>
      </c>
      <c r="C12" s="77">
        <v>17.0</v>
      </c>
      <c r="D12" s="78">
        <v>2.8</v>
      </c>
      <c r="E12" s="379">
        <v>73.0</v>
      </c>
      <c r="F12" s="122">
        <v>99.0</v>
      </c>
      <c r="G12" s="84" t="s">
        <v>30</v>
      </c>
      <c r="H12" s="82" t="s">
        <v>53</v>
      </c>
      <c r="I12" s="81">
        <v>0.19</v>
      </c>
      <c r="J12" s="153">
        <v>899.0</v>
      </c>
      <c r="K12" s="88" t="str">
        <f>HYPERLINK("https://amzn.to/2Hv3AyB","link*")</f>
        <v>link*</v>
      </c>
      <c r="L12" s="88" t="str">
        <f>HYPERLINK("https://www.bhphotovideo.com/c/product/1461529-REG/tamron_a046_17_28mm_f_2_8_di_iii.html/BI/19619/KBID/12129/DFF/d10-v21-t1-x946694/SID/EZ","link*")</f>
        <v>link*</v>
      </c>
      <c r="M12" s="88" t="str">
        <f>HYPERLINK("https://amzn.to/2YkrkQB","link*")</f>
        <v>link*</v>
      </c>
      <c r="N12"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12" s="83">
        <v>19.0</v>
      </c>
      <c r="P12" s="84" t="s">
        <v>26</v>
      </c>
      <c r="Q12" s="81">
        <v>9.0</v>
      </c>
      <c r="R12" s="128" t="s">
        <v>54</v>
      </c>
      <c r="S12" s="81" t="s">
        <v>55</v>
      </c>
      <c r="T12" s="86">
        <v>43647.0</v>
      </c>
      <c r="V12" s="116"/>
    </row>
    <row r="13">
      <c r="A13" s="131" t="str">
        <f>HYPERLINK("https://phillipreeve.net/blog/review-zeiss-batis-18mm-2-8/","Zeiss Batis 2.8/18")</f>
        <v>Zeiss Batis 2.8/18</v>
      </c>
      <c r="B13" s="76">
        <v>330.0</v>
      </c>
      <c r="C13" s="77">
        <v>18.0</v>
      </c>
      <c r="D13" s="78">
        <v>2.8</v>
      </c>
      <c r="E13" s="79">
        <v>100.0</v>
      </c>
      <c r="F13" s="122">
        <v>80.0</v>
      </c>
      <c r="G13" s="84" t="s">
        <v>30</v>
      </c>
      <c r="H13" s="82" t="s">
        <v>56</v>
      </c>
      <c r="I13" s="81">
        <v>0.1</v>
      </c>
      <c r="J13" s="87">
        <v>1499.0</v>
      </c>
      <c r="K13" s="88" t="str">
        <f>HYPERLINK("https://amzn.to/2SRFBhL","link*")</f>
        <v>link*</v>
      </c>
      <c r="L13" s="88" t="str">
        <f>HYPERLINK("https://www.bhphotovideo.com/c/product/1243591-REG/zeiss_2136_691_batis_18mm_f_2_8_lens.html/BI/19619/KBID/12129/DFF/d10-v21-t1-x727488/SID/EZ","link*")</f>
        <v>link*</v>
      </c>
      <c r="M13" s="88" t="str">
        <f>HYPERLINK("https://amzn.to/334PqNT","link*")</f>
        <v>link*</v>
      </c>
      <c r="N13"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13" s="83">
        <v>25.0</v>
      </c>
      <c r="P13" s="84" t="s">
        <v>26</v>
      </c>
      <c r="Q13" s="81">
        <v>9.0</v>
      </c>
      <c r="R13" s="128" t="s">
        <v>57</v>
      </c>
      <c r="S13" s="81" t="s">
        <v>58</v>
      </c>
      <c r="T13" s="86">
        <v>42491.0</v>
      </c>
    </row>
    <row r="14">
      <c r="A14" s="124" t="s">
        <v>59</v>
      </c>
      <c r="B14" s="76">
        <v>145.0</v>
      </c>
      <c r="C14" s="77">
        <v>18.0</v>
      </c>
      <c r="D14" s="78">
        <v>2.8</v>
      </c>
      <c r="E14" s="79">
        <v>63.5</v>
      </c>
      <c r="F14" s="122">
        <v>60.5</v>
      </c>
      <c r="G14" s="84" t="s">
        <v>30</v>
      </c>
      <c r="H14" s="82" t="s">
        <v>47</v>
      </c>
      <c r="I14" s="81">
        <v>0.09</v>
      </c>
      <c r="J14" s="87">
        <v>399.0</v>
      </c>
      <c r="K14" s="130"/>
      <c r="L14" s="88" t="str">
        <f>HYPERLINK("https://www.bhphotovideo.com/c/product/1503295-REG/samyang_syio18af_e_af_18mm_f_2_8_fe.html/BI/19619/KBID/12129/DFF/d10-v21-t1-x985623/SID/EZ","link*")</f>
        <v>link*</v>
      </c>
      <c r="M14" s="130"/>
      <c r="N14" s="130"/>
      <c r="O14" s="83">
        <v>25.0</v>
      </c>
      <c r="P14" s="84" t="s">
        <v>26</v>
      </c>
      <c r="Q14" s="81">
        <v>7.0</v>
      </c>
      <c r="R14" s="128" t="s">
        <v>60</v>
      </c>
      <c r="S14" s="81" t="s">
        <v>46</v>
      </c>
      <c r="T14" s="86">
        <v>43723.0</v>
      </c>
    </row>
    <row r="15" customHeight="1">
      <c r="A15" s="75" t="s">
        <v>61</v>
      </c>
      <c r="B15" s="76">
        <v>950.0</v>
      </c>
      <c r="C15" s="77">
        <v>20.0</v>
      </c>
      <c r="D15" s="380">
        <v>1.4</v>
      </c>
      <c r="E15" s="79">
        <v>91.0</v>
      </c>
      <c r="F15" s="122">
        <v>130.0</v>
      </c>
      <c r="G15" s="81" t="s">
        <v>30</v>
      </c>
      <c r="H15" s="82" t="s">
        <v>25</v>
      </c>
      <c r="I15" s="81">
        <v>0.14</v>
      </c>
      <c r="J15" s="87">
        <v>899.0</v>
      </c>
      <c r="K15" s="88" t="str">
        <f>HYPERLINK("https://amzn.to/2K4J7nh","link*")</f>
        <v>link*</v>
      </c>
      <c r="L15" s="88" t="str">
        <f>HYPERLINK("https://amzn.to/31hxv55","link*")</f>
        <v>link*</v>
      </c>
      <c r="M15" s="88" t="str">
        <f>HYPERLINK("https://amzn.to/2Wy0d3F","link*")</f>
        <v>link*</v>
      </c>
      <c r="N15" s="88"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15" s="83">
        <v>28.0</v>
      </c>
      <c r="P15" s="84" t="s">
        <v>26</v>
      </c>
      <c r="Q15" s="81">
        <v>9.0</v>
      </c>
      <c r="R15" s="123">
        <v>43784.0</v>
      </c>
      <c r="S15" s="81" t="s">
        <v>41</v>
      </c>
      <c r="T15" s="86">
        <v>43221.0</v>
      </c>
      <c r="U15" s="68" t="s">
        <v>42</v>
      </c>
    </row>
    <row r="16" hidden="1">
      <c r="A16" s="75" t="s">
        <v>62</v>
      </c>
      <c r="B16" s="76">
        <v>775.0</v>
      </c>
      <c r="C16" s="77">
        <v>20.0</v>
      </c>
      <c r="D16" s="121">
        <v>1.8</v>
      </c>
      <c r="E16" s="79">
        <v>77.0</v>
      </c>
      <c r="F16" s="122">
        <v>102.0</v>
      </c>
      <c r="G16" s="81" t="s">
        <v>24</v>
      </c>
      <c r="H16" s="82" t="s">
        <v>51</v>
      </c>
      <c r="I16" s="81">
        <v>0.12</v>
      </c>
      <c r="J16" s="87">
        <v>486.0</v>
      </c>
      <c r="K16" s="88" t="str">
        <f>HYPERLINK("https://amzn.to/2LRRbJ5","link*")</f>
        <v>link*</v>
      </c>
      <c r="L16" s="88" t="str">
        <f>HYPERLINK("https://www.bhphotovideo.com/c/product/1469187-REG/viltrox_pfu_rbmh_20mm_f1_8_asph_e_mount_20mm_f_1_8_for_sony.html/BI/19619/KBID/12129/DFF/d10-v21-t1-x954299/SID/EZ","link*")</f>
        <v>link*</v>
      </c>
      <c r="M16" s="88" t="str">
        <f>HYPERLINK("https://amzn.to/2GL8iYV","link*")</f>
        <v>link*</v>
      </c>
      <c r="N16"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16" s="83">
        <v>25.0</v>
      </c>
      <c r="P16" s="84" t="s">
        <v>26</v>
      </c>
      <c r="Q16" s="81">
        <v>14.0</v>
      </c>
      <c r="R16" s="123">
        <v>43720.0</v>
      </c>
      <c r="S16" s="81" t="s">
        <v>63</v>
      </c>
      <c r="T16" s="86">
        <v>43586.0</v>
      </c>
    </row>
    <row r="17" hidden="1">
      <c r="A17" s="131" t="str">
        <f>HYPERLINK("https://phillipreeve.net/blog/tokina-firin-20mm-f2-fe-review-a-good-deal/","Tokina Firin 2/20")</f>
        <v>Tokina Firin 2/20</v>
      </c>
      <c r="B17" s="76">
        <v>492.0</v>
      </c>
      <c r="C17" s="77">
        <v>20.0</v>
      </c>
      <c r="D17" s="125">
        <v>2.0</v>
      </c>
      <c r="E17" s="132">
        <v>69.0</v>
      </c>
      <c r="F17" s="133">
        <v>82.0</v>
      </c>
      <c r="G17" s="84" t="s">
        <v>24</v>
      </c>
      <c r="H17" s="82" t="s">
        <v>66</v>
      </c>
      <c r="I17" s="81">
        <v>0.1</v>
      </c>
      <c r="J17" s="129">
        <v>799.0</v>
      </c>
      <c r="K17" s="88" t="str">
        <f>HYPERLINK("http://amzn.to/2vlG2Yq","link*")</f>
        <v>link*</v>
      </c>
      <c r="L17" s="88" t="str">
        <f>HYPERLINK("https://www.bhphotovideo.com/c/product/1281299-REG/tokina_firin_20mm_f_2_fe.html/BI/19619/KBID/12129/kw/TO202E/DFF/d10-v2-t1-xTO202E","link*")</f>
        <v>link*</v>
      </c>
      <c r="M17" s="88" t="str">
        <f>HYPERLINK("http://amzn.to/2vvtDkM","link*")</f>
        <v>link*</v>
      </c>
      <c r="N17"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17" s="83">
        <v>30.0</v>
      </c>
      <c r="P17" s="84" t="s">
        <v>26</v>
      </c>
      <c r="Q17" s="81">
        <v>9.0</v>
      </c>
      <c r="R17" s="128" t="s">
        <v>54</v>
      </c>
      <c r="S17" s="81" t="s">
        <v>67</v>
      </c>
      <c r="T17" s="86">
        <v>42856.0</v>
      </c>
    </row>
    <row r="18">
      <c r="A18" s="75" t="s">
        <v>68</v>
      </c>
      <c r="B18" s="76">
        <v>464.0</v>
      </c>
      <c r="C18" s="77">
        <v>20.0</v>
      </c>
      <c r="D18" s="125">
        <v>2.0</v>
      </c>
      <c r="E18" s="381">
        <v>73.0</v>
      </c>
      <c r="F18" s="151">
        <v>82.0</v>
      </c>
      <c r="G18" s="84" t="s">
        <v>30</v>
      </c>
      <c r="H18" s="82" t="s">
        <v>66</v>
      </c>
      <c r="I18" s="81">
        <v>0.1</v>
      </c>
      <c r="J18" s="87">
        <v>949.0</v>
      </c>
      <c r="K18" s="88" t="str">
        <f>HYPERLINK("https://amzn.to/2GDurZb","link*")</f>
        <v>link*</v>
      </c>
      <c r="L18" s="88" t="str">
        <f>HYPERLINK("https://www.bhphotovideo.com/c/product/1393327-REG/tokina_firin_20mm_f_2_fe.html/BI/19619/KBID/12129/DFF/d10-v21-t1-x880327/SID/EZ","link*")</f>
        <v>link*</v>
      </c>
      <c r="M18" s="88" t="str">
        <f>HYPERLINK("https://amzn.to/2GJYCxw","link*")</f>
        <v>link*</v>
      </c>
      <c r="N18"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18" s="83">
        <v>30.0</v>
      </c>
      <c r="P18" s="84" t="s">
        <v>26</v>
      </c>
      <c r="Q18" s="81">
        <v>9.0</v>
      </c>
      <c r="R18" s="128" t="s">
        <v>54</v>
      </c>
      <c r="S18" s="81" t="s">
        <v>67</v>
      </c>
      <c r="T18" s="86">
        <v>43221.0</v>
      </c>
    </row>
    <row r="19" hidden="1">
      <c r="A19" s="131" t="str">
        <f>HYPERLINK("https://phillipreeve.net/blog/review_voigtlander_21mm_f14_e/","Voigtlander 21mm F1.4 Nokton")</f>
        <v>Voigtlander 21mm F1.4 Nokton</v>
      </c>
      <c r="B19" s="76">
        <v>540.0</v>
      </c>
      <c r="C19" s="77">
        <v>21.0</v>
      </c>
      <c r="D19" s="149">
        <v>1.4</v>
      </c>
      <c r="E19" s="144">
        <v>70.0</v>
      </c>
      <c r="F19" s="145">
        <v>80.0</v>
      </c>
      <c r="G19" s="84" t="s">
        <v>24</v>
      </c>
      <c r="H19" s="82" t="s">
        <v>66</v>
      </c>
      <c r="I19" s="81"/>
      <c r="J19" s="87">
        <v>1199.0</v>
      </c>
      <c r="K19" s="88" t="str">
        <f>HYPERLINK("https://amzn.to/2K7gHrC","link*")</f>
        <v>link*</v>
      </c>
      <c r="L19" s="88" t="str">
        <f>HYPERLINK("https://www.bhphotovideo.com/c/product/1480269-REG/voigtlander_ba352a_nokton_21mm_f_1_4_aspherical.html/BI/19619/KBID/12129/DFF/d10-v21-t1-x963269/SID/EZ","link*")</f>
        <v>link*</v>
      </c>
      <c r="M19" s="89"/>
      <c r="N19"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19" s="83">
        <v>25.0</v>
      </c>
      <c r="P19" s="84" t="s">
        <v>26</v>
      </c>
      <c r="Q19" s="81">
        <v>12.0</v>
      </c>
      <c r="R19" s="128" t="s">
        <v>54</v>
      </c>
      <c r="S19" s="81" t="s">
        <v>28</v>
      </c>
      <c r="T19" s="86">
        <v>43617.0</v>
      </c>
    </row>
    <row r="20" hidden="1">
      <c r="A20" s="131" t="str">
        <f>HYPERLINK("https://phillipreeve.net/blog/rolling-review-zeiss-loxia-distagon-2-821mm-t/https://phillipreeve.net/blog/rolling-review-zeiss-loxia-distagon-2-821mm-t/","Zeiss Loxia 2.8/21 Distagon T*")</f>
        <v>Zeiss Loxia 2.8/21 Distagon T*</v>
      </c>
      <c r="B20" s="76">
        <v>394.0</v>
      </c>
      <c r="C20" s="77">
        <v>21.0</v>
      </c>
      <c r="D20" s="78">
        <v>2.8</v>
      </c>
      <c r="E20" s="144">
        <v>62.0</v>
      </c>
      <c r="F20" s="145">
        <v>72.0</v>
      </c>
      <c r="G20" s="84" t="s">
        <v>24</v>
      </c>
      <c r="H20" s="82" t="s">
        <v>71</v>
      </c>
      <c r="I20" s="81">
        <v>0.13</v>
      </c>
      <c r="J20" s="87">
        <v>1499.0</v>
      </c>
      <c r="K20" s="88" t="str">
        <f>HYPERLINK("https://amzn.to/2yspzBm","link*")</f>
        <v>link*</v>
      </c>
      <c r="L20" s="88" t="str">
        <f>HYPERLINK("https://www.bhphotovideo.com/c/product/1189220-REG/zeiss_2131_999_loxia_21mm_f_2_8_lens.html/BI/19619/KBID/12129/DFF/d10-v21-t1-x677077/SID/EZ","link*")</f>
        <v>link*</v>
      </c>
      <c r="M20" s="88" t="str">
        <f>HYPERLINK("https://amzn.to/2GHSOoA","link*")</f>
        <v>link*</v>
      </c>
      <c r="N20"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20" s="83">
        <v>25.0</v>
      </c>
      <c r="P20" s="84" t="s">
        <v>26</v>
      </c>
      <c r="Q20" s="81">
        <v>10.0</v>
      </c>
      <c r="R20" s="128" t="s">
        <v>72</v>
      </c>
      <c r="S20" s="81" t="s">
        <v>58</v>
      </c>
      <c r="T20" s="86">
        <v>42339.0</v>
      </c>
    </row>
    <row r="21" hidden="1">
      <c r="A21" s="131" t="str">
        <f>HYPERLINK("https://phillipreeve.net/blog/voigtlander-21mm-f35-review/","Voigtlander 21mm F3.5 Color-Skopar")</f>
        <v>Voigtlander 21mm F3.5 Color-Skopar</v>
      </c>
      <c r="B21" s="76">
        <v>230.0</v>
      </c>
      <c r="C21" s="77">
        <v>21.0</v>
      </c>
      <c r="D21" s="78">
        <v>3.5</v>
      </c>
      <c r="E21" s="144">
        <v>63.0</v>
      </c>
      <c r="F21" s="151">
        <v>40.0</v>
      </c>
      <c r="G21" s="84" t="s">
        <v>24</v>
      </c>
      <c r="H21" s="82" t="s">
        <v>71</v>
      </c>
      <c r="I21" s="346"/>
      <c r="J21" s="87">
        <v>699.0</v>
      </c>
      <c r="K21" s="88" t="str">
        <f>HYPERLINK("https://amzn.to/2JCie75","link*")</f>
        <v>link*</v>
      </c>
      <c r="L21" s="88" t="str">
        <f>HYPERLINK("https://www.bhphotovideo.com/c/product/1437613-REG/voigtlander_color_skopar_21mm_f_3_5_aspherical.html/BI/19619/KBID/12129/kw/VO2135E/DFF/d10-v2-t1-xVO2135E","link*")</f>
        <v>link*</v>
      </c>
      <c r="M21" s="88" t="str">
        <f>HYPERLINK("https://amzn.to/2ZoERan","link*")</f>
        <v>link*</v>
      </c>
      <c r="N21"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21" s="83">
        <v>20.0</v>
      </c>
      <c r="P21" s="84" t="s">
        <v>26</v>
      </c>
      <c r="Q21" s="81">
        <v>10.0</v>
      </c>
      <c r="R21" s="128" t="s">
        <v>60</v>
      </c>
      <c r="S21" s="81" t="s">
        <v>28</v>
      </c>
      <c r="T21" s="86">
        <v>43374.0</v>
      </c>
    </row>
    <row r="22">
      <c r="A22" s="131" t="str">
        <f>HYPERLINK("https://phillipreeve.net/blog/review-sony-fe-24mm-1-4-gm/","Sony GM 1.4/24")</f>
        <v>Sony GM 1.4/24</v>
      </c>
      <c r="B22" s="76">
        <v>445.0</v>
      </c>
      <c r="C22" s="77">
        <v>24.0</v>
      </c>
      <c r="D22" s="149">
        <v>1.4</v>
      </c>
      <c r="E22" s="144">
        <v>75.0</v>
      </c>
      <c r="F22" s="145">
        <v>92.0</v>
      </c>
      <c r="G22" s="84" t="s">
        <v>30</v>
      </c>
      <c r="H22" s="82" t="s">
        <v>53</v>
      </c>
      <c r="I22" s="81">
        <v>0.17</v>
      </c>
      <c r="J22" s="87">
        <v>1399.0</v>
      </c>
      <c r="K22" s="88" t="str">
        <f>HYPERLINK("https://amzn.to/2ywcbw1","link*")</f>
        <v>link*</v>
      </c>
      <c r="L22" s="88" t="str">
        <f>HYPERLINK("https://www.bhphotovideo.com/c/product/1435887-REG/sony_fe_24mm_f_1_4_gm.html/BI/19619/KBID/12129/DFF/d10-v21-t1-x915647/SID/EZ","link*")</f>
        <v>link*</v>
      </c>
      <c r="M22" s="88" t="str">
        <f>HYPERLINK("https://amzn.to/2L2tV9y","link*")</f>
        <v>link*</v>
      </c>
      <c r="N22" s="88" t="str">
        <f>HYPERLINK("https://amzn.to/338yg28","link*")</f>
        <v>link*</v>
      </c>
      <c r="O22" s="83">
        <v>25.0</v>
      </c>
      <c r="P22" s="84" t="s">
        <v>26</v>
      </c>
      <c r="Q22" s="81">
        <v>11.0</v>
      </c>
      <c r="R22" s="128" t="s">
        <v>27</v>
      </c>
      <c r="S22" s="81" t="s">
        <v>32</v>
      </c>
      <c r="T22" s="86">
        <v>43374.0</v>
      </c>
    </row>
    <row r="23">
      <c r="A23" s="75" t="s">
        <v>73</v>
      </c>
      <c r="B23" s="76">
        <v>665.0</v>
      </c>
      <c r="C23" s="77">
        <v>24.0</v>
      </c>
      <c r="D23" s="149">
        <v>1.4</v>
      </c>
      <c r="E23" s="144">
        <v>85.0</v>
      </c>
      <c r="F23" s="145">
        <v>90.0</v>
      </c>
      <c r="G23" s="81" t="s">
        <v>30</v>
      </c>
      <c r="H23" s="82" t="s">
        <v>56</v>
      </c>
      <c r="I23" s="81">
        <v>0.19</v>
      </c>
      <c r="J23" s="87">
        <v>849.0</v>
      </c>
      <c r="K23" s="88" t="str">
        <f>HYPERLINK("https://amzn.to/2Isw2Rv","link*")</f>
        <v>link*</v>
      </c>
      <c r="L23" s="88" t="str">
        <f>HYPERLINK("https://www.bhphotovideo.com/c/product/1393491-REG/sigma_24mm_f_1_4_dg_hsm.html/BI/19619/KBID/12129/kw/SI2414SO/DFF/d10-v2-t1-xSI2414SO","link*")</f>
        <v>link*</v>
      </c>
      <c r="M23" s="88" t="str">
        <f>HYPERLINK("https://amzn.to/2K7sIP4","link*")</f>
        <v>link*</v>
      </c>
      <c r="N23"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23" s="83">
        <v>25.0</v>
      </c>
      <c r="P23" s="84" t="s">
        <v>26</v>
      </c>
      <c r="Q23" s="81">
        <v>9.0</v>
      </c>
      <c r="R23" s="123">
        <v>43784.0</v>
      </c>
      <c r="S23" s="81" t="s">
        <v>41</v>
      </c>
      <c r="T23" s="86">
        <v>43221.0</v>
      </c>
      <c r="U23" s="68" t="s">
        <v>42</v>
      </c>
    </row>
    <row r="24">
      <c r="A24" s="131" t="str">
        <f>HYPERLINK("https://phillipreeve.net/blog/review-samyang-af-2-4-28-fe-at-least-its-small/","Samyang AF 24mm F/2.8")</f>
        <v>Samyang AF 24mm F/2.8</v>
      </c>
      <c r="B24" s="76">
        <v>93.0</v>
      </c>
      <c r="C24" s="77">
        <v>24.0</v>
      </c>
      <c r="D24" s="78">
        <v>2.8</v>
      </c>
      <c r="E24" s="144">
        <v>61.0</v>
      </c>
      <c r="F24" s="151">
        <v>37.0</v>
      </c>
      <c r="G24" s="84" t="s">
        <v>30</v>
      </c>
      <c r="H24" s="82" t="s">
        <v>74</v>
      </c>
      <c r="I24" s="81">
        <v>0.15</v>
      </c>
      <c r="J24" s="129">
        <v>279.0</v>
      </c>
      <c r="K24" s="88" t="str">
        <f>HYPERLINK("https://amzn.to/2NEHZ7c","link*")</f>
        <v>link*</v>
      </c>
      <c r="L24" s="88" t="str">
        <f>HYPERLINK("https://www.bhphotovideo.com/c/product/1413350-REG/samyang_syio24af_e_af_24mm_f_2_8_fe.html/BI/19619/KBID/12129/kw/SASYIO24AFE/DFF/d10-v2-t1-xSASYIO24AFE","link*")</f>
        <v>link*</v>
      </c>
      <c r="M24" s="88" t="str">
        <f>HYPERLINK("https://amzn.to/2Onv1QE","link*")</f>
        <v>link*</v>
      </c>
      <c r="N24"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24" s="83">
        <v>20.0</v>
      </c>
      <c r="P24" s="84" t="s">
        <v>26</v>
      </c>
      <c r="Q24" s="81">
        <v>9.0</v>
      </c>
      <c r="R24" s="128" t="s">
        <v>75</v>
      </c>
      <c r="S24" s="81" t="s">
        <v>46</v>
      </c>
      <c r="T24" s="86">
        <v>43282.0</v>
      </c>
    </row>
    <row r="25">
      <c r="A25" s="152" t="str">
        <f>HYPERLINK("https://phillipreeve.net/blog/review-sony-fe-2-824-70mm-gm/","Sony GM 2.8/24-70")</f>
        <v>Sony GM 2.8/24-70</v>
      </c>
      <c r="B25" s="76">
        <v>886.0</v>
      </c>
      <c r="C25" s="77">
        <v>24.0</v>
      </c>
      <c r="D25" s="78">
        <v>2.8</v>
      </c>
      <c r="E25" s="144">
        <v>88.0</v>
      </c>
      <c r="F25" s="151">
        <v>136.0</v>
      </c>
      <c r="G25" s="84" t="s">
        <v>30</v>
      </c>
      <c r="H25" s="82" t="s">
        <v>51</v>
      </c>
      <c r="I25" s="140">
        <v>0.25</v>
      </c>
      <c r="J25" s="87">
        <v>2199.0</v>
      </c>
      <c r="K25" s="88" t="str">
        <f>HYPERLINK("https://amzn.to/2STHavK","link*")</f>
        <v>link*</v>
      </c>
      <c r="L25" s="88" t="str">
        <f>HYPERLINK("https://www.bhphotovideo.com/c/search?Ntt=gm%2024-70&amp;N=0&amp;InitialSearch=yes&amp;sts=ma&amp;Top+Nav-Search=&amp;BI=19619&amp;KBID=12129&amp;KWID=EZ","link*")</f>
        <v>link*</v>
      </c>
      <c r="M25" s="88" t="str">
        <f>HYPERLINK("https://amzn.to/2ZwoyU7","link*")</f>
        <v>link*</v>
      </c>
      <c r="N25"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25" s="83">
        <v>38.0</v>
      </c>
      <c r="P25" s="84" t="s">
        <v>26</v>
      </c>
      <c r="Q25" s="81">
        <v>11.0</v>
      </c>
      <c r="R25" s="128" t="s">
        <v>44</v>
      </c>
      <c r="S25" s="81" t="s">
        <v>32</v>
      </c>
      <c r="T25" s="86">
        <v>42401.0</v>
      </c>
    </row>
    <row r="26">
      <c r="A26" s="75" t="s">
        <v>79</v>
      </c>
      <c r="B26" s="76">
        <v>780.0</v>
      </c>
      <c r="C26" s="77">
        <v>24.0</v>
      </c>
      <c r="D26" s="78" t="s">
        <v>80</v>
      </c>
      <c r="E26" s="144">
        <v>80.0</v>
      </c>
      <c r="F26" s="151">
        <v>119.0</v>
      </c>
      <c r="G26" s="84" t="s">
        <v>30</v>
      </c>
      <c r="H26" s="82" t="s">
        <v>48</v>
      </c>
      <c r="I26" s="140">
        <v>0.27</v>
      </c>
      <c r="J26" s="87">
        <v>998.0</v>
      </c>
      <c r="K26" s="88" t="str">
        <f>HYPERLINK("http://amzn.to/2fbX5FU","link*")</f>
        <v>link*</v>
      </c>
      <c r="L26" s="88" t="str">
        <f>HYPERLINK("https://www.bhphotovideo.com/c/search?Ntt=sony%2024-240&amp;N=0&amp;InitialSearch=yes&amp;sts=ma&amp;Top+Nav-Search=&amp;BI=19619&amp;KBID=12129&amp;KWID=EZ","link*")</f>
        <v>link*</v>
      </c>
      <c r="M26" s="88" t="str">
        <f>HYPERLINK("http://amzn.to/2wyrL7A","link*")</f>
        <v>link*</v>
      </c>
      <c r="N26"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26" s="83">
        <v>50.0</v>
      </c>
      <c r="P26" s="154" t="s">
        <v>49</v>
      </c>
      <c r="Q26" s="81">
        <v>7.0</v>
      </c>
      <c r="R26" s="128" t="s">
        <v>81</v>
      </c>
      <c r="S26" s="81" t="s">
        <v>32</v>
      </c>
      <c r="T26" s="86">
        <v>42064.0</v>
      </c>
    </row>
    <row r="27">
      <c r="A27" s="75" t="s">
        <v>82</v>
      </c>
      <c r="B27" s="76">
        <v>663.0</v>
      </c>
      <c r="C27" s="77">
        <v>24.0</v>
      </c>
      <c r="D27" s="78">
        <v>4.0</v>
      </c>
      <c r="E27" s="144">
        <v>83.0</v>
      </c>
      <c r="F27" s="145">
        <v>113.0</v>
      </c>
      <c r="G27" s="84" t="s">
        <v>30</v>
      </c>
      <c r="H27" s="82" t="s">
        <v>56</v>
      </c>
      <c r="I27" s="140">
        <v>0.31</v>
      </c>
      <c r="J27" s="87">
        <v>1398.0</v>
      </c>
      <c r="K27" s="88" t="str">
        <f>HYPERLINK("https://amzn.to/2K7LwMR","link*")</f>
        <v>link*</v>
      </c>
      <c r="L27" s="88" t="str">
        <f>HYPERLINK("https://www.bhphotovideo.com/c/search?Ntt=sony%2024-105&amp;N=0&amp;InitialSearch=yes&amp;sts=ma&amp;Top+Nav-Search=&amp;BI=19619&amp;KBID=12129&amp;KWID=EZ","link*")</f>
        <v>link*</v>
      </c>
      <c r="M27" s="88" t="str">
        <f>HYPERLINK("https://amzn.to/2Ld8hOS","link*")</f>
        <v>link*</v>
      </c>
      <c r="N27"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27" s="83">
        <v>38.0</v>
      </c>
      <c r="P27" s="154" t="s">
        <v>49</v>
      </c>
      <c r="Q27" s="81">
        <v>9.0</v>
      </c>
      <c r="R27" s="128" t="s">
        <v>35</v>
      </c>
      <c r="S27" s="81" t="s">
        <v>32</v>
      </c>
      <c r="T27" s="86">
        <v>43009.0</v>
      </c>
    </row>
    <row r="28">
      <c r="A28" s="131" t="str">
        <f>HYPERLINK("https://phillipreeve.net/blog/rolling-review-carl-zeiss-vario-tessar-t-fe-424-70-za/","Sony ZA 4/24-70 OSS")</f>
        <v>Sony ZA 4/24-70 OSS</v>
      </c>
      <c r="B28" s="76">
        <v>426.0</v>
      </c>
      <c r="C28" s="77">
        <v>24.0</v>
      </c>
      <c r="D28" s="78">
        <v>4.0</v>
      </c>
      <c r="E28" s="144">
        <v>73.0</v>
      </c>
      <c r="F28" s="145">
        <v>95.0</v>
      </c>
      <c r="G28" s="84" t="s">
        <v>30</v>
      </c>
      <c r="H28" s="82" t="s">
        <v>53</v>
      </c>
      <c r="I28" s="81">
        <v>0.2</v>
      </c>
      <c r="J28" s="87">
        <v>898.0</v>
      </c>
      <c r="K28" s="88" t="str">
        <f>HYPERLINK("http://amzn.to/2vlG2Yq","link*")</f>
        <v>link*</v>
      </c>
      <c r="L28" s="88" t="str">
        <f>HYPERLINK("https://www.bhphotovideo.com/c/product/1008126-REG/sony_sel2470z_vario_tessar_t_fe_24_70mm.html/BI/19619/KBID/12129/DFF/d10-v21-t1-x466842/SID/EZ","link*")</f>
        <v>link*</v>
      </c>
      <c r="M28" s="88" t="str">
        <f>HYPERLINK("http://amzn.to/2fl1XZk","link*")</f>
        <v>link*</v>
      </c>
      <c r="N28"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28" s="83">
        <v>40.0</v>
      </c>
      <c r="P28" s="154" t="s">
        <v>49</v>
      </c>
      <c r="Q28" s="81">
        <v>7.0</v>
      </c>
      <c r="R28" s="128" t="s">
        <v>38</v>
      </c>
      <c r="S28" s="81" t="s">
        <v>32</v>
      </c>
      <c r="T28" s="86">
        <v>41640.0</v>
      </c>
    </row>
    <row r="29">
      <c r="A29" s="131" t="str">
        <f>HYPERLINK("https://phillipreeve.net/blog/review-zeiss-batis-distagon-t-25mm-f2/","Zeiss Batis 2/25")</f>
        <v>Zeiss Batis 2/25</v>
      </c>
      <c r="B29" s="76">
        <v>335.0</v>
      </c>
      <c r="C29" s="77">
        <v>25.0</v>
      </c>
      <c r="D29" s="78">
        <v>2.0</v>
      </c>
      <c r="E29" s="144">
        <v>92.0</v>
      </c>
      <c r="F29" s="145">
        <v>78.0</v>
      </c>
      <c r="G29" s="84" t="s">
        <v>30</v>
      </c>
      <c r="H29" s="82" t="s">
        <v>53</v>
      </c>
      <c r="I29" s="81">
        <v>0.19</v>
      </c>
      <c r="J29" s="87">
        <v>1299.0</v>
      </c>
      <c r="K29" s="88" t="str">
        <f>HYPERLINK("https://amzn.to/2ypHQiT","link*")</f>
        <v>link*</v>
      </c>
      <c r="L29" s="88" t="str">
        <f>HYPERLINK("https://www.bhphotovideo.com/c/product/1140832-REG/zeiss_2103_750_25mm_f_2_0_batis_wide.html/BI/19619/KBID/12129/DFF/d10-v21-t1-x627141/SID/EZ","link*")</f>
        <v>link*</v>
      </c>
      <c r="M29" s="88" t="str">
        <f>HYPERLINK("https://amzn.to/2L20DIj","link*")</f>
        <v>link*</v>
      </c>
      <c r="N29"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29" s="83">
        <v>20.0</v>
      </c>
      <c r="P29" s="84" t="s">
        <v>26</v>
      </c>
      <c r="Q29" s="81">
        <v>9.0</v>
      </c>
      <c r="R29" s="128" t="s">
        <v>83</v>
      </c>
      <c r="S29" s="81" t="s">
        <v>58</v>
      </c>
      <c r="T29" s="86">
        <v>42125.0</v>
      </c>
    </row>
    <row r="30" hidden="1">
      <c r="A30" s="131" t="str">
        <f>HYPERLINK("https://phillipreeve.net/blog/review-zeiss-loxia-2-4-25mm-distagon/","Zeiss Loxia 2.4/25")</f>
        <v>Zeiss Loxia 2.4/25</v>
      </c>
      <c r="B30" s="76">
        <v>393.0</v>
      </c>
      <c r="C30" s="77">
        <v>25.0</v>
      </c>
      <c r="D30" s="78">
        <v>2.4</v>
      </c>
      <c r="E30" s="144">
        <v>62.0</v>
      </c>
      <c r="F30" s="145">
        <v>75.0</v>
      </c>
      <c r="G30" s="84" t="s">
        <v>24</v>
      </c>
      <c r="H30" s="82" t="s">
        <v>71</v>
      </c>
      <c r="I30" s="81">
        <v>0.16</v>
      </c>
      <c r="J30" s="87">
        <v>1299.0</v>
      </c>
      <c r="K30" s="88" t="str">
        <f>HYPERLINK("https://amzn.to/2OlyeAf","link*")</f>
        <v>link*</v>
      </c>
      <c r="L30" s="88" t="str">
        <f>HYPERLINK("https://www.bhphotovideo.com/c/product/1389169-REG/zeiss_000000_2218_783_loxia_25mm_f_2_4_lens.html/BI/19619/KBID/12129/kw/ZE2524L/DFF/d10-v2-t1-xZE2524L","link*")</f>
        <v>link*</v>
      </c>
      <c r="M30" s="88" t="str">
        <f>HYPERLINK("https://amzn.to/2OlyeAf","link*")</f>
        <v>link*</v>
      </c>
      <c r="N30"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30" s="83">
        <v>25.0</v>
      </c>
      <c r="P30" s="84" t="s">
        <v>26</v>
      </c>
      <c r="Q30" s="81">
        <v>10.0</v>
      </c>
      <c r="R30" s="128" t="s">
        <v>83</v>
      </c>
      <c r="S30" s="81" t="s">
        <v>58</v>
      </c>
      <c r="T30" s="86">
        <v>43160.0</v>
      </c>
    </row>
    <row r="31">
      <c r="A31" s="75" t="s">
        <v>84</v>
      </c>
      <c r="B31" s="76">
        <v>965.0</v>
      </c>
      <c r="C31" s="77">
        <v>28.0</v>
      </c>
      <c r="D31" s="78">
        <v>1.4</v>
      </c>
      <c r="E31" s="144">
        <v>83.0</v>
      </c>
      <c r="F31" s="145">
        <v>134.0</v>
      </c>
      <c r="G31" s="84" t="s">
        <v>30</v>
      </c>
      <c r="H31" s="82" t="s">
        <v>56</v>
      </c>
      <c r="I31" s="81">
        <v>0.19</v>
      </c>
      <c r="J31" s="87">
        <v>1399.0</v>
      </c>
      <c r="K31" s="88" t="str">
        <f>HYPERLINK("https://amzn.to/2Wn0pxO","link*")</f>
        <v>link*</v>
      </c>
      <c r="L31" s="88" t="str">
        <f>HYPERLINK("https://www.bhphotovideo.com/c/product/1436285-REG/sigma_28mm_f_1_4_dg_hsm.html/BI/19619/KBID/12129/kw/SI2814DGSE/DFF/d10-v2-t1-xSI2814DGSE","link*")</f>
        <v>link*</v>
      </c>
      <c r="M31" s="88" t="str">
        <f>HYPERLINK("https://amzn.to/2WzVkHd","link*")</f>
        <v>link*</v>
      </c>
      <c r="N31" s="88"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31" s="83">
        <v>28.0</v>
      </c>
      <c r="P31" s="84" t="s">
        <v>26</v>
      </c>
      <c r="Q31" s="81">
        <v>9.0</v>
      </c>
      <c r="R31" s="128" t="s">
        <v>81</v>
      </c>
      <c r="S31" s="81" t="s">
        <v>41</v>
      </c>
      <c r="T31" s="86">
        <v>43435.0</v>
      </c>
    </row>
    <row r="32">
      <c r="A32" s="131" t="str">
        <f>HYPERLINK("https://www.systemkamera-forum.de/blog/2015/05/sony-fe-28mm-f2-test-und-erfahrungsbericht/","Sony FE 2/28")</f>
        <v>Sony FE 2/28</v>
      </c>
      <c r="B32" s="76">
        <v>200.0</v>
      </c>
      <c r="C32" s="77">
        <v>28.0</v>
      </c>
      <c r="D32" s="78">
        <v>2.0</v>
      </c>
      <c r="E32" s="144">
        <v>60.0</v>
      </c>
      <c r="F32" s="145">
        <v>60.0</v>
      </c>
      <c r="G32" s="84" t="s">
        <v>30</v>
      </c>
      <c r="H32" s="82" t="s">
        <v>74</v>
      </c>
      <c r="I32" s="81">
        <v>0.13</v>
      </c>
      <c r="J32" s="153">
        <v>448.0</v>
      </c>
      <c r="K32" s="88" t="str">
        <f>HYPERLINK("https://amzn.to/2GXJWdo","link*")</f>
        <v>link*</v>
      </c>
      <c r="L32" s="88" t="str">
        <f>HYPERLINK("https://www.bhphotovideo.com/c/product/1402637-REG/sony_fe_28mm_f_2_lens.html/BI/19619/KBID/12129/kw/SO2820F/DFF/d10-v2-t1-xSO2820F","link*")</f>
        <v>link*</v>
      </c>
      <c r="M32" s="88" t="str">
        <f>HYPERLINK("http://amzn.to/2wyLOCO","link*")</f>
        <v>link*</v>
      </c>
      <c r="N32"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32" s="83">
        <v>29.0</v>
      </c>
      <c r="P32" s="84" t="s">
        <v>26</v>
      </c>
      <c r="Q32" s="81">
        <v>9.0</v>
      </c>
      <c r="R32" s="128" t="s">
        <v>60</v>
      </c>
      <c r="S32" s="81" t="s">
        <v>32</v>
      </c>
      <c r="T32" s="86">
        <v>42064.0</v>
      </c>
    </row>
    <row r="33">
      <c r="A33" s="131" t="str">
        <f>HYPERLINK("https://phillipreeve.net/blog/review-tamron-28-75mm-f-2-8-di-iii-rxd-sony-e-mount/","Tamron 2.8/28-75")</f>
        <v>Tamron 2.8/28-75</v>
      </c>
      <c r="B33" s="76">
        <v>550.0</v>
      </c>
      <c r="C33" s="77">
        <v>28.0</v>
      </c>
      <c r="D33" s="78">
        <v>2.8</v>
      </c>
      <c r="E33" s="144">
        <v>73.0</v>
      </c>
      <c r="F33" s="145">
        <v>118.0</v>
      </c>
      <c r="G33" s="84" t="s">
        <v>30</v>
      </c>
      <c r="H33" s="82" t="s">
        <v>53</v>
      </c>
      <c r="I33" s="140">
        <v>0.34</v>
      </c>
      <c r="J33" s="153">
        <v>879.0</v>
      </c>
      <c r="K33" s="88" t="str">
        <f>HYPERLINK("https://amzn.to/2ST5uxq","link*")</f>
        <v>link*</v>
      </c>
      <c r="L33" s="88" t="str">
        <f>HYPERLINK("https://www.bhphotovideo.com/c/product/1393332-REG/tamron_a036_28_75mm_f_2_8_di_iii.html/BI/19619/KBID/12129/DFF/d10-v21-t1-x892059/SID/EZ","link*")</f>
        <v>link*</v>
      </c>
      <c r="M33" s="88" t="str">
        <f>HYPERLINK("https://amzn.to/2ZmSzdU","link*")</f>
        <v>link*</v>
      </c>
      <c r="N33"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33" s="83">
        <v>19.0</v>
      </c>
      <c r="P33" s="84" t="s">
        <v>26</v>
      </c>
      <c r="Q33" s="81">
        <v>9.0</v>
      </c>
      <c r="R33" s="128" t="s">
        <v>85</v>
      </c>
      <c r="S33" s="81" t="s">
        <v>55</v>
      </c>
      <c r="T33" s="86">
        <v>43252.0</v>
      </c>
    </row>
    <row r="34">
      <c r="A34" s="75" t="s">
        <v>88</v>
      </c>
      <c r="B34" s="76">
        <v>295.0</v>
      </c>
      <c r="C34" s="77">
        <v>28.0</v>
      </c>
      <c r="D34" s="78" t="s">
        <v>89</v>
      </c>
      <c r="E34" s="144">
        <v>73.0</v>
      </c>
      <c r="F34" s="145">
        <v>83.0</v>
      </c>
      <c r="G34" s="84" t="s">
        <v>30</v>
      </c>
      <c r="H34" s="82" t="s">
        <v>90</v>
      </c>
      <c r="I34" s="81">
        <v>0.19</v>
      </c>
      <c r="J34" s="87">
        <v>398.0</v>
      </c>
      <c r="K34" s="88" t="str">
        <f>HYPERLINK("https://www.amazon.com/gp/product/B00FYOFADE/ref=as_li_tl?ie=UTF8&amp;tag=wwwphillipree-20&amp;camp=1789&amp;creative=9325&amp;linkCode=as2&amp;creativeASIN=B00FYOFADE&amp;linkId=96720b245156eae53bb1a672d4453d3f","link*")</f>
        <v>link*</v>
      </c>
      <c r="L34" s="88" t="str">
        <f>HYPERLINK("https://www.bhphotovideo.com/c/product/1015472-REG/sony_sel2870_fe_28_70mm_f_3_5_5_6_oss.html/BI/19619/KBID/12129/DFF/d10-v21-t1-x473993/SID/EZ","link*")</f>
        <v>link*</v>
      </c>
      <c r="M34" s="88" t="str">
        <f>HYPERLINK("https://www.amazon.de/gp/product/B00HSHFPD0/ref=as_li_tl?ie=UTF8&amp;tag=wwwphillipree-21&amp;camp=1638&amp;creative=6742&amp;linkCode=as2&amp;creativeASIN=B00HSHFPD0&amp;linkId=6701f30673f8a4071232ca85e1953506","link*")</f>
        <v>link*</v>
      </c>
      <c r="N34"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34" s="83">
        <v>30.0</v>
      </c>
      <c r="P34" s="154" t="s">
        <v>49</v>
      </c>
      <c r="Q34" s="81">
        <v>7.0</v>
      </c>
      <c r="R34" s="128" t="s">
        <v>60</v>
      </c>
      <c r="S34" s="81" t="s">
        <v>32</v>
      </c>
      <c r="T34" s="86">
        <v>41548.0</v>
      </c>
    </row>
    <row r="35">
      <c r="A35" s="75" t="s">
        <v>91</v>
      </c>
      <c r="B35" s="76">
        <v>1215.0</v>
      </c>
      <c r="C35" s="77">
        <v>28.0</v>
      </c>
      <c r="D35" s="78">
        <v>4.0</v>
      </c>
      <c r="E35" s="144">
        <v>105.0</v>
      </c>
      <c r="F35" s="145">
        <v>165.0</v>
      </c>
      <c r="G35" s="84" t="s">
        <v>30</v>
      </c>
      <c r="H35" s="382" t="s">
        <v>92</v>
      </c>
      <c r="I35" s="346"/>
      <c r="J35" s="87">
        <v>249.0</v>
      </c>
      <c r="K35" s="88" t="str">
        <f>HYPERLINK("http://amzn.to/2v2kiy9","link*")</f>
        <v>link*</v>
      </c>
      <c r="L35" s="88" t="str">
        <f>HYPERLINK("https://www.bhphotovideo.com/c/product/1082051-REG/sony_selp28135g_e_pz_28_135mm_f_4.html/BI/19619/KBID/12129/DFF/d10-v21-t1-x556056/SID/EZ","link*")</f>
        <v>link*</v>
      </c>
      <c r="M35" s="88" t="str">
        <f>HYPERLINK("http://amzn.to/2wlpg9b","link*")</f>
        <v>link*</v>
      </c>
      <c r="N35"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35" s="83">
        <v>40.0</v>
      </c>
      <c r="P35" s="154" t="s">
        <v>49</v>
      </c>
      <c r="Q35" s="81">
        <v>9.0</v>
      </c>
      <c r="R35" s="128" t="s">
        <v>93</v>
      </c>
      <c r="S35" s="81" t="s">
        <v>32</v>
      </c>
      <c r="T35" s="86">
        <v>41883.0</v>
      </c>
      <c r="U35" s="68" t="s">
        <v>94</v>
      </c>
    </row>
    <row r="36" customHeight="1">
      <c r="A36" s="131" t="str">
        <f>HYPERLINK("https://phillipreeve.net/blog/review-sigma-35mm-1-2-art-dg-dn/","Sigma Art 1.2/35")</f>
        <v>Sigma Art 1.2/35</v>
      </c>
      <c r="B36" s="76">
        <v>1090.0</v>
      </c>
      <c r="C36" s="77">
        <v>35.0</v>
      </c>
      <c r="D36" s="383">
        <v>1.2</v>
      </c>
      <c r="E36" s="144">
        <v>88.0</v>
      </c>
      <c r="F36" s="145">
        <v>136.0</v>
      </c>
      <c r="G36" s="81" t="s">
        <v>30</v>
      </c>
      <c r="H36" s="270" t="s">
        <v>51</v>
      </c>
      <c r="I36" s="81">
        <v>0.19</v>
      </c>
      <c r="J36" s="87">
        <v>1499.0</v>
      </c>
      <c r="K36" s="88" t="str">
        <f>HYPERLINK("https://amzn.to/2LiHhxc","link*")</f>
        <v>link*</v>
      </c>
      <c r="L36" s="88" t="str">
        <f>HYPERLINK("https://www.bhphotovideo.com/c/product/1492967-REG/sigma_341969_35mm_f_1_2_dg_dn.html/BI/19619/KBID/12129/DFF/d10-v21-t1-x976038/SID/EZ","link*")</f>
        <v>link*</v>
      </c>
      <c r="M36" s="89"/>
      <c r="N36" s="88"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36" s="83">
        <v>30.0</v>
      </c>
      <c r="P36" s="84" t="s">
        <v>26</v>
      </c>
      <c r="Q36" s="81">
        <v>11.0</v>
      </c>
      <c r="R36" s="123">
        <v>43816.0</v>
      </c>
      <c r="S36" s="81" t="s">
        <v>41</v>
      </c>
      <c r="T36" s="86">
        <v>43647.0</v>
      </c>
    </row>
    <row r="37">
      <c r="A37" s="131" t="str">
        <f>HYPERLINK("https://phillipreeve.net/blog/review-sony-fe-35mm-1-4-za/","Sony ZA 1.4/35")</f>
        <v>Sony ZA 1.4/35</v>
      </c>
      <c r="B37" s="76">
        <v>630.0</v>
      </c>
      <c r="C37" s="77">
        <v>35.0</v>
      </c>
      <c r="D37" s="78">
        <v>1.4</v>
      </c>
      <c r="E37" s="144">
        <v>79.0</v>
      </c>
      <c r="F37" s="145">
        <v>112.0</v>
      </c>
      <c r="G37" s="81" t="s">
        <v>30</v>
      </c>
      <c r="H37" s="82" t="s">
        <v>48</v>
      </c>
      <c r="I37" s="81">
        <v>0.18</v>
      </c>
      <c r="J37" s="87">
        <v>1599.0</v>
      </c>
      <c r="K37" s="88" t="str">
        <f>HYPERLINK("https://amzn.to/2LRSMOS","link*")</f>
        <v>link*</v>
      </c>
      <c r="L37" s="88" t="str">
        <f>HYPERLINK("https://www.bhphotovideo.com/c/product/1126137-REG/sony_sel35f14z_distagon_t_fe_35mm.html/BI/19619/KBID/12129/DFF/d10-v21-t1-x612725/SID/EZ","link*")</f>
        <v>link*</v>
      </c>
      <c r="M37" s="88" t="str">
        <f>HYPERLINK("https://amzn.to/2ZmfSnX","link*")</f>
        <v>link*</v>
      </c>
      <c r="N37"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37" s="83">
        <v>30.0</v>
      </c>
      <c r="P37" s="84" t="s">
        <v>26</v>
      </c>
      <c r="Q37" s="81">
        <v>9.0</v>
      </c>
      <c r="R37" s="123">
        <v>43689.0</v>
      </c>
      <c r="S37" s="81" t="s">
        <v>32</v>
      </c>
      <c r="T37" s="86">
        <v>42064.0</v>
      </c>
    </row>
    <row r="38">
      <c r="A38" s="75" t="s">
        <v>226</v>
      </c>
      <c r="B38" s="76">
        <v>645.0</v>
      </c>
      <c r="C38" s="77">
        <v>35.0</v>
      </c>
      <c r="D38" s="78">
        <v>1.4</v>
      </c>
      <c r="E38" s="144">
        <v>76.0</v>
      </c>
      <c r="F38" s="151">
        <v>115.0</v>
      </c>
      <c r="G38" s="81" t="s">
        <v>30</v>
      </c>
      <c r="H38" s="82" t="s">
        <v>53</v>
      </c>
      <c r="I38" s="81">
        <v>0.17</v>
      </c>
      <c r="J38" s="87">
        <v>799.0</v>
      </c>
      <c r="K38" s="88" t="str">
        <f>HYPERLINK("https://amzn.to/2K8DDXH","link*")</f>
        <v>link*</v>
      </c>
      <c r="L38" s="88" t="str">
        <f t="shared" ref="L38:L39" si="1">HYPERLINK("https://www.bhphotovideo.com/c/product/1381712-REG/voigtlander_nokton_classic_35mm_f_1_4.html/BI/19619/KBID/12129/DFF/d10-v21-t1-x877353/SID/EZ","link*")</f>
        <v>link*</v>
      </c>
      <c r="M38" s="88" t="str">
        <f>HYPERLINK("https://amzn.to/2Zhl3FI","link*")</f>
        <v>link*</v>
      </c>
      <c r="N38"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38" s="83">
        <v>30.0</v>
      </c>
      <c r="P38" s="84" t="s">
        <v>26</v>
      </c>
      <c r="Q38" s="81">
        <v>9.0</v>
      </c>
      <c r="R38" s="123">
        <v>43719.0</v>
      </c>
      <c r="S38" s="81" t="s">
        <v>46</v>
      </c>
      <c r="T38" s="86">
        <v>43009.0</v>
      </c>
      <c r="U38" s="68" t="s">
        <v>99</v>
      </c>
    </row>
    <row r="39" hidden="1">
      <c r="A39" s="131" t="str">
        <f>HYPERLINK("https://phillipreeve.net/blog/review-voigtlander-35mm-1-4-nokton-e-classic/","Voigtlander 35mm F1.4 Nokton Classic")</f>
        <v>Voigtlander 35mm F1.4 Nokton Classic</v>
      </c>
      <c r="B39" s="76">
        <v>262.0</v>
      </c>
      <c r="C39" s="77">
        <v>35.0</v>
      </c>
      <c r="D39" s="78">
        <v>1.4</v>
      </c>
      <c r="E39" s="144">
        <v>67.0</v>
      </c>
      <c r="F39" s="151">
        <v>40.0</v>
      </c>
      <c r="G39" s="81" t="s">
        <v>24</v>
      </c>
      <c r="H39" s="82" t="s">
        <v>47</v>
      </c>
      <c r="I39" s="81">
        <v>0.16</v>
      </c>
      <c r="J39" s="87">
        <v>799.0</v>
      </c>
      <c r="K39" s="88" t="str">
        <f>HYPERLINK("https://amzn.to/2M1M8WH","link*")</f>
        <v>link*</v>
      </c>
      <c r="L39" s="88" t="str">
        <f t="shared" si="1"/>
        <v>link*</v>
      </c>
      <c r="M39" s="88" t="str">
        <f>HYPERLINK("https://amzn.to/2ZswTZ3","link*")</f>
        <v>link*</v>
      </c>
      <c r="N39"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39" s="83">
        <v>30.0</v>
      </c>
      <c r="P39" s="84" t="s">
        <v>26</v>
      </c>
      <c r="Q39" s="81">
        <v>10.0</v>
      </c>
      <c r="R39" s="123">
        <v>43624.0</v>
      </c>
      <c r="S39" s="81" t="s">
        <v>28</v>
      </c>
      <c r="T39" s="86">
        <v>43132.0</v>
      </c>
    </row>
    <row r="40" customHeight="1">
      <c r="A40" s="131" t="str">
        <f>HYPERLINK("https://phillipreeve.net/blog/review-sigma-35mm-1-4-art/","Sigma Art 1.4/35")</f>
        <v>Sigma Art 1.4/35</v>
      </c>
      <c r="B40" s="76">
        <v>740.0</v>
      </c>
      <c r="C40" s="77">
        <v>35.0</v>
      </c>
      <c r="D40" s="78">
        <v>1.4</v>
      </c>
      <c r="E40" s="144">
        <v>77.0</v>
      </c>
      <c r="F40" s="151">
        <v>94.0</v>
      </c>
      <c r="G40" s="81" t="s">
        <v>30</v>
      </c>
      <c r="H40" s="82" t="s">
        <v>53</v>
      </c>
      <c r="I40" s="81">
        <v>0.19</v>
      </c>
      <c r="J40" s="153">
        <v>899.0</v>
      </c>
      <c r="K40" s="88" t="str">
        <f>HYPERLINK("https://amzn.to/2LOaQcZ","link*")</f>
        <v>link*</v>
      </c>
      <c r="L40" s="88" t="str">
        <f>HYPERLINK("https://www.bhphotovideo.com/c/product/1393492-REG/sigma_35mm_f_1_4_dg_hsm.html/BI/19619/KBID/12129/DFF/d10-v21-t1-x881157/SID/EZ","link*")</f>
        <v>link*</v>
      </c>
      <c r="M40" s="88" t="str">
        <f>HYPERLINK("https://amzn.to/2ZrfakE","link*")</f>
        <v>link*</v>
      </c>
      <c r="N40"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40" s="83">
        <v>30.0</v>
      </c>
      <c r="P40" s="84" t="s">
        <v>26</v>
      </c>
      <c r="Q40" s="81">
        <v>9.0</v>
      </c>
      <c r="R40" s="123">
        <v>43782.0</v>
      </c>
      <c r="S40" s="81" t="s">
        <v>41</v>
      </c>
      <c r="T40" s="86">
        <v>43221.0</v>
      </c>
      <c r="U40" s="68" t="s">
        <v>42</v>
      </c>
    </row>
    <row r="41">
      <c r="A41" s="75" t="s">
        <v>227</v>
      </c>
      <c r="B41" s="76">
        <v>280.0</v>
      </c>
      <c r="C41" s="77">
        <v>35.0</v>
      </c>
      <c r="D41" s="78">
        <v>1.8</v>
      </c>
      <c r="E41" s="144">
        <v>66.0</v>
      </c>
      <c r="F41" s="151">
        <v>73.0</v>
      </c>
      <c r="G41" s="81" t="s">
        <v>30</v>
      </c>
      <c r="H41" s="82" t="s">
        <v>90</v>
      </c>
      <c r="I41" s="185">
        <v>0.24</v>
      </c>
      <c r="J41" s="87">
        <v>749.0</v>
      </c>
      <c r="K41" s="89"/>
      <c r="L41" s="88" t="str">
        <f>HYPERLINK("https://www.bhphotovideo.com/c/product/1492866-REG/sony_sel35f18f_35mm_f_1_8_fe_lens.html/BI/19619/KBID/12129/DFF/d10-v21-t1-x975763/SID/EZ","link*")</f>
        <v>link*</v>
      </c>
      <c r="M41" s="88" t="str">
        <f>HYPERLINK("https://amzn.to/2PiATLC","link*")</f>
        <v>link*</v>
      </c>
      <c r="N41"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41" s="83">
        <v>22.0</v>
      </c>
      <c r="P41" s="84" t="s">
        <v>26</v>
      </c>
      <c r="Q41" s="81">
        <v>9.0</v>
      </c>
      <c r="R41" s="123">
        <v>43719.0</v>
      </c>
      <c r="S41" s="81" t="s">
        <v>32</v>
      </c>
      <c r="T41" s="86">
        <v>43647.0</v>
      </c>
    </row>
    <row r="42" hidden="1">
      <c r="A42" s="131" t="str">
        <f>HYPERLINK("https://phillipreeve.net/blog/review-zeiss-loxia-35mm-2-0/","Zeiss Loxia 2/35 Biogon T*")</f>
        <v>Zeiss Loxia 2/35 Biogon T*</v>
      </c>
      <c r="B42" s="76">
        <v>340.0</v>
      </c>
      <c r="C42" s="77">
        <v>35.0</v>
      </c>
      <c r="D42" s="78">
        <v>2.0</v>
      </c>
      <c r="E42" s="144">
        <v>62.0</v>
      </c>
      <c r="F42" s="145">
        <v>66.0</v>
      </c>
      <c r="G42" s="81" t="s">
        <v>24</v>
      </c>
      <c r="H42" s="82" t="s">
        <v>71</v>
      </c>
      <c r="I42" s="81">
        <v>0.17</v>
      </c>
      <c r="J42" s="87">
        <v>1299.0</v>
      </c>
      <c r="K42" s="88" t="str">
        <f>HYPERLINK("https://amzn.to/2T2sJWe","link*")</f>
        <v>link*</v>
      </c>
      <c r="L42" s="88" t="str">
        <f>HYPERLINK("https://www.bhphotovideo.com/c/product/1080388-REG/zeiss_2103_749_loxia_35mm_f_2_biogon.html/BI/19619/KBID/12129/DFF/d10-v21-t1-x553792/SID/EZ","link*")</f>
        <v>link*</v>
      </c>
      <c r="M42" s="89" t="s">
        <v>33</v>
      </c>
      <c r="N42"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42" s="83">
        <v>30.0</v>
      </c>
      <c r="P42" s="84" t="s">
        <v>26</v>
      </c>
      <c r="Q42" s="81">
        <v>10.0</v>
      </c>
      <c r="R42" s="123">
        <v>43625.0</v>
      </c>
      <c r="S42" s="81" t="s">
        <v>58</v>
      </c>
      <c r="T42" s="86">
        <v>41974.0</v>
      </c>
      <c r="U42" s="68" t="s">
        <v>101</v>
      </c>
    </row>
    <row r="43">
      <c r="A43" s="131" t="str">
        <f>HYPERLINK("http://www.photozone.de/sonyalphaff/865-zeiss35f28ff","Sony ZA 2.8/35")</f>
        <v>Sony ZA 2.8/35</v>
      </c>
      <c r="B43" s="76">
        <v>120.0</v>
      </c>
      <c r="C43" s="77">
        <v>35.0</v>
      </c>
      <c r="D43" s="78">
        <v>2.8</v>
      </c>
      <c r="E43" s="144">
        <v>62.0</v>
      </c>
      <c r="F43" s="145">
        <v>37.0</v>
      </c>
      <c r="G43" s="81" t="s">
        <v>30</v>
      </c>
      <c r="H43" s="82" t="s">
        <v>74</v>
      </c>
      <c r="I43" s="81">
        <v>0.12</v>
      </c>
      <c r="J43" s="87">
        <v>798.0</v>
      </c>
      <c r="K43" s="88" t="str">
        <f>HYPERLINK("https://amzn.to/2yvhL24","link*")</f>
        <v>link*</v>
      </c>
      <c r="L43" s="88" t="str">
        <f>HYPERLINK("https://www.bhphotovideo.com/c/product/1008123-REG/sony_sel35f28z_sonnar_t_fe_35mm.html/BI/19619/KBID/12129/DFF/d10-v21-t1-x466840/SID/EZ","link*")</f>
        <v>link*</v>
      </c>
      <c r="M43" s="89" t="s">
        <v>33</v>
      </c>
      <c r="N43"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43" s="83">
        <v>35.0</v>
      </c>
      <c r="P43" s="84" t="s">
        <v>26</v>
      </c>
      <c r="Q43" s="81">
        <v>9.0</v>
      </c>
      <c r="R43" s="123">
        <v>43592.0</v>
      </c>
      <c r="S43" s="81" t="s">
        <v>32</v>
      </c>
      <c r="T43" s="86">
        <v>41487.0</v>
      </c>
    </row>
    <row r="44">
      <c r="A44" s="75" t="s">
        <v>102</v>
      </c>
      <c r="B44" s="76">
        <v>86.0</v>
      </c>
      <c r="C44" s="77">
        <v>35.0</v>
      </c>
      <c r="D44" s="78">
        <v>2.8</v>
      </c>
      <c r="E44" s="144">
        <v>62.0</v>
      </c>
      <c r="F44" s="145">
        <v>33.0</v>
      </c>
      <c r="G44" s="81" t="s">
        <v>30</v>
      </c>
      <c r="H44" s="82" t="s">
        <v>74</v>
      </c>
      <c r="I44" s="81">
        <v>0.12</v>
      </c>
      <c r="J44" s="211">
        <v>399.0</v>
      </c>
      <c r="K44" s="88" t="str">
        <f t="shared" ref="K44:K45" si="2">HYPERLINK("https://amzn.to/2MGKrxp","link*")</f>
        <v>link*</v>
      </c>
      <c r="L44" s="88" t="str">
        <f>HYPERLINK("https://www.bhphotovideo.com/c/product/1348365-REG/samyang_syio35af_e_35mm_f2_8_compact_wide.html/BI/19619/KBID/12129/DFF/d10-v21-t1-x832776/SID/EZ","link*")</f>
        <v>link*</v>
      </c>
      <c r="M44" s="89" t="s">
        <v>33</v>
      </c>
      <c r="N44"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44" s="83">
        <v>35.0</v>
      </c>
      <c r="P44" s="84" t="s">
        <v>26</v>
      </c>
      <c r="Q44" s="81">
        <v>9.0</v>
      </c>
      <c r="R44" s="123">
        <v>43623.0</v>
      </c>
      <c r="S44" s="81" t="s">
        <v>46</v>
      </c>
      <c r="T44" s="86">
        <v>42917.0</v>
      </c>
    </row>
    <row r="45" hidden="1">
      <c r="A45" s="131" t="str">
        <f>HYPERLINK("https://phillipreeve.net/blog/voigtlander-40mm-f1-2-nokton-aspherical-rolling-review/","Voigtlander 40mm F1.2 Nokton")</f>
        <v>Voigtlander 40mm F1.2 Nokton</v>
      </c>
      <c r="B45" s="76">
        <v>420.0</v>
      </c>
      <c r="C45" s="77">
        <v>40.0</v>
      </c>
      <c r="D45" s="392">
        <v>1.2</v>
      </c>
      <c r="E45" s="144">
        <v>70.0</v>
      </c>
      <c r="F45" s="145">
        <v>59.0</v>
      </c>
      <c r="G45" s="81" t="s">
        <v>24</v>
      </c>
      <c r="H45" s="82" t="s">
        <v>47</v>
      </c>
      <c r="I45" s="81">
        <v>0.16</v>
      </c>
      <c r="J45" s="87">
        <v>1099.0</v>
      </c>
      <c r="K45" s="88" t="str">
        <f t="shared" si="2"/>
        <v>link*</v>
      </c>
      <c r="L45" s="88" t="str">
        <f>HYPERLINK("https://www.bhphotovideo.com/c/product/1362557-REG/voigtlander_nokton_40mm_f_1_2_aspherical.html/BI/19619/KBID/12129/DFF/d10-v21-t1-x851241/SID/EZ","link*")</f>
        <v>link*</v>
      </c>
      <c r="M45" s="89" t="s">
        <v>33</v>
      </c>
      <c r="N45"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45" s="83">
        <v>35.0</v>
      </c>
      <c r="P45" s="84" t="s">
        <v>26</v>
      </c>
      <c r="Q45" s="81">
        <v>10.0</v>
      </c>
      <c r="R45" s="123">
        <v>43624.0</v>
      </c>
      <c r="S45" s="81" t="s">
        <v>28</v>
      </c>
      <c r="T45" s="86">
        <v>43040.0</v>
      </c>
    </row>
    <row r="46">
      <c r="A46" s="131" t="str">
        <f>HYPERLINK("https://phillipreeve.net/blog/review-sigma-40mm-1-4-art/","Sigma Art 1.4/40")</f>
        <v>Sigma Art 1.4/40</v>
      </c>
      <c r="B46" s="76">
        <v>1200.0</v>
      </c>
      <c r="C46" s="77">
        <v>40.0</v>
      </c>
      <c r="D46" s="78">
        <v>1.4</v>
      </c>
      <c r="E46" s="144">
        <v>88.0</v>
      </c>
      <c r="F46" s="151">
        <v>157.0</v>
      </c>
      <c r="G46" s="81" t="s">
        <v>30</v>
      </c>
      <c r="H46" s="198" t="s">
        <v>51</v>
      </c>
      <c r="I46" s="81">
        <v>0.15</v>
      </c>
      <c r="J46" s="87">
        <v>1399.0</v>
      </c>
      <c r="K46" s="88" t="str">
        <f>HYPERLINK("https://amzn.to/2SYXFXq","link*")</f>
        <v>link*</v>
      </c>
      <c r="L46" s="88" t="str">
        <f>HYPERLINK("https://www.bhphotovideo.com/c/product/1436292-REG/sigma_40mm_f_1_4_dg_hsm.html/BI/19619/KBID/12129/DFF/d10-v21-t1-x925196/SID/EZ","link*")</f>
        <v>link*</v>
      </c>
      <c r="M46" s="89" t="s">
        <v>33</v>
      </c>
      <c r="N46"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46" s="83">
        <v>40.0</v>
      </c>
      <c r="P46" s="84" t="s">
        <v>26</v>
      </c>
      <c r="Q46" s="81">
        <v>9.0</v>
      </c>
      <c r="R46" s="123">
        <v>43815.0</v>
      </c>
      <c r="S46" s="81" t="s">
        <v>41</v>
      </c>
      <c r="T46" s="86">
        <v>43435.0</v>
      </c>
      <c r="U46" s="68" t="s">
        <v>42</v>
      </c>
    </row>
    <row r="47">
      <c r="A47" s="131" t="str">
        <f>HYPERLINK("https://phillipreeve.net/blog/review-zeiss-batis-2-40-cf/","Zeiss Batis 2/40 CF T*")</f>
        <v>Zeiss Batis 2/40 CF T*</v>
      </c>
      <c r="B47" s="76">
        <v>361.0</v>
      </c>
      <c r="C47" s="77">
        <v>40.0</v>
      </c>
      <c r="D47" s="78">
        <v>2.0</v>
      </c>
      <c r="E47" s="144">
        <v>91.0</v>
      </c>
      <c r="F47" s="151">
        <v>93.0</v>
      </c>
      <c r="G47" s="81" t="s">
        <v>30</v>
      </c>
      <c r="H47" s="82" t="s">
        <v>53</v>
      </c>
      <c r="I47" s="185">
        <v>0.3</v>
      </c>
      <c r="J47" s="87">
        <v>1299.0</v>
      </c>
      <c r="K47" s="88" t="str">
        <f>HYPERLINK("https://amzn.to/2LUN0MF","link*")</f>
        <v>link*</v>
      </c>
      <c r="L47" s="88" t="str">
        <f>HYPERLINK("https://www.bhphotovideo.com/c/product/1436738-REG/zeiss_000000_2239_137_batis_40mm_f_2_cf.html/BI/19619/KBID/12129/DFF/d10-v21-t1-x915694/SID/EZ","link*")</f>
        <v>link*</v>
      </c>
      <c r="M47" s="89" t="s">
        <v>33</v>
      </c>
      <c r="N47"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47" s="83">
        <v>24.0</v>
      </c>
      <c r="P47" s="84" t="s">
        <v>26</v>
      </c>
      <c r="Q47" s="81">
        <v>9.0</v>
      </c>
      <c r="R47" s="123">
        <v>43686.0</v>
      </c>
      <c r="S47" s="81" t="s">
        <v>58</v>
      </c>
      <c r="T47" s="86">
        <v>43435.0</v>
      </c>
      <c r="U47" s="68" t="s">
        <v>228</v>
      </c>
    </row>
    <row r="48">
      <c r="A48" s="75" t="s">
        <v>106</v>
      </c>
      <c r="B48" s="76">
        <v>162.0</v>
      </c>
      <c r="C48" s="77">
        <v>45.0</v>
      </c>
      <c r="D48" s="78">
        <v>1.8</v>
      </c>
      <c r="E48" s="144">
        <v>62.0</v>
      </c>
      <c r="F48" s="151">
        <v>56.0</v>
      </c>
      <c r="G48" s="81" t="s">
        <v>30</v>
      </c>
      <c r="H48" s="82" t="s">
        <v>74</v>
      </c>
      <c r="I48" s="81">
        <v>0.12</v>
      </c>
      <c r="J48" s="129">
        <v>399.0</v>
      </c>
      <c r="K48" s="88" t="str">
        <f>HYPERLINK("https://amzn.to/2YC6MST","link*")</f>
        <v>link*</v>
      </c>
      <c r="L48" s="88" t="str">
        <f>HYPERLINK("https://www.bhphotovideo.com/c/product/1478738-REG/samyang_af_45mm_f_1_8_fe.html/BI/19619/KBID/12129/DFF/d10-v21-t1-x964329/SID/EZ","link*")</f>
        <v>link*</v>
      </c>
      <c r="M48" s="89" t="s">
        <v>33</v>
      </c>
      <c r="N48"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48" s="83">
        <v>45.0</v>
      </c>
      <c r="P48" s="84" t="s">
        <v>26</v>
      </c>
      <c r="Q48" s="81">
        <v>9.0</v>
      </c>
      <c r="R48" s="123">
        <v>43623.0</v>
      </c>
      <c r="S48" s="81" t="s">
        <v>46</v>
      </c>
      <c r="T48" s="86">
        <v>43647.0</v>
      </c>
    </row>
    <row r="49">
      <c r="A49" s="75" t="s">
        <v>107</v>
      </c>
      <c r="B49" s="76">
        <v>215.0</v>
      </c>
      <c r="C49" s="77">
        <v>45.0</v>
      </c>
      <c r="D49" s="78">
        <v>2.8</v>
      </c>
      <c r="E49" s="144">
        <v>64.0</v>
      </c>
      <c r="F49" s="145">
        <v>46.0</v>
      </c>
      <c r="G49" s="81" t="s">
        <v>30</v>
      </c>
      <c r="H49" s="82" t="s">
        <v>90</v>
      </c>
      <c r="I49" s="140">
        <v>0.25</v>
      </c>
      <c r="J49" s="87">
        <v>549.0</v>
      </c>
      <c r="K49" s="88" t="str">
        <f>HYPERLINK("https://amzn.to/2SYEvAX","link*")</f>
        <v>link*</v>
      </c>
      <c r="L49" s="88" t="str">
        <f>HYPERLINK("https://www.bhphotovideo.com/c/product/1492966-REG/sigma_360965_45mm_f_2_8_dg_dn.html/BI/19619/KBID/12129/DFF/d10-v21-t1-x976020/SID/EZ","link*")</f>
        <v>link*</v>
      </c>
      <c r="M49" s="89" t="s">
        <v>33</v>
      </c>
      <c r="N49" s="88"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49" s="83">
        <v>24.0</v>
      </c>
      <c r="P49" s="84" t="s">
        <v>26</v>
      </c>
      <c r="Q49" s="81">
        <v>7.0</v>
      </c>
      <c r="R49" s="123">
        <v>43654.0</v>
      </c>
      <c r="S49" s="81" t="s">
        <v>41</v>
      </c>
      <c r="T49" s="86">
        <v>43647.0</v>
      </c>
      <c r="U49" s="68" t="s">
        <v>108</v>
      </c>
    </row>
    <row r="50" hidden="1">
      <c r="A50" s="131" t="str">
        <f>HYPERLINK("https://phillipreeve.net/blog/review-voigtlander-50mm-1-2-nokton-e/","Voigtlander 50mm F1.2 Nokton")</f>
        <v>Voigtlander 50mm F1.2 Nokton</v>
      </c>
      <c r="B50" s="76">
        <v>440.0</v>
      </c>
      <c r="C50" s="77">
        <v>50.0</v>
      </c>
      <c r="D50" s="392">
        <v>1.2</v>
      </c>
      <c r="E50" s="144">
        <v>70.0</v>
      </c>
      <c r="F50" s="145">
        <v>58.0</v>
      </c>
      <c r="G50" s="81" t="s">
        <v>24</v>
      </c>
      <c r="H50" s="82" t="s">
        <v>47</v>
      </c>
      <c r="I50" s="346"/>
      <c r="J50" s="87">
        <v>1099.0</v>
      </c>
      <c r="K50" s="88" t="str">
        <f>HYPERLINK("https://amzn.to/2OAfE7N","link*")</f>
        <v>link*</v>
      </c>
      <c r="L50" s="88" t="str">
        <f>HYPERLINK("https://www.bhphotovideo.com/c/product/1433349-REG/voigtlander_ba348a_nokton_50mm_f_1_2_aspherical.html/BI/19619/KBID/12129/DFF/d10-v21-t1-x915623/SID/EZ","link*")</f>
        <v>link*</v>
      </c>
      <c r="M50" s="89" t="s">
        <v>33</v>
      </c>
      <c r="N50"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50" s="83">
        <v>45.0</v>
      </c>
      <c r="P50" s="84" t="s">
        <v>26</v>
      </c>
      <c r="Q50" s="81">
        <v>12.0</v>
      </c>
      <c r="R50" s="123">
        <v>43624.0</v>
      </c>
      <c r="S50" s="81" t="s">
        <v>28</v>
      </c>
      <c r="T50" s="86">
        <v>43556.0</v>
      </c>
    </row>
    <row r="51">
      <c r="A51" s="75" t="s">
        <v>109</v>
      </c>
      <c r="B51" s="76">
        <v>778.0</v>
      </c>
      <c r="C51" s="77">
        <v>50.0</v>
      </c>
      <c r="D51" s="78">
        <v>1.4</v>
      </c>
      <c r="E51" s="144">
        <v>84.0</v>
      </c>
      <c r="F51" s="145">
        <v>108.0</v>
      </c>
      <c r="G51" s="81" t="s">
        <v>30</v>
      </c>
      <c r="H51" s="82" t="s">
        <v>48</v>
      </c>
      <c r="I51" s="81">
        <v>0.15</v>
      </c>
      <c r="J51" s="87">
        <v>1499.0</v>
      </c>
      <c r="K51" s="88" t="str">
        <f>HYPERLINK("https://amzn.to/2K88EL7","link*")</f>
        <v>link*</v>
      </c>
      <c r="L51" s="89" t="s">
        <v>33</v>
      </c>
      <c r="M51" s="89" t="s">
        <v>33</v>
      </c>
      <c r="N51"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51" s="83">
        <v>45.0</v>
      </c>
      <c r="P51" s="84" t="s">
        <v>26</v>
      </c>
      <c r="Q51" s="81">
        <v>11.0</v>
      </c>
      <c r="R51" s="123">
        <v>43720.0</v>
      </c>
      <c r="S51" s="81" t="s">
        <v>32</v>
      </c>
      <c r="T51" s="86">
        <v>42583.0</v>
      </c>
    </row>
    <row r="52">
      <c r="A52" s="75" t="s">
        <v>110</v>
      </c>
      <c r="B52" s="76">
        <v>815.0</v>
      </c>
      <c r="C52" s="77">
        <v>50.0</v>
      </c>
      <c r="D52" s="78">
        <v>1.4</v>
      </c>
      <c r="E52" s="144">
        <v>85.0</v>
      </c>
      <c r="F52" s="145">
        <v>100.0</v>
      </c>
      <c r="G52" s="81" t="s">
        <v>30</v>
      </c>
      <c r="H52" s="82" t="s">
        <v>56</v>
      </c>
      <c r="I52" s="81">
        <v>0.18</v>
      </c>
      <c r="J52" s="87">
        <v>949.0</v>
      </c>
      <c r="K52" s="88" t="str">
        <f>HYPERLINK("https://amzn.to/2K4JmyT","link*")</f>
        <v>link*</v>
      </c>
      <c r="L52" s="88" t="str">
        <f>HYPERLINK("https://www.bhphotovideo.com/c/product/1393493-REG/sigma_50mm_f_1_4_dg_hsm.html/BI/19619/KBID/12129/kw/SI5014SO/DFF/d10-v2-t1-xSI5014SO","link*")</f>
        <v>link*</v>
      </c>
      <c r="M52" s="88" t="str">
        <f>HYPERLINK("https://amzn.to/2Wpdoz5","link*")</f>
        <v>link*</v>
      </c>
      <c r="N52" s="88"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52" s="83">
        <v>40.0</v>
      </c>
      <c r="P52" s="84" t="s">
        <v>26</v>
      </c>
      <c r="Q52" s="81">
        <v>9.0</v>
      </c>
      <c r="R52" s="123">
        <v>43690.0</v>
      </c>
      <c r="S52" s="81" t="s">
        <v>41</v>
      </c>
      <c r="T52" s="86">
        <v>43221.0</v>
      </c>
      <c r="U52" s="68" t="s">
        <v>42</v>
      </c>
    </row>
    <row r="53">
      <c r="A53" s="75" t="s">
        <v>111</v>
      </c>
      <c r="B53" s="76">
        <v>585.0</v>
      </c>
      <c r="C53" s="77">
        <v>50.0</v>
      </c>
      <c r="D53" s="78">
        <v>1.4</v>
      </c>
      <c r="E53" s="144">
        <v>74.0</v>
      </c>
      <c r="F53" s="145">
        <v>98.0</v>
      </c>
      <c r="G53" s="81" t="s">
        <v>30</v>
      </c>
      <c r="H53" s="82" t="s">
        <v>53</v>
      </c>
      <c r="I53" s="81">
        <v>0.15</v>
      </c>
      <c r="J53" s="87">
        <v>699.0</v>
      </c>
      <c r="K53" s="88" t="str">
        <f>HYPERLINK("https://amzn.to/2SY1Pyr","link*")</f>
        <v>link*</v>
      </c>
      <c r="L53" s="88" t="str">
        <f>HYPERLINK("https://www.bhphotovideo.com/c/product/1352862-REG/samyang_syio50af_e_50mm_f_1_4_auto_focus.html/BI/19619/KBID/12129/DFF/d10-v21-t1-x837927/SID/EZ","link*")</f>
        <v>link*</v>
      </c>
      <c r="M53" s="89" t="s">
        <v>33</v>
      </c>
      <c r="N53"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53" s="83">
        <v>45.0</v>
      </c>
      <c r="P53" s="84" t="s">
        <v>26</v>
      </c>
      <c r="Q53" s="81">
        <v>9.0</v>
      </c>
      <c r="R53" s="123">
        <v>43686.0</v>
      </c>
      <c r="S53" s="81" t="s">
        <v>46</v>
      </c>
      <c r="T53" s="86">
        <v>42583.0</v>
      </c>
    </row>
    <row r="54">
      <c r="A54" s="131" t="str">
        <f>HYPERLINK("https://phillipreeve.net/blog/review-sony-fe-1-850/","Sony 50mm F1.8")</f>
        <v>Sony 50mm F1.8</v>
      </c>
      <c r="B54" s="76">
        <v>186.0</v>
      </c>
      <c r="C54" s="77">
        <v>50.0</v>
      </c>
      <c r="D54" s="78">
        <v>1.8</v>
      </c>
      <c r="E54" s="144">
        <v>69.0</v>
      </c>
      <c r="F54" s="145">
        <v>60.0</v>
      </c>
      <c r="G54" s="81" t="s">
        <v>30</v>
      </c>
      <c r="H54" s="82" t="s">
        <v>74</v>
      </c>
      <c r="I54" s="81">
        <v>0.14</v>
      </c>
      <c r="J54" s="153">
        <v>249.0</v>
      </c>
      <c r="K54" s="88" t="str">
        <f>HYPERLINK("http://amzn.to/2v2F5Se","link*")</f>
        <v>link*</v>
      </c>
      <c r="L54" s="88" t="str">
        <f>HYPERLINK("https://www.bhphotovideo.com/c/product/1242613-REG/sony_sel50f18f_fe_50mm_f_1_8_lens.html/BI/19619/KBID/12129/kw/SO5018F/DFF/d10-v2-t1-xSO5018F","link*")</f>
        <v>link*</v>
      </c>
      <c r="M54" s="88" t="str">
        <f>HYPERLINK("http://amzn.to/2wyHB25","link*")</f>
        <v>link*</v>
      </c>
      <c r="N54"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54" s="83">
        <v>45.0</v>
      </c>
      <c r="P54" s="84" t="s">
        <v>26</v>
      </c>
      <c r="Q54" s="81">
        <v>7.0</v>
      </c>
      <c r="R54" s="123">
        <v>43591.0</v>
      </c>
      <c r="S54" s="81" t="s">
        <v>32</v>
      </c>
      <c r="T54" s="86">
        <v>42430.0</v>
      </c>
    </row>
    <row r="55" hidden="1">
      <c r="A55" s="131" t="str">
        <f>HYPERLINK("https://phillipreeve.net/blog/review-zeiss-loxia-planar-250-t/","Zeiss Loxia 50mm F2")</f>
        <v>Zeiss Loxia 50mm F2</v>
      </c>
      <c r="B55" s="76">
        <v>320.0</v>
      </c>
      <c r="C55" s="77">
        <v>50.0</v>
      </c>
      <c r="D55" s="78">
        <v>2.0</v>
      </c>
      <c r="E55" s="144">
        <v>62.0</v>
      </c>
      <c r="F55" s="145">
        <v>60.0</v>
      </c>
      <c r="G55" s="81" t="s">
        <v>24</v>
      </c>
      <c r="H55" s="82" t="s">
        <v>71</v>
      </c>
      <c r="I55" s="81">
        <v>0.15</v>
      </c>
      <c r="J55" s="87">
        <v>949.0</v>
      </c>
      <c r="K55" s="88" t="str">
        <f>HYPERLINK("http://amzn.to/2faVsIu","link*")</f>
        <v>link*</v>
      </c>
      <c r="L55" s="88" t="str">
        <f>HYPERLINK("https://www.bhphotovideo.com/c/product/1080387-REG/zeiss_2103_748_loxia_50mm_f_2_planar.html/BI/19619/KBID/12129/kw/ZE502LFE/DFF/d10-v2-t1-xZE502LFE","link*")</f>
        <v>link*</v>
      </c>
      <c r="M55" s="88" t="str">
        <f>HYPERLINK("http://amzn.to/2wyJAU4","link*")</f>
        <v>link*</v>
      </c>
      <c r="N55"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55" s="83">
        <v>45.0</v>
      </c>
      <c r="P55" s="84" t="s">
        <v>26</v>
      </c>
      <c r="Q55" s="81">
        <v>10.0</v>
      </c>
      <c r="R55" s="123">
        <v>43561.0</v>
      </c>
      <c r="S55" s="81" t="s">
        <v>58</v>
      </c>
      <c r="T55" s="86">
        <v>41913.0</v>
      </c>
      <c r="U55" s="68" t="s">
        <v>101</v>
      </c>
    </row>
    <row r="56">
      <c r="A56" s="131" t="str">
        <f>HYPERLINK("https://phillipreeve.net/blog/rolling-review-sony-fe-2-850-macro/","Sony 50mm F/2.8 Macro")</f>
        <v>Sony 50mm F/2.8 Macro</v>
      </c>
      <c r="B56" s="76">
        <v>236.0</v>
      </c>
      <c r="C56" s="77">
        <v>50.0</v>
      </c>
      <c r="D56" s="78">
        <v>1.8</v>
      </c>
      <c r="E56" s="144">
        <v>72.0</v>
      </c>
      <c r="F56" s="145">
        <v>71.0</v>
      </c>
      <c r="G56" s="81" t="s">
        <v>30</v>
      </c>
      <c r="H56" s="82" t="s">
        <v>90</v>
      </c>
      <c r="I56" s="259">
        <v>1.0</v>
      </c>
      <c r="J56" s="129">
        <v>499.0</v>
      </c>
      <c r="K56" s="88" t="str">
        <f>HYPERLINK("http://amzn.to/2v2g0qz","link*")</f>
        <v>link*</v>
      </c>
      <c r="L56" s="88" t="str">
        <f>HYPERLINK("https://www.bhphotovideo.com/c/product/1277527-REG/sony_sel50m28_fe_50mm_f_2_8_macro.html/BI/19619/KBID/12129/kw/SO5028FF/DFF/d10-v2-t1-xSO5028FF","link*")</f>
        <v>link*</v>
      </c>
      <c r="M56" s="88" t="str">
        <f>HYPERLINK("http://amzn.to/2vbknRN","link*")</f>
        <v>link*</v>
      </c>
      <c r="N56"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56" s="83">
        <v>16.0</v>
      </c>
      <c r="P56" s="84" t="s">
        <v>26</v>
      </c>
      <c r="Q56" s="81">
        <v>7.0</v>
      </c>
      <c r="R56" s="123">
        <v>43654.0</v>
      </c>
      <c r="S56" s="81" t="s">
        <v>32</v>
      </c>
      <c r="T56" s="86">
        <v>42614.0</v>
      </c>
    </row>
    <row r="57">
      <c r="A57" s="131" t="str">
        <f>HYPERLINK("https://phillipreeve.net/blog/sony-fe-1-855-za-sonnar-t-review/","Sony ZA 55mm F1.8 Sonnar")</f>
        <v>Sony ZA 55mm F1.8 Sonnar</v>
      </c>
      <c r="B57" s="76">
        <v>281.0</v>
      </c>
      <c r="C57" s="77">
        <v>55.0</v>
      </c>
      <c r="D57" s="78">
        <v>1.8</v>
      </c>
      <c r="E57" s="144">
        <v>64.0</v>
      </c>
      <c r="F57" s="145">
        <v>71.0</v>
      </c>
      <c r="G57" s="81" t="s">
        <v>30</v>
      </c>
      <c r="H57" s="82" t="s">
        <v>74</v>
      </c>
      <c r="I57" s="81">
        <v>0.14</v>
      </c>
      <c r="J57" s="87">
        <v>999.0</v>
      </c>
      <c r="K57" s="88" t="str">
        <f>HYPERLINK("https://amzn.to/2ywdgEk","link*")</f>
        <v>link*</v>
      </c>
      <c r="L57" s="88" t="str">
        <f>HYPERLINK("https://www.bhphotovideo.com/c/product/1008124-REG/sony_sel55f18z_sonnar_t_fe_55mm.html/BI/19619/KBID/12129/DFF/d10-v21-t1-x466841/SID/EZ","link*")</f>
        <v>link*</v>
      </c>
      <c r="M57" s="89" t="s">
        <v>33</v>
      </c>
      <c r="N57"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57" s="83">
        <v>50.0</v>
      </c>
      <c r="P57" s="84" t="s">
        <v>26</v>
      </c>
      <c r="Q57" s="81">
        <v>9.0</v>
      </c>
      <c r="R57" s="123">
        <v>43592.0</v>
      </c>
      <c r="S57" s="81" t="s">
        <v>32</v>
      </c>
      <c r="T57" s="86">
        <v>41548.0</v>
      </c>
    </row>
    <row r="58" hidden="1">
      <c r="A58" s="131" t="str">
        <f>HYPERLINK("https://phillipreeve.net/blog/voigtlander-65-f2-apo-macro-review/","Voigtlander Macro 65mm F2 Apo Lanthar")</f>
        <v>Voigtlander Macro 65mm F2 Apo Lanthar</v>
      </c>
      <c r="B58" s="76">
        <v>635.0</v>
      </c>
      <c r="C58" s="77">
        <v>65.0</v>
      </c>
      <c r="D58" s="78">
        <v>2.0</v>
      </c>
      <c r="E58" s="144">
        <v>78.0</v>
      </c>
      <c r="F58" s="145">
        <v>91.0</v>
      </c>
      <c r="G58" s="81" t="s">
        <v>24</v>
      </c>
      <c r="H58" s="82" t="s">
        <v>53</v>
      </c>
      <c r="I58" s="393">
        <v>0.5</v>
      </c>
      <c r="J58" s="87">
        <v>999.0</v>
      </c>
      <c r="K58" s="88" t="str">
        <f>HYPERLINK("https://amzn.to/2LU48SI","link*")</f>
        <v>link*</v>
      </c>
      <c r="L58" s="88" t="str">
        <f>HYPERLINK("https://www.bhphotovideo.com/c/product/1350400-REG/voigtlander_macro_apo_lanthar_65mm_f2.html/BI/19619/KBID/12129/DFF/d10-v21-t1-x835677/SID/EZ","link*")</f>
        <v>link*</v>
      </c>
      <c r="M58" s="89" t="s">
        <v>33</v>
      </c>
      <c r="N58"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58" s="83">
        <v>31.0</v>
      </c>
      <c r="P58" s="84" t="s">
        <v>26</v>
      </c>
      <c r="Q58" s="81">
        <v>10.0</v>
      </c>
      <c r="R58" s="123">
        <v>43687.0</v>
      </c>
      <c r="S58" s="81" t="s">
        <v>28</v>
      </c>
      <c r="T58" s="281">
        <v>42917.0</v>
      </c>
    </row>
    <row r="59">
      <c r="A59" s="75" t="s">
        <v>112</v>
      </c>
      <c r="B59" s="76">
        <v>562.0</v>
      </c>
      <c r="C59" s="77">
        <v>70.0</v>
      </c>
      <c r="D59" s="78">
        <v>2.8</v>
      </c>
      <c r="E59" s="144">
        <v>71.0</v>
      </c>
      <c r="F59" s="145">
        <v>106.0</v>
      </c>
      <c r="G59" s="81" t="s">
        <v>30</v>
      </c>
      <c r="H59" s="82" t="s">
        <v>74</v>
      </c>
      <c r="I59" s="259">
        <v>1.0</v>
      </c>
      <c r="J59" s="211">
        <v>569.0</v>
      </c>
      <c r="K59" s="88" t="str">
        <f>HYPERLINK("https://amzn.to/2YGO9te","link*")</f>
        <v>link*</v>
      </c>
      <c r="L59" s="88" t="str">
        <f>HYPERLINK("https://www.bhphotovideo.com/c/product/1393483-REG/sigma_70mm_f_2_8_dg_macro.html/BI/19619/KBID/12129/DFF/d10-v21-t1-x895111/SID/EZ","link*")</f>
        <v>link*</v>
      </c>
      <c r="M59" s="89" t="s">
        <v>33</v>
      </c>
      <c r="N59" s="88"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59" s="83">
        <v>26.0</v>
      </c>
      <c r="P59" s="84" t="s">
        <v>26</v>
      </c>
      <c r="Q59" s="81">
        <v>9.0</v>
      </c>
      <c r="R59" s="123">
        <v>43751.0</v>
      </c>
      <c r="S59" s="81" t="s">
        <v>41</v>
      </c>
      <c r="T59" s="86">
        <v>43221.0</v>
      </c>
      <c r="U59" s="68" t="s">
        <v>42</v>
      </c>
    </row>
    <row r="60">
      <c r="A60" s="75" t="s">
        <v>113</v>
      </c>
      <c r="B60" s="76">
        <v>1480.0</v>
      </c>
      <c r="C60" s="77">
        <v>70.0</v>
      </c>
      <c r="D60" s="78">
        <v>2.8</v>
      </c>
      <c r="E60" s="144">
        <v>88.0</v>
      </c>
      <c r="F60" s="145">
        <v>200.0</v>
      </c>
      <c r="G60" s="81" t="s">
        <v>30</v>
      </c>
      <c r="H60" s="82" t="s">
        <v>56</v>
      </c>
      <c r="I60" s="185">
        <v>0.25</v>
      </c>
      <c r="J60" s="87">
        <v>2599.0</v>
      </c>
      <c r="K60" s="88" t="str">
        <f>HYPERLINK("https://amzn.to/2KbaJGn","link*")</f>
        <v>link*</v>
      </c>
      <c r="L60" s="88" t="str">
        <f>HYPERLINK("https://www.bhphotovideo.com/c/product/1222776-REG/sony_sel70200gm_fe_70_200mm_f_2_8_gm.html/BI/19619/KBID/12129/DFF/d10-v21-t1-x746807/SID/EZ","link*")</f>
        <v>link*</v>
      </c>
      <c r="M60" s="89" t="s">
        <v>33</v>
      </c>
      <c r="N60"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60" s="83">
        <v>96.0</v>
      </c>
      <c r="P60" s="154" t="s">
        <v>49</v>
      </c>
      <c r="Q60" s="81">
        <v>11.0</v>
      </c>
      <c r="R60" s="85" t="s">
        <v>114</v>
      </c>
      <c r="S60" s="81" t="s">
        <v>32</v>
      </c>
      <c r="T60" s="86">
        <v>42401.0</v>
      </c>
    </row>
    <row r="61">
      <c r="A61" s="75" t="s">
        <v>117</v>
      </c>
      <c r="B61" s="76">
        <v>854.0</v>
      </c>
      <c r="C61" s="77">
        <v>70.0</v>
      </c>
      <c r="D61" s="78" t="s">
        <v>118</v>
      </c>
      <c r="E61" s="144">
        <v>84.0</v>
      </c>
      <c r="F61" s="145">
        <v>144.0</v>
      </c>
      <c r="G61" s="81" t="s">
        <v>30</v>
      </c>
      <c r="H61" s="82" t="s">
        <v>48</v>
      </c>
      <c r="I61" s="140">
        <v>0.31</v>
      </c>
      <c r="J61" s="87">
        <v>1198.0</v>
      </c>
      <c r="K61" s="88" t="str">
        <f>HYPERLINK("https://amzn.to/2SVN1Ao","link*")</f>
        <v>link*</v>
      </c>
      <c r="L61" s="88" t="str">
        <f>HYPERLINK("https://www.bhphotovideo.com/c/product/1242614-REG/sony_sel70300g_fe_70_300mm_f_4_5_5_6_g.html/BI/19619/KBID/12129/DFF/d10-v21-t1-x722726/SID/EZ","link*")</f>
        <v>link*</v>
      </c>
      <c r="M61" s="89" t="s">
        <v>33</v>
      </c>
      <c r="N61"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61" s="83">
        <v>90.0</v>
      </c>
      <c r="P61" s="154" t="s">
        <v>49</v>
      </c>
      <c r="Q61" s="81">
        <v>9.0</v>
      </c>
      <c r="R61" s="85" t="s">
        <v>52</v>
      </c>
      <c r="S61" s="81" t="s">
        <v>32</v>
      </c>
      <c r="T61" s="86">
        <v>42430.0</v>
      </c>
    </row>
    <row r="62">
      <c r="A62" s="131" t="str">
        <f>HYPERLINK("https://phillipreeve.net/blog/review-sony-fe-470-200-g-oss/https://phillipreeve.net/blog/review-sony-fe-470-200-g-oss/","Sony G 4/70-200 OSS")</f>
        <v>Sony G 4/70-200 OSS</v>
      </c>
      <c r="B62" s="76">
        <v>840.0</v>
      </c>
      <c r="C62" s="77">
        <v>70.0</v>
      </c>
      <c r="D62" s="78">
        <v>4.0</v>
      </c>
      <c r="E62" s="144">
        <v>80.0</v>
      </c>
      <c r="F62" s="145">
        <v>175.0</v>
      </c>
      <c r="G62" s="81" t="s">
        <v>30</v>
      </c>
      <c r="H62" s="82" t="s">
        <v>48</v>
      </c>
      <c r="I62" s="81">
        <v>0.18</v>
      </c>
      <c r="J62" s="87">
        <v>1498.0</v>
      </c>
      <c r="K62" s="88" t="str">
        <f>HYPERLINK("http://amzn.to/2fbeX3x","link*")</f>
        <v>link*</v>
      </c>
      <c r="L62" s="88" t="str">
        <f>HYPERLINK("https://www.bhphotovideo.com/c/product/1380865-REG/sony_fe_70_200mm_f_4_g.html/BI/19619/KBID/12129/kw/SO702004F/DFF/d10-v2-t1-xSO702004F","link*")</f>
        <v>link*</v>
      </c>
      <c r="M62" s="88" t="str">
        <f>HYPERLINK("http://amzn.to/2vbFQKj","link*")</f>
        <v>link*</v>
      </c>
      <c r="N62"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62" s="83">
        <v>100.0</v>
      </c>
      <c r="P62" s="154" t="s">
        <v>49</v>
      </c>
      <c r="Q62" s="81">
        <v>9.0</v>
      </c>
      <c r="R62" s="85" t="s">
        <v>121</v>
      </c>
      <c r="S62" s="81" t="s">
        <v>32</v>
      </c>
      <c r="T62" s="86">
        <v>41548.0</v>
      </c>
    </row>
    <row r="63">
      <c r="A63" s="131" t="str">
        <f>HYPERLINK("https://phillipreeve.net/blog/review-sony-fe-85mm-1-4-gm/","Sony GM 1.4/85")</f>
        <v>Sony GM 1.4/85</v>
      </c>
      <c r="B63" s="76">
        <v>854.0</v>
      </c>
      <c r="C63" s="77">
        <v>85.0</v>
      </c>
      <c r="D63" s="78">
        <v>1.4</v>
      </c>
      <c r="E63" s="144">
        <v>84.0</v>
      </c>
      <c r="F63" s="145">
        <v>108.0</v>
      </c>
      <c r="G63" s="81" t="s">
        <v>30</v>
      </c>
      <c r="H63" s="82" t="s">
        <v>56</v>
      </c>
      <c r="I63" s="81">
        <v>0.12</v>
      </c>
      <c r="J63" s="87">
        <v>1799.0</v>
      </c>
      <c r="K63" s="88" t="str">
        <f>HYPERLINK("https://amzn.to/2SZeKAh","link*")</f>
        <v>link*</v>
      </c>
      <c r="L63" s="88" t="str">
        <f>HYPERLINK("https://www.bhphotovideo.com/c/product/1222775-REG/sony_sel85f14gm_fe_85mm_f_1_4_gm.html/BI/19619/KBID/12129/DFF/d10-v21-t1-x707644/SID/EZ","link*")</f>
        <v>link*</v>
      </c>
      <c r="M63" s="89" t="s">
        <v>33</v>
      </c>
      <c r="N63"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63" s="83">
        <v>80.0</v>
      </c>
      <c r="P63" s="84" t="s">
        <v>26</v>
      </c>
      <c r="Q63" s="81">
        <v>11.0</v>
      </c>
      <c r="R63" s="123">
        <v>43688.0</v>
      </c>
      <c r="S63" s="81" t="s">
        <v>32</v>
      </c>
      <c r="T63" s="86">
        <v>42401.0</v>
      </c>
    </row>
    <row r="64">
      <c r="A64" s="75" t="s">
        <v>123</v>
      </c>
      <c r="B64" s="76">
        <v>1130.0</v>
      </c>
      <c r="C64" s="77">
        <v>85.0</v>
      </c>
      <c r="D64" s="78">
        <v>1.4</v>
      </c>
      <c r="E64" s="144">
        <v>95.0</v>
      </c>
      <c r="F64" s="145">
        <v>152.0</v>
      </c>
      <c r="G64" s="81" t="s">
        <v>30</v>
      </c>
      <c r="H64" s="232" t="s">
        <v>124</v>
      </c>
      <c r="I64" s="81">
        <v>0.12</v>
      </c>
      <c r="J64" s="87">
        <v>1199.0</v>
      </c>
      <c r="K64" s="88" t="str">
        <f>HYPERLINK("https://amzn.to/2MBd68k","link*")</f>
        <v>link*</v>
      </c>
      <c r="L64" s="88" t="str">
        <f>HYPERLINK("https://www.bhphotovideo.com/c/product/1393494-REG/sigma_85mm_f_1_4_dg_hsm.html/BI/19619/KBID/12129/kw/SI8514SO/DFF/d10-v2-t1-xSI8514SO","link*")</f>
        <v>link*</v>
      </c>
      <c r="M64" s="88" t="str">
        <f>HYPERLINK("https://amzn.to/2Wto6JH","link*")</f>
        <v>link*</v>
      </c>
      <c r="N64"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64" s="83">
        <v>85.0</v>
      </c>
      <c r="P64" s="84" t="s">
        <v>26</v>
      </c>
      <c r="Q64" s="81">
        <v>9.0</v>
      </c>
      <c r="R64" s="123">
        <v>43724.0</v>
      </c>
      <c r="S64" s="81" t="s">
        <v>41</v>
      </c>
      <c r="T64" s="86">
        <v>43221.0</v>
      </c>
      <c r="U64" s="68" t="s">
        <v>42</v>
      </c>
    </row>
    <row r="65">
      <c r="A65" s="75" t="s">
        <v>125</v>
      </c>
      <c r="B65" s="76">
        <v>568.0</v>
      </c>
      <c r="C65" s="77">
        <v>85.0</v>
      </c>
      <c r="D65" s="78">
        <v>1.4</v>
      </c>
      <c r="E65" s="144">
        <v>88.0</v>
      </c>
      <c r="F65" s="145">
        <v>100.0</v>
      </c>
      <c r="G65" s="81" t="s">
        <v>30</v>
      </c>
      <c r="H65" s="82" t="s">
        <v>56</v>
      </c>
      <c r="I65" s="81">
        <v>0.11</v>
      </c>
      <c r="J65" s="153">
        <v>699.0</v>
      </c>
      <c r="K65" s="88" t="str">
        <f>HYPERLINK("https://amzn.to/2T0yJ1A","link*")</f>
        <v>link*</v>
      </c>
      <c r="L65" s="88" t="str">
        <f>HYPERLINK("https://www.bhphotovideo.com/c/product/1470654-REG/samyang_syio85af_e_af_85mm_f_1_4_lens.html/BI/19619/KBID/12129/DFF/d10-v21-t1-x955078/SID/EZ","link*")</f>
        <v>link*</v>
      </c>
      <c r="M65" s="89" t="s">
        <v>33</v>
      </c>
      <c r="N65"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65" s="83">
        <v>90.0</v>
      </c>
      <c r="P65" s="84" t="s">
        <v>26</v>
      </c>
      <c r="Q65" s="81">
        <v>9.0</v>
      </c>
      <c r="R65" s="123">
        <v>43688.0</v>
      </c>
      <c r="S65" s="81" t="s">
        <v>46</v>
      </c>
      <c r="T65" s="86">
        <v>43586.0</v>
      </c>
    </row>
    <row r="66">
      <c r="A66" s="131" t="str">
        <f>HYPERLINK("https://phillipreeve.net/blog/review-sony-fe-85-mm-1-8/","Sony FE 85mm f/1.8")</f>
        <v>Sony FE 85mm f/1.8</v>
      </c>
      <c r="B66" s="76">
        <v>371.0</v>
      </c>
      <c r="C66" s="77">
        <v>85.0</v>
      </c>
      <c r="D66" s="78">
        <v>1.8</v>
      </c>
      <c r="E66" s="144">
        <v>77.0</v>
      </c>
      <c r="F66" s="145">
        <v>82.0</v>
      </c>
      <c r="G66" s="81" t="s">
        <v>30</v>
      </c>
      <c r="H66" s="82" t="s">
        <v>53</v>
      </c>
      <c r="I66" s="81">
        <v>0.13</v>
      </c>
      <c r="J66" s="153">
        <v>599.0</v>
      </c>
      <c r="K66" s="88" t="str">
        <f>HYPERLINK("https://amzn.to/2YB4RxU","link*")</f>
        <v>link*</v>
      </c>
      <c r="L66" s="88" t="str">
        <f t="shared" ref="L66:L67" si="3">HYPERLINK("https://www.bhphotovideo.com/c/product/1140833-REG/zeiss_2103_751_85mm_f_1_8_batis_short.html/BI/19619/KBID/12129/DFF/d10-v21-t1-x627139/SID/EZ","link*")</f>
        <v>link*</v>
      </c>
      <c r="M66" s="89" t="s">
        <v>33</v>
      </c>
      <c r="N66"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66" s="83">
        <v>80.0</v>
      </c>
      <c r="P66" s="84" t="s">
        <v>26</v>
      </c>
      <c r="Q66" s="81">
        <v>9.0</v>
      </c>
      <c r="R66" s="123">
        <v>43686.0</v>
      </c>
      <c r="S66" s="81" t="s">
        <v>32</v>
      </c>
      <c r="T66" s="86">
        <v>42767.0</v>
      </c>
    </row>
    <row r="67">
      <c r="A67" s="131" t="str">
        <f>HYPERLINK("https://phillipreeve.net/blog/zeiss-batis-sonnar-t-85mm-f1-8-a-review/","Zeiss Batis 1.8/85")</f>
        <v>Zeiss Batis 1.8/85</v>
      </c>
      <c r="B67" s="76">
        <v>475.0</v>
      </c>
      <c r="C67" s="77">
        <v>85.0</v>
      </c>
      <c r="D67" s="78">
        <v>1.8</v>
      </c>
      <c r="E67" s="144">
        <v>92.0</v>
      </c>
      <c r="F67" s="145">
        <v>81.0</v>
      </c>
      <c r="G67" s="81" t="s">
        <v>30</v>
      </c>
      <c r="H67" s="82" t="s">
        <v>53</v>
      </c>
      <c r="I67" s="81">
        <v>0.13</v>
      </c>
      <c r="J67" s="87">
        <v>1199.0</v>
      </c>
      <c r="K67" s="88" t="str">
        <f>HYPERLINK("https://amzn.to/2T8oWqt","link*")</f>
        <v>link*</v>
      </c>
      <c r="L67" s="88" t="str">
        <f t="shared" si="3"/>
        <v>link*</v>
      </c>
      <c r="M67" s="89" t="s">
        <v>33</v>
      </c>
      <c r="N67"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67" s="83">
        <v>80.0</v>
      </c>
      <c r="P67" s="154" t="s">
        <v>49</v>
      </c>
      <c r="Q67" s="81">
        <v>9.0</v>
      </c>
      <c r="R67" s="123">
        <v>43688.0</v>
      </c>
      <c r="S67" s="81" t="s">
        <v>58</v>
      </c>
      <c r="T67" s="86">
        <v>42125.0</v>
      </c>
    </row>
    <row r="68" hidden="1">
      <c r="A68" s="75" t="s">
        <v>129</v>
      </c>
      <c r="B68" s="76">
        <v>665.0</v>
      </c>
      <c r="C68" s="77">
        <v>85.0</v>
      </c>
      <c r="D68" s="78">
        <v>1.8</v>
      </c>
      <c r="E68" s="144">
        <v>79.0</v>
      </c>
      <c r="F68" s="145">
        <v>92.0</v>
      </c>
      <c r="G68" s="81" t="s">
        <v>24</v>
      </c>
      <c r="H68" s="82" t="s">
        <v>48</v>
      </c>
      <c r="I68" s="81">
        <v>0.13</v>
      </c>
      <c r="J68" s="87">
        <v>299.0</v>
      </c>
      <c r="K68" s="88" t="str">
        <f>HYPERLINK("https://amzn.to/2LVVOBV","link*")</f>
        <v>link*</v>
      </c>
      <c r="L68" s="88" t="str">
        <f>HYPERLINK("https://www.bhphotovideo.com/c/product/1469189-REG/viltrox_pfu_rbmh_85mm_f1_8_e_mount_85mm_f_1_8_for_sony.html/BI/19619/KBID/12129/DFF/d10-v21-t1-x954301/SID/EZ","link*")</f>
        <v>link*</v>
      </c>
      <c r="M68" s="89" t="s">
        <v>33</v>
      </c>
      <c r="N68"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68" s="83">
        <v>80.0</v>
      </c>
      <c r="P68" s="84" t="s">
        <v>26</v>
      </c>
      <c r="Q68" s="81">
        <v>9.0</v>
      </c>
      <c r="R68" s="123">
        <v>43656.0</v>
      </c>
      <c r="S68" s="81" t="s">
        <v>63</v>
      </c>
      <c r="T68" s="233">
        <v>43586.0</v>
      </c>
      <c r="U68" s="68" t="s">
        <v>236</v>
      </c>
    </row>
    <row r="69">
      <c r="A69" s="75" t="s">
        <v>229</v>
      </c>
      <c r="B69" s="76">
        <v>636.0</v>
      </c>
      <c r="C69" s="77">
        <v>85.0</v>
      </c>
      <c r="D69" s="78">
        <v>1.8</v>
      </c>
      <c r="E69" s="144">
        <v>79.0</v>
      </c>
      <c r="F69" s="145">
        <v>92.0</v>
      </c>
      <c r="G69" s="81" t="s">
        <v>30</v>
      </c>
      <c r="H69" s="82" t="s">
        <v>48</v>
      </c>
      <c r="I69" s="81">
        <v>0.13</v>
      </c>
      <c r="J69" s="87">
        <v>379.0</v>
      </c>
      <c r="K69" s="88" t="str">
        <f>HYPERLINK("https://amzn.to/2SZfd5v","link*")</f>
        <v>link*</v>
      </c>
      <c r="L69" s="88" t="str">
        <f>HYPERLINK("https://www.bhphotovideo.com/c/product/1470585-REG/viltrox_pfu_rbmh_85mm_f1_8_stm_e_mount_85mm_f_1_8_lens_for.html/BI/19619/KBID/12129/DFF/d10-v21-t1-x955239/SID/EZ","link*")</f>
        <v>link*</v>
      </c>
      <c r="M69" s="89" t="s">
        <v>33</v>
      </c>
      <c r="N69"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69" s="83">
        <v>80.0</v>
      </c>
      <c r="P69" s="84" t="s">
        <v>26</v>
      </c>
      <c r="Q69" s="81">
        <v>9.0</v>
      </c>
      <c r="R69" s="123">
        <v>43656.0</v>
      </c>
      <c r="S69" s="81" t="s">
        <v>63</v>
      </c>
      <c r="T69" s="86">
        <v>43586.0</v>
      </c>
    </row>
    <row r="70" hidden="1">
      <c r="A70" s="131" t="str">
        <f>HYPERLINK("https://phillipreeve.net/blog/rolling-review-zeiss-loxia-85mm-2-4/","Zeiss Loxia 2.4/85")</f>
        <v>Zeiss Loxia 2.4/85</v>
      </c>
      <c r="B70" s="76">
        <v>594.0</v>
      </c>
      <c r="C70" s="77">
        <v>85.0</v>
      </c>
      <c r="D70" s="78">
        <v>2.4</v>
      </c>
      <c r="E70" s="144">
        <v>63.0</v>
      </c>
      <c r="F70" s="145">
        <v>95.0</v>
      </c>
      <c r="G70" s="81" t="s">
        <v>24</v>
      </c>
      <c r="H70" s="82" t="s">
        <v>71</v>
      </c>
      <c r="I70" s="81">
        <v>0.14</v>
      </c>
      <c r="J70" s="87">
        <v>1399.0</v>
      </c>
      <c r="K70" s="88" t="str">
        <f>HYPERLINK("https://amzn.to/2SY4PLd","link*")</f>
        <v>link*</v>
      </c>
      <c r="L70" s="88" t="str">
        <f>HYPERLINK("https://www.bhphotovideo.com/c/product/1282150-REG/zeiss_2162_636_loxia_85mm_f_2_4_lens.html/BI/19619/KBID/12129/DFF/d10-v21-t1-x762761/SID/EZ","link*")</f>
        <v>link*</v>
      </c>
      <c r="M70" s="89" t="s">
        <v>33</v>
      </c>
      <c r="N70"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70" s="83">
        <v>80.0</v>
      </c>
      <c r="P70" s="84" t="s">
        <v>26</v>
      </c>
      <c r="Q70" s="81">
        <v>10.0</v>
      </c>
      <c r="R70" s="123">
        <v>43653.0</v>
      </c>
      <c r="S70" s="81" t="s">
        <v>58</v>
      </c>
      <c r="T70" s="86">
        <v>42644.0</v>
      </c>
    </row>
    <row r="71">
      <c r="A71" s="131" t="str">
        <f>HYPERLINK("https://phillipreeve.net/blog/review-sony-fe-90mm-f2-8-macro-oss-one-of-sonys-finest/","Sony 2.8/90 G OSS")</f>
        <v>Sony 2.8/90 G OSS</v>
      </c>
      <c r="B71" s="76">
        <v>602.0</v>
      </c>
      <c r="C71" s="77">
        <v>90.0</v>
      </c>
      <c r="D71" s="78">
        <v>2.8</v>
      </c>
      <c r="E71" s="144">
        <v>79.0</v>
      </c>
      <c r="F71" s="145">
        <v>131.0</v>
      </c>
      <c r="G71" s="81" t="s">
        <v>30</v>
      </c>
      <c r="H71" s="82" t="s">
        <v>66</v>
      </c>
      <c r="I71" s="259">
        <v>1.0</v>
      </c>
      <c r="J71" s="87">
        <v>1099.0</v>
      </c>
      <c r="K71" s="88" t="str">
        <f>HYPERLINK("http://amzn.to/2fbeX3x","link*")</f>
        <v>link*</v>
      </c>
      <c r="L71" s="88" t="str">
        <f>HYPERLINK("https://www.bhphotovideo.com/c/product/1380868-REG/sony_fe_90mm_f_2_8_macro.html/BI/19619/KBID/12129/kw/SO9028F/DFF/d10-v2-t1-xSO9028F","link*")</f>
        <v>link*</v>
      </c>
      <c r="M71" s="88" t="str">
        <f>HYPERLINK("http://amzn.to/2vvvHcw","link*")</f>
        <v>link*</v>
      </c>
      <c r="N71"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71" s="83">
        <v>28.0</v>
      </c>
      <c r="P71" s="154" t="s">
        <v>49</v>
      </c>
      <c r="Q71" s="81">
        <v>9.0</v>
      </c>
      <c r="R71" s="123">
        <v>43784.0</v>
      </c>
      <c r="S71" s="81" t="s">
        <v>32</v>
      </c>
      <c r="T71" s="86">
        <v>42064.0</v>
      </c>
    </row>
    <row r="72">
      <c r="A72" s="131" t="str">
        <f>HYPERLINK("https://phillipreeve.net/blog/review-sony-fe-100-f-2-8-stf-gm-oss-lens/","Sony GM 2.8/100 STF OSS")</f>
        <v>Sony GM 2.8/100 STF OSS</v>
      </c>
      <c r="B72" s="76">
        <v>700.0</v>
      </c>
      <c r="C72" s="77">
        <v>100.0</v>
      </c>
      <c r="D72" s="78">
        <v>2.8</v>
      </c>
      <c r="E72" s="144">
        <v>85.0</v>
      </c>
      <c r="F72" s="145">
        <v>118.0</v>
      </c>
      <c r="G72" s="81" t="s">
        <v>30</v>
      </c>
      <c r="H72" s="82" t="s">
        <v>48</v>
      </c>
      <c r="I72" s="185">
        <v>0.25</v>
      </c>
      <c r="J72" s="87">
        <v>1499.0</v>
      </c>
      <c r="K72" s="88" t="str">
        <f>HYPERLINK("https://amzn.to/2YD8rn4","link*")</f>
        <v>link*</v>
      </c>
      <c r="L72" s="88" t="str">
        <f>HYPERLINK("https://www.bhphotovideo.com/c/product/1317561-REG/sony_sel100f28gm_fe_100mm_f_2_8_stf.html/BI/19619/KBID/12129/DFF/d10-v21-t1-x795192/SID/EZ","link*")</f>
        <v>link*</v>
      </c>
      <c r="M72" s="89" t="s">
        <v>33</v>
      </c>
      <c r="N72"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72" s="83">
        <v>57.0</v>
      </c>
      <c r="P72" s="154" t="s">
        <v>49</v>
      </c>
      <c r="Q72" s="81">
        <v>11.0</v>
      </c>
      <c r="R72" s="123">
        <v>43752.0</v>
      </c>
      <c r="S72" s="81" t="s">
        <v>32</v>
      </c>
      <c r="T72" s="86">
        <v>42767.0</v>
      </c>
      <c r="U72" s="68" t="s">
        <v>132</v>
      </c>
    </row>
    <row r="73">
      <c r="A73" s="131" t="str">
        <f>HYPERLINK("https://phillipreeve.net/blog/review-tokina-firin-100mm-f2-8-fe-macro/","Tokina Firin 2.8/100 Macro")</f>
        <v>Tokina Firin 2.8/100 Macro</v>
      </c>
      <c r="B73" s="76">
        <v>570.0</v>
      </c>
      <c r="C73" s="77">
        <v>100.0</v>
      </c>
      <c r="D73" s="78">
        <v>2.8</v>
      </c>
      <c r="E73" s="144">
        <v>74.0</v>
      </c>
      <c r="F73" s="151">
        <v>123.0</v>
      </c>
      <c r="G73" s="81" t="s">
        <v>30</v>
      </c>
      <c r="H73" s="82" t="s">
        <v>90</v>
      </c>
      <c r="I73" s="259">
        <v>1.0</v>
      </c>
      <c r="J73" s="129">
        <v>599.0</v>
      </c>
      <c r="K73" s="88" t="str">
        <f>HYPERLINK("http://amzn.to/2fbeX3x","link*")</f>
        <v>link*</v>
      </c>
      <c r="L73" s="88" t="str">
        <f>HYPERLINK("https://www.bhphotovideo.com/c/product/1473390-REG/tokina_frn_afm100fxse_firin_100mm_f_2_8_fe.html/BI/19619/KBID/12129/kw/TO100AF/DFF/d10-v2-t1-xTO100AF","link*")</f>
        <v>link*</v>
      </c>
      <c r="M73"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73"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73" s="83">
        <v>30.0</v>
      </c>
      <c r="P73" s="84" t="s">
        <v>26</v>
      </c>
      <c r="Q73" s="81">
        <v>9.0</v>
      </c>
      <c r="R73" s="123">
        <v>43686.0</v>
      </c>
      <c r="S73" s="81" t="s">
        <v>67</v>
      </c>
      <c r="T73" s="86">
        <v>43617.0</v>
      </c>
      <c r="U73" s="68" t="s">
        <v>42</v>
      </c>
    </row>
    <row r="74">
      <c r="A74" s="75" t="s">
        <v>135</v>
      </c>
      <c r="B74" s="76">
        <v>1395.0</v>
      </c>
      <c r="C74" s="77">
        <v>100.0</v>
      </c>
      <c r="D74" s="78" t="s">
        <v>118</v>
      </c>
      <c r="E74" s="144">
        <v>94.0</v>
      </c>
      <c r="F74" s="151">
        <v>205.0</v>
      </c>
      <c r="G74" s="81" t="s">
        <v>30</v>
      </c>
      <c r="H74" s="82" t="s">
        <v>56</v>
      </c>
      <c r="I74" s="185">
        <v>0.35</v>
      </c>
      <c r="J74" s="87">
        <v>2499.0</v>
      </c>
      <c r="K74" s="88" t="str">
        <f>HYPERLINK("https://amzn.to/2SZ0aZO","link*")</f>
        <v>link*</v>
      </c>
      <c r="L74" s="88" t="str">
        <f>HYPERLINK("https://www.bhphotovideo.com/c/product/1333230-REG/sony_sel100400gm_fe_100_400mm_f_4_5_5_6_gm.html/BI/19619/KBID/12129/DFF/d10-v21-t1-x817745/SID/EZ","link*")</f>
        <v>link*</v>
      </c>
      <c r="M74" s="89" t="s">
        <v>33</v>
      </c>
      <c r="N74"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74" s="83">
        <v>98.0</v>
      </c>
      <c r="P74" s="154" t="s">
        <v>49</v>
      </c>
      <c r="Q74" s="81">
        <v>11.0</v>
      </c>
      <c r="R74" s="85" t="s">
        <v>134</v>
      </c>
      <c r="S74" s="81" t="s">
        <v>32</v>
      </c>
      <c r="T74" s="86">
        <v>42826.0</v>
      </c>
    </row>
    <row r="75" customHeight="1">
      <c r="A75" s="75" t="s">
        <v>136</v>
      </c>
      <c r="B75" s="76">
        <v>1600.0</v>
      </c>
      <c r="C75" s="77">
        <v>105.0</v>
      </c>
      <c r="D75" s="78">
        <v>1.4</v>
      </c>
      <c r="E75" s="144">
        <v>116.0</v>
      </c>
      <c r="F75" s="151">
        <v>132.0</v>
      </c>
      <c r="G75" s="81" t="s">
        <v>30</v>
      </c>
      <c r="H75" s="384" t="s">
        <v>137</v>
      </c>
      <c r="I75" s="81">
        <v>0.12</v>
      </c>
      <c r="J75" s="87">
        <v>1599.0</v>
      </c>
      <c r="K75" s="88" t="str">
        <f>HYPERLINK("https://amzn.to/2EWeThZ","link*")</f>
        <v>link*</v>
      </c>
      <c r="L75" s="88" t="str">
        <f>HYPERLINK("https://www.bhphotovideo.com/c/product/1393488-REG/sigma_105mm_f_1_4_dg_hsm.html/BI/19619/KBID/12129/kw/SI10514SO/DFF/d10-v2-t1-xSI10514SO","link*")</f>
        <v>link*</v>
      </c>
      <c r="M75" s="88" t="str">
        <f>HYPERLINK("https://amzn.to/2WpOvTy","link*")</f>
        <v>link*</v>
      </c>
      <c r="N75"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75" s="83">
        <v>100.0</v>
      </c>
      <c r="P75" s="84" t="s">
        <v>26</v>
      </c>
      <c r="Q75" s="81">
        <v>9.0</v>
      </c>
      <c r="R75" s="123">
        <v>43816.0</v>
      </c>
      <c r="S75" s="81" t="s">
        <v>138</v>
      </c>
      <c r="T75" s="86">
        <v>43221.0</v>
      </c>
      <c r="U75" s="68" t="s">
        <v>42</v>
      </c>
    </row>
    <row r="76" hidden="1">
      <c r="A76" s="131" t="str">
        <f>HYPERLINK("https://phillipreeve.net/blog/voigtlander-110mm-f2-5-apo-review/","Voigtlander 110mm F2.5 APO Macro")</f>
        <v>Voigtlander 110mm F2.5 APO Macro</v>
      </c>
      <c r="B76" s="76">
        <v>771.0</v>
      </c>
      <c r="C76" s="77">
        <v>110.0</v>
      </c>
      <c r="D76" s="78">
        <v>2.5</v>
      </c>
      <c r="E76" s="144">
        <v>78.0</v>
      </c>
      <c r="F76" s="145">
        <v>100.0</v>
      </c>
      <c r="G76" s="81" t="s">
        <v>24</v>
      </c>
      <c r="H76" s="82" t="s">
        <v>47</v>
      </c>
      <c r="I76" s="259">
        <v>1.0</v>
      </c>
      <c r="J76" s="87">
        <v>1099.0</v>
      </c>
      <c r="K76" s="88" t="str">
        <f>HYPERLINK("https://amzn.to/2SXYsrm","link*")</f>
        <v>link*</v>
      </c>
      <c r="L76" s="88" t="str">
        <f>HYPERLINK("https://www.bhphotovideo.com/c/product/1418780-REG/voigtlander_ba349a_macro_apo_lanthar_110mm_f_2_5.html/BI/19619/KBID/12129/kw/VO11025/DFF/d10-v2-t1-xVO11025","link*")</f>
        <v>link*</v>
      </c>
      <c r="M76" s="89" t="s">
        <v>33</v>
      </c>
      <c r="N76"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76" s="83">
        <v>35.0</v>
      </c>
      <c r="P76" s="84" t="s">
        <v>26</v>
      </c>
      <c r="Q76" s="81">
        <v>10.0</v>
      </c>
      <c r="R76" s="123">
        <v>43813.0</v>
      </c>
      <c r="S76" s="81" t="s">
        <v>28</v>
      </c>
      <c r="T76" s="86">
        <v>43405.0</v>
      </c>
    </row>
    <row r="77">
      <c r="A77" s="131" t="str">
        <f>HYPERLINK("https://phillipreeve.net/blog/review-sony-fe-135mm-f1-8-gm/","Sony 1.8/135 GM")</f>
        <v>Sony 1.8/135 GM</v>
      </c>
      <c r="B77" s="76">
        <v>950.0</v>
      </c>
      <c r="C77" s="77">
        <v>135.0</v>
      </c>
      <c r="D77" s="78">
        <v>1.8</v>
      </c>
      <c r="E77" s="144">
        <v>90.0</v>
      </c>
      <c r="F77" s="145">
        <v>127.0</v>
      </c>
      <c r="G77" s="81" t="s">
        <v>30</v>
      </c>
      <c r="H77" s="270" t="s">
        <v>51</v>
      </c>
      <c r="I77" s="185">
        <v>0.25</v>
      </c>
      <c r="J77" s="87">
        <v>1899.0</v>
      </c>
      <c r="K77" s="88" t="str">
        <f>HYPERLINK("https://amzn.to/2WtonMJ","link*")</f>
        <v>link*</v>
      </c>
      <c r="L77" s="88" t="str">
        <f>HYPERLINK("https://www.bhphotovideo.com/c/product/1393495-REG/sigma_135mm_f_1_8_dg_hsm.html/BI/19619/KBID/12129/kw/SI13518SO/DFF/d10-v2-t1-xSI13518SO","link*")</f>
        <v>link*</v>
      </c>
      <c r="M77" s="88" t="str">
        <f>HYPERLINK("https://amzn.to/2Z9KKDE","link*")</f>
        <v>link*</v>
      </c>
      <c r="N77"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77" s="83">
        <v>70.0</v>
      </c>
      <c r="P77" s="84" t="s">
        <v>26</v>
      </c>
      <c r="Q77" s="81">
        <v>11.0</v>
      </c>
      <c r="R77" s="123">
        <v>43751.0</v>
      </c>
      <c r="S77" s="81" t="s">
        <v>32</v>
      </c>
      <c r="T77" s="86">
        <v>43525.0</v>
      </c>
    </row>
    <row r="78">
      <c r="A78" s="75" t="s">
        <v>142</v>
      </c>
      <c r="B78" s="76">
        <v>1130.0</v>
      </c>
      <c r="C78" s="77">
        <v>135.0</v>
      </c>
      <c r="D78" s="78">
        <v>1.8</v>
      </c>
      <c r="E78" s="144">
        <v>91.0</v>
      </c>
      <c r="F78" s="145">
        <v>115.0</v>
      </c>
      <c r="G78" s="81" t="s">
        <v>30</v>
      </c>
      <c r="H78" s="270" t="s">
        <v>51</v>
      </c>
      <c r="I78" s="81">
        <v>0.2</v>
      </c>
      <c r="J78" s="129">
        <v>1399.0</v>
      </c>
      <c r="K78" s="88" t="str">
        <f>HYPERLINK("https://amzn.to/2yxIM4R","link*")</f>
        <v>link*</v>
      </c>
      <c r="L78" s="88" t="str">
        <f>HYPERLINK("https://www.bhphotovideo.com/c/product/1393495-REG/sigma_135mm_f_1_8_dg_hsm.html/BI/19619/KBID/12129/DFF/d10-v21-t1-x881160/SID/EZ","link*")</f>
        <v>link*</v>
      </c>
      <c r="M78" s="89" t="s">
        <v>33</v>
      </c>
      <c r="N78"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78" s="83">
        <v>87.0</v>
      </c>
      <c r="P78" s="84" t="s">
        <v>26</v>
      </c>
      <c r="Q78" s="81">
        <v>9.0</v>
      </c>
      <c r="R78" s="123">
        <v>43751.0</v>
      </c>
      <c r="S78" s="81" t="s">
        <v>41</v>
      </c>
      <c r="T78" s="86">
        <v>43221.0</v>
      </c>
      <c r="U78" s="68" t="s">
        <v>42</v>
      </c>
    </row>
    <row r="79">
      <c r="A79" s="131" t="str">
        <f>HYPERLINK("https://phillipreeve.net/blog/zeiss-batis-apo-sonnar-t-135mm-f2-8/","Zeiss 2.8/135 APO")</f>
        <v>Zeiss 2.8/135 APO</v>
      </c>
      <c r="B79" s="76">
        <v>614.0</v>
      </c>
      <c r="C79" s="77">
        <v>135.0</v>
      </c>
      <c r="D79" s="78">
        <v>2.8</v>
      </c>
      <c r="E79" s="144">
        <v>99.0</v>
      </c>
      <c r="F79" s="145">
        <v>120.0</v>
      </c>
      <c r="G79" s="81" t="s">
        <v>30</v>
      </c>
      <c r="H79" s="82" t="s">
        <v>53</v>
      </c>
      <c r="I79" s="81">
        <v>0.19</v>
      </c>
      <c r="J79" s="87">
        <v>1699.0</v>
      </c>
      <c r="K79" s="88" t="str">
        <f>HYPERLINK("https://amzn.to/319GJA4","link*")</f>
        <v>link*</v>
      </c>
      <c r="L79" s="88" t="str">
        <f>HYPERLINK("https://www.bhphotovideo.com/c/product/1330083-REG/zeiss_2136_695_batis_135mm_f_2_8_lens.html/BI/19619/KBID/12129/DFF/d10-v21-t1-x814884/SID/EZ","link*")</f>
        <v>link*</v>
      </c>
      <c r="M79" s="89" t="s">
        <v>33</v>
      </c>
      <c r="N79"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79" s="83">
        <v>87.0</v>
      </c>
      <c r="P79" s="154" t="s">
        <v>49</v>
      </c>
      <c r="Q79" s="81">
        <v>9.0</v>
      </c>
      <c r="R79" s="123">
        <v>43783.0</v>
      </c>
      <c r="S79" s="81" t="s">
        <v>58</v>
      </c>
      <c r="T79" s="86">
        <v>42826.0</v>
      </c>
    </row>
    <row r="80">
      <c r="A80" s="75" t="s">
        <v>144</v>
      </c>
      <c r="B80" s="76">
        <v>2215.0</v>
      </c>
      <c r="C80" s="77">
        <v>200.0</v>
      </c>
      <c r="D80" s="78" t="s">
        <v>145</v>
      </c>
      <c r="E80" s="144">
        <v>112.0</v>
      </c>
      <c r="F80" s="145">
        <v>318.0</v>
      </c>
      <c r="G80" s="81" t="s">
        <v>30</v>
      </c>
      <c r="H80" s="198" t="s">
        <v>92</v>
      </c>
      <c r="I80" s="81">
        <v>0.2</v>
      </c>
      <c r="J80" s="87">
        <v>1999.0</v>
      </c>
      <c r="K80" s="89"/>
      <c r="L80" s="88" t="str">
        <f>HYPERLINK("https://www.bhphotovideo.com/c/product/1485540-REG/sony_sel200600g_fe_200_600mm_f_5_6_6_3_g.html/BI/19619/KBID/12129/DFF/d10-v21-t1-x968882/SID/EZ","link*")</f>
        <v>link*</v>
      </c>
      <c r="M80" s="89" t="s">
        <v>33</v>
      </c>
      <c r="N80"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80" s="83">
        <v>240.0</v>
      </c>
      <c r="P80" s="154" t="s">
        <v>49</v>
      </c>
      <c r="Q80" s="81">
        <v>11.0</v>
      </c>
      <c r="R80" s="85" t="s">
        <v>146</v>
      </c>
      <c r="S80" s="81" t="s">
        <v>32</v>
      </c>
      <c r="T80" s="86">
        <v>43647.0</v>
      </c>
    </row>
    <row r="81">
      <c r="A81" s="75" t="s">
        <v>147</v>
      </c>
      <c r="B81" s="76">
        <v>2895.0</v>
      </c>
      <c r="C81" s="77">
        <v>400.0</v>
      </c>
      <c r="D81" s="78">
        <v>2.8</v>
      </c>
      <c r="E81" s="144">
        <v>158.0</v>
      </c>
      <c r="F81" s="145">
        <v>359.0</v>
      </c>
      <c r="G81" s="81" t="s">
        <v>30</v>
      </c>
      <c r="H81" s="82" t="s">
        <v>148</v>
      </c>
      <c r="I81" s="81">
        <v>0.16</v>
      </c>
      <c r="J81" s="87">
        <v>11999.0</v>
      </c>
      <c r="K81" s="89"/>
      <c r="L81" s="88" t="str">
        <f>HYPERLINK("https://www.bhphotovideo.com/c/product/1369634-REG/sony_fe_400mm_f_2_8_gm.html/BI/19619/KBID/12129/DFF/d10-v21-t1-x905722/SID/EZ","link*")</f>
        <v>link*</v>
      </c>
      <c r="M81" s="89" t="s">
        <v>33</v>
      </c>
      <c r="N81"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81" s="83">
        <v>270.0</v>
      </c>
      <c r="P81" s="154" t="s">
        <v>49</v>
      </c>
      <c r="Q81" s="81">
        <v>11.0</v>
      </c>
      <c r="R81" s="85" t="s">
        <v>149</v>
      </c>
      <c r="S81" s="81" t="s">
        <v>32</v>
      </c>
      <c r="T81" s="86">
        <v>43313.0</v>
      </c>
    </row>
    <row r="82">
      <c r="A82" s="212" t="s">
        <v>150</v>
      </c>
      <c r="B82" s="213">
        <v>3040.0</v>
      </c>
      <c r="C82" s="214">
        <v>600.0</v>
      </c>
      <c r="D82" s="215">
        <v>4.0</v>
      </c>
      <c r="E82" s="144">
        <v>164.0</v>
      </c>
      <c r="F82" s="145">
        <v>449.0</v>
      </c>
      <c r="G82" s="218" t="s">
        <v>30</v>
      </c>
      <c r="H82" s="219" t="s">
        <v>25</v>
      </c>
      <c r="I82" s="218">
        <v>0.14</v>
      </c>
      <c r="J82" s="141" t="s">
        <v>230</v>
      </c>
      <c r="K82" s="89"/>
      <c r="L82" s="88" t="str">
        <f>HYPERLINK("https://www.bhphotovideo.com/c/product/1485539-REG/sony_sel600f40gm_fe_600mm_f_4_gm.html/BI/19619/KBID/12129/DFF/d10-v21-t1-x968881/SID/EZ","link*")</f>
        <v>link*</v>
      </c>
      <c r="M82" s="89" t="s">
        <v>33</v>
      </c>
      <c r="N82"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82" s="221">
        <v>451.0</v>
      </c>
      <c r="P82" s="154" t="s">
        <v>49</v>
      </c>
      <c r="Q82" s="218">
        <v>11.0</v>
      </c>
      <c r="R82" s="262" t="s">
        <v>151</v>
      </c>
      <c r="S82" s="218" t="s">
        <v>32</v>
      </c>
      <c r="T82" s="224">
        <v>43678.0</v>
      </c>
    </row>
    <row r="83" hidden="1">
      <c r="A83" s="275"/>
      <c r="B83" s="276"/>
      <c r="C83" s="277"/>
      <c r="D83" s="278"/>
      <c r="E83" s="144"/>
      <c r="F83" s="145"/>
      <c r="G83" s="68"/>
      <c r="H83" s="279"/>
      <c r="I83" s="68"/>
      <c r="J83" s="282"/>
      <c r="K83" s="283"/>
      <c r="L83" s="283"/>
      <c r="M83" s="283"/>
      <c r="N83" s="283"/>
      <c r="O83" s="280"/>
      <c r="P83" s="68"/>
      <c r="Q83" s="68"/>
      <c r="R83" s="68"/>
      <c r="S83" s="68"/>
      <c r="T83" s="281"/>
    </row>
    <row r="84" hidden="1">
      <c r="A84" s="275"/>
      <c r="B84" s="276"/>
      <c r="C84" s="277"/>
      <c r="D84" s="278"/>
      <c r="E84" s="144"/>
      <c r="F84" s="145"/>
      <c r="G84" s="68"/>
      <c r="H84" s="279"/>
      <c r="I84" s="68"/>
      <c r="J84" s="282"/>
      <c r="K84" s="283"/>
      <c r="L84" s="283"/>
      <c r="M84" s="283"/>
      <c r="N84" s="283"/>
      <c r="O84" s="280"/>
      <c r="P84" s="68"/>
      <c r="Q84" s="68"/>
      <c r="R84" s="68"/>
      <c r="S84" s="68"/>
      <c r="T84" s="281"/>
    </row>
    <row r="85" hidden="1">
      <c r="A85" s="275"/>
      <c r="B85" s="276"/>
      <c r="C85" s="277"/>
      <c r="D85" s="278"/>
      <c r="E85" s="144"/>
      <c r="F85" s="145"/>
      <c r="G85" s="68"/>
      <c r="H85" s="279"/>
      <c r="I85" s="68"/>
      <c r="J85" s="282"/>
      <c r="K85" s="283"/>
      <c r="L85" s="283"/>
      <c r="M85" s="283"/>
      <c r="N85" s="283"/>
      <c r="O85" s="280"/>
      <c r="P85" s="68"/>
      <c r="Q85" s="68"/>
      <c r="R85" s="68"/>
      <c r="S85" s="68"/>
      <c r="T85" s="281"/>
    </row>
    <row r="86" hidden="1">
      <c r="A86" s="275"/>
      <c r="B86" s="276"/>
      <c r="C86" s="277"/>
      <c r="D86" s="278"/>
      <c r="E86" s="144"/>
      <c r="F86" s="145"/>
      <c r="G86" s="68"/>
      <c r="H86" s="279"/>
      <c r="I86" s="68"/>
      <c r="J86" s="282"/>
      <c r="K86" s="283"/>
      <c r="L86" s="283"/>
      <c r="M86" s="283"/>
      <c r="N86" s="283"/>
      <c r="O86" s="280"/>
      <c r="P86" s="68"/>
      <c r="Q86" s="68"/>
      <c r="R86" s="68"/>
      <c r="S86" s="68"/>
      <c r="T86" s="281"/>
    </row>
    <row r="87" hidden="1">
      <c r="A87" s="275"/>
      <c r="B87" s="276"/>
      <c r="C87" s="277"/>
      <c r="D87" s="278"/>
      <c r="E87" s="144"/>
      <c r="F87" s="151"/>
      <c r="G87" s="68"/>
      <c r="H87" s="279"/>
      <c r="I87" s="68"/>
      <c r="J87" s="282"/>
      <c r="K87" s="283"/>
      <c r="L87" s="283"/>
      <c r="M87" s="283"/>
      <c r="N87" s="283"/>
      <c r="O87" s="280"/>
      <c r="P87" s="68"/>
      <c r="Q87" s="68"/>
      <c r="R87" s="68"/>
      <c r="S87" s="68"/>
      <c r="T87" s="281"/>
    </row>
    <row r="88" hidden="1">
      <c r="A88" s="275"/>
      <c r="B88" s="276"/>
      <c r="C88" s="277"/>
      <c r="D88" s="278"/>
      <c r="E88" s="144"/>
      <c r="F88" s="145"/>
      <c r="G88" s="68"/>
      <c r="H88" s="279"/>
      <c r="I88" s="68"/>
      <c r="J88" s="282"/>
      <c r="K88" s="283"/>
      <c r="L88" s="283"/>
      <c r="M88" s="283"/>
      <c r="N88" s="283"/>
      <c r="O88" s="280"/>
      <c r="P88" s="68"/>
      <c r="Q88" s="68"/>
      <c r="R88" s="68"/>
      <c r="S88" s="68"/>
      <c r="T88" s="281"/>
    </row>
    <row r="89" hidden="1">
      <c r="A89" s="275"/>
      <c r="B89" s="276"/>
      <c r="C89" s="277"/>
      <c r="D89" s="278"/>
      <c r="E89" s="144"/>
      <c r="F89" s="145"/>
      <c r="G89" s="68"/>
      <c r="H89" s="279"/>
      <c r="I89" s="68"/>
      <c r="J89" s="282"/>
      <c r="K89" s="283"/>
      <c r="L89" s="283"/>
      <c r="M89" s="283"/>
      <c r="N89" s="283"/>
      <c r="O89" s="280"/>
      <c r="P89" s="68"/>
      <c r="Q89" s="68"/>
      <c r="R89" s="68"/>
      <c r="S89" s="68"/>
      <c r="T89" s="281"/>
    </row>
    <row r="90" hidden="1">
      <c r="A90" s="275"/>
      <c r="B90" s="276"/>
      <c r="C90" s="277"/>
      <c r="D90" s="278"/>
      <c r="E90" s="144"/>
      <c r="F90" s="145"/>
      <c r="G90" s="68"/>
      <c r="H90" s="279"/>
      <c r="I90" s="68"/>
      <c r="J90" s="282"/>
      <c r="K90" s="283"/>
      <c r="L90" s="283"/>
      <c r="M90" s="283"/>
      <c r="N90" s="283"/>
      <c r="O90" s="280"/>
      <c r="P90" s="68"/>
      <c r="Q90" s="68"/>
      <c r="R90" s="68"/>
      <c r="S90" s="68"/>
      <c r="T90" s="281"/>
    </row>
    <row r="91" hidden="1">
      <c r="A91" s="275"/>
      <c r="B91" s="276"/>
      <c r="C91" s="277"/>
      <c r="D91" s="278"/>
      <c r="E91" s="144"/>
      <c r="F91" s="145"/>
      <c r="G91" s="68"/>
      <c r="H91" s="279"/>
      <c r="I91" s="68"/>
      <c r="J91" s="282"/>
      <c r="K91" s="283"/>
      <c r="L91" s="283"/>
      <c r="M91" s="283"/>
      <c r="N91" s="283"/>
      <c r="O91" s="280"/>
      <c r="P91" s="68"/>
      <c r="Q91" s="68"/>
      <c r="R91" s="68"/>
      <c r="S91" s="68"/>
      <c r="T91" s="281"/>
    </row>
    <row r="92" hidden="1">
      <c r="A92" s="275"/>
      <c r="B92" s="276"/>
      <c r="C92" s="277"/>
      <c r="D92" s="278"/>
      <c r="E92" s="144"/>
      <c r="F92" s="145"/>
      <c r="G92" s="68"/>
      <c r="H92" s="279"/>
      <c r="I92" s="68"/>
      <c r="J92" s="282"/>
      <c r="K92" s="283"/>
      <c r="L92" s="283"/>
      <c r="M92" s="283"/>
      <c r="N92" s="283"/>
      <c r="O92" s="280"/>
      <c r="P92" s="68"/>
      <c r="Q92" s="68"/>
      <c r="R92" s="68"/>
      <c r="S92" s="68"/>
      <c r="T92" s="281"/>
    </row>
    <row r="93" hidden="1">
      <c r="A93" s="275"/>
      <c r="B93" s="276"/>
      <c r="C93" s="277"/>
      <c r="D93" s="278"/>
      <c r="E93" s="144"/>
      <c r="F93" s="151"/>
      <c r="G93" s="68"/>
      <c r="H93" s="279"/>
      <c r="I93" s="68"/>
      <c r="J93" s="282"/>
      <c r="K93" s="283"/>
      <c r="L93" s="283"/>
      <c r="M93" s="283"/>
      <c r="N93" s="283"/>
      <c r="O93" s="280"/>
      <c r="P93" s="68"/>
      <c r="Q93" s="68"/>
      <c r="R93" s="68"/>
      <c r="S93" s="68"/>
      <c r="T93" s="281"/>
    </row>
    <row r="94" hidden="1">
      <c r="A94" s="275"/>
      <c r="B94" s="276"/>
      <c r="C94" s="277"/>
      <c r="D94" s="278"/>
      <c r="E94" s="144"/>
      <c r="F94" s="145"/>
      <c r="G94" s="68"/>
      <c r="H94" s="279"/>
      <c r="I94" s="68"/>
      <c r="J94" s="282"/>
      <c r="K94" s="283"/>
      <c r="L94" s="283"/>
      <c r="M94" s="283"/>
      <c r="N94" s="283"/>
      <c r="O94" s="280"/>
      <c r="P94" s="68"/>
      <c r="Q94" s="68"/>
      <c r="R94" s="68"/>
      <c r="S94" s="68"/>
      <c r="T94" s="281"/>
    </row>
    <row r="95" hidden="1">
      <c r="A95" s="275"/>
      <c r="B95" s="276"/>
      <c r="C95" s="277"/>
      <c r="D95" s="278"/>
      <c r="E95" s="175"/>
      <c r="F95" s="176"/>
      <c r="G95" s="68"/>
      <c r="H95" s="279"/>
      <c r="I95" s="68"/>
      <c r="J95" s="282"/>
      <c r="K95" s="283"/>
      <c r="L95" s="283"/>
      <c r="M95" s="283"/>
      <c r="N95" s="283"/>
      <c r="O95" s="280"/>
      <c r="P95" s="68"/>
      <c r="Q95" s="68"/>
      <c r="R95" s="68"/>
      <c r="S95" s="68"/>
      <c r="T95" s="281"/>
    </row>
    <row r="96" hidden="1">
      <c r="A96" s="275"/>
      <c r="B96" s="276"/>
      <c r="C96" s="277"/>
      <c r="D96" s="278"/>
      <c r="E96" s="284"/>
      <c r="F96" s="284"/>
      <c r="G96" s="68"/>
      <c r="H96" s="279"/>
      <c r="I96" s="68"/>
      <c r="J96" s="282"/>
      <c r="K96" s="283"/>
      <c r="L96" s="283"/>
      <c r="M96" s="283"/>
      <c r="N96" s="283"/>
      <c r="O96" s="280"/>
      <c r="P96" s="68"/>
      <c r="Q96" s="68"/>
      <c r="R96" s="68"/>
      <c r="S96" s="68"/>
      <c r="T96" s="281"/>
    </row>
    <row r="97" hidden="1">
      <c r="A97" s="275"/>
      <c r="B97" s="276"/>
      <c r="C97" s="277"/>
      <c r="D97" s="278"/>
      <c r="E97" s="284"/>
      <c r="F97" s="284"/>
      <c r="G97" s="68"/>
      <c r="H97" s="279"/>
      <c r="I97" s="68"/>
      <c r="J97" s="282"/>
      <c r="K97" s="283"/>
      <c r="L97" s="283"/>
      <c r="M97" s="283"/>
      <c r="N97" s="283"/>
      <c r="O97" s="280"/>
      <c r="P97" s="68"/>
      <c r="Q97" s="68"/>
      <c r="R97" s="68"/>
      <c r="S97" s="68"/>
      <c r="T97" s="281"/>
    </row>
    <row r="98" hidden="1">
      <c r="A98" s="275"/>
      <c r="B98" s="276"/>
      <c r="C98" s="277"/>
      <c r="D98" s="278"/>
      <c r="E98" s="284"/>
      <c r="F98" s="284"/>
      <c r="G98" s="68"/>
      <c r="H98" s="279"/>
      <c r="I98" s="68"/>
      <c r="J98" s="282"/>
      <c r="K98" s="283"/>
      <c r="L98" s="283"/>
      <c r="M98" s="283"/>
      <c r="N98" s="283"/>
      <c r="O98" s="280"/>
      <c r="P98" s="68"/>
      <c r="Q98" s="68"/>
      <c r="R98" s="68"/>
      <c r="S98" s="68"/>
      <c r="T98" s="281"/>
    </row>
    <row r="99" hidden="1">
      <c r="A99" s="275"/>
      <c r="B99" s="276"/>
      <c r="C99" s="277"/>
      <c r="D99" s="278"/>
      <c r="E99" s="284"/>
      <c r="F99" s="284"/>
      <c r="G99" s="68"/>
      <c r="H99" s="279"/>
      <c r="I99" s="68"/>
      <c r="J99" s="282"/>
      <c r="K99" s="283"/>
      <c r="L99" s="283"/>
      <c r="M99" s="283"/>
      <c r="N99" s="283"/>
      <c r="O99" s="280"/>
      <c r="P99" s="68"/>
      <c r="Q99" s="68"/>
      <c r="R99" s="68"/>
      <c r="S99" s="68"/>
      <c r="T99" s="281"/>
    </row>
    <row r="100" hidden="1">
      <c r="A100" s="275"/>
      <c r="B100" s="276"/>
      <c r="C100" s="277"/>
      <c r="D100" s="278"/>
      <c r="E100" s="284"/>
      <c r="F100" s="284"/>
      <c r="G100" s="68"/>
      <c r="H100" s="279"/>
      <c r="I100" s="68"/>
      <c r="J100" s="282"/>
      <c r="K100" s="283"/>
      <c r="L100" s="283"/>
      <c r="M100" s="283"/>
      <c r="N100" s="283"/>
      <c r="O100" s="280"/>
      <c r="P100" s="68"/>
      <c r="Q100" s="68"/>
      <c r="R100" s="68"/>
      <c r="S100" s="68"/>
      <c r="T100" s="281"/>
    </row>
    <row r="101" hidden="1">
      <c r="A101" s="275"/>
      <c r="B101" s="276"/>
      <c r="C101" s="277"/>
      <c r="D101" s="278"/>
      <c r="E101" s="284"/>
      <c r="F101" s="284"/>
      <c r="G101" s="68"/>
      <c r="H101" s="279"/>
      <c r="I101" s="68"/>
      <c r="J101" s="282"/>
      <c r="K101" s="283"/>
      <c r="L101" s="283"/>
      <c r="M101" s="283"/>
      <c r="N101" s="283"/>
      <c r="O101" s="280"/>
      <c r="P101" s="68"/>
      <c r="Q101" s="68"/>
      <c r="R101" s="68"/>
      <c r="S101" s="68"/>
      <c r="T101" s="281"/>
    </row>
    <row r="102" hidden="1">
      <c r="A102" s="275"/>
      <c r="B102" s="276"/>
      <c r="C102" s="277"/>
      <c r="D102" s="278"/>
      <c r="E102" s="284"/>
      <c r="F102" s="284"/>
      <c r="G102" s="68"/>
      <c r="H102" s="279"/>
      <c r="I102" s="68"/>
      <c r="J102" s="282"/>
      <c r="K102" s="283"/>
      <c r="L102" s="283"/>
      <c r="M102" s="283"/>
      <c r="N102" s="283"/>
      <c r="O102" s="280"/>
      <c r="P102" s="68"/>
      <c r="Q102" s="68"/>
      <c r="R102" s="68"/>
      <c r="S102" s="68"/>
      <c r="T102" s="281"/>
    </row>
    <row r="103" hidden="1">
      <c r="A103" s="291" t="s">
        <v>153</v>
      </c>
      <c r="B103" s="376">
        <f>Count(B2:B101)</f>
        <v>80</v>
      </c>
      <c r="C103" s="68" t="s">
        <v>231</v>
      </c>
      <c r="D103" s="68"/>
      <c r="E103" s="284"/>
      <c r="F103" s="293"/>
      <c r="G103" s="68"/>
      <c r="H103" s="279"/>
      <c r="I103" s="68"/>
      <c r="J103" s="68"/>
      <c r="K103" s="283"/>
      <c r="L103" s="283"/>
      <c r="M103" s="283"/>
      <c r="N103" s="283"/>
      <c r="O103" s="68"/>
      <c r="P103" s="68"/>
      <c r="Q103" s="68"/>
      <c r="R103" s="68"/>
      <c r="S103" s="68"/>
      <c r="T103" s="68"/>
    </row>
    <row r="104" hidden="1">
      <c r="A104" s="294" t="s">
        <v>232</v>
      </c>
      <c r="E104" s="284"/>
      <c r="F104" s="293"/>
      <c r="H104" s="295"/>
      <c r="K104" s="283"/>
      <c r="L104" s="283"/>
      <c r="M104" s="283"/>
      <c r="N104" s="283"/>
    </row>
    <row r="105" hidden="1">
      <c r="A105" s="275"/>
      <c r="B105" s="68"/>
      <c r="C105" s="68"/>
      <c r="D105" s="68"/>
      <c r="E105" s="284"/>
      <c r="F105" s="293"/>
      <c r="G105" s="68"/>
      <c r="H105" s="279"/>
      <c r="I105" s="68"/>
      <c r="J105" s="68"/>
      <c r="K105" s="283"/>
      <c r="L105" s="283"/>
      <c r="M105" s="283"/>
      <c r="N105" s="283"/>
      <c r="O105" s="68"/>
      <c r="P105" s="68"/>
      <c r="Q105" s="68"/>
      <c r="R105" s="68"/>
      <c r="S105" s="68"/>
      <c r="T105" s="68"/>
    </row>
    <row r="106" hidden="1">
      <c r="A106" s="377" t="str">
        <f>HYPERLINK("https://phillipreeve.net/blog/sony-fe-lenses/fe-list/","If you have a question or want to report any mistake please leave a comment on the blog.")</f>
        <v>If you have a question or want to report any mistake please leave a comment on the blog.</v>
      </c>
      <c r="B106" s="297"/>
      <c r="C106" s="297"/>
      <c r="D106" s="297"/>
      <c r="E106" s="298"/>
      <c r="F106" s="299"/>
      <c r="G106" s="297"/>
      <c r="H106" s="300"/>
      <c r="I106" s="297"/>
      <c r="J106" s="297"/>
      <c r="K106" s="283"/>
      <c r="L106" s="283"/>
      <c r="M106" s="283"/>
      <c r="N106" s="283"/>
    </row>
    <row r="107" hidden="1">
      <c r="E107" s="284"/>
      <c r="F107" s="293"/>
      <c r="H107" s="295"/>
      <c r="K107" s="283"/>
      <c r="L107" s="283"/>
      <c r="M107" s="283"/>
      <c r="N107" s="283"/>
    </row>
    <row r="108" hidden="1">
      <c r="A108" s="275" t="s">
        <v>155</v>
      </c>
      <c r="E108" s="284"/>
      <c r="F108" s="293"/>
      <c r="H108" s="295"/>
      <c r="K108" s="283"/>
      <c r="L108" s="283"/>
      <c r="M108" s="283"/>
      <c r="N108" s="283"/>
    </row>
    <row r="109" hidden="1">
      <c r="A109" s="301" t="str">
        <f>HYPERLINK("https://phillipreeve.net/blog/fe-lenses-sony-comprehensive-independent-guide/","Our Guide to FE-mount lenses - If you need any help on finding the right lens.")</f>
        <v>Our Guide to FE-mount lenses - If you need any help on finding the right lens.</v>
      </c>
      <c r="E109" s="284"/>
      <c r="F109" s="293"/>
      <c r="H109" s="295"/>
      <c r="K109" s="283"/>
      <c r="L109" s="283"/>
      <c r="M109" s="283"/>
      <c r="N109" s="283"/>
    </row>
    <row r="110" hidden="1">
      <c r="A110" s="301" t="str">
        <f>HYPERLINK("https://phillipreeve.net/blog/9-golden-rules-to-buy-the-wrong-lens/","10 golden rules to buy the wrong lens.")</f>
        <v>10 golden rules to buy the wrong lens.</v>
      </c>
      <c r="E110" s="284"/>
      <c r="F110" s="293"/>
      <c r="H110" s="295"/>
      <c r="K110" s="283"/>
      <c r="L110" s="283"/>
      <c r="M110" s="283"/>
      <c r="N110" s="283"/>
    </row>
    <row r="111" hidden="1">
      <c r="A111" s="301" t="str">
        <f>HYPERLINK("https://phillipreeve.net/blog/user-guide-ultra-wideangle-lenses-sony-alpha-7-series/","Our Guide to Ultra-Wideangle lenses")</f>
        <v>Our Guide to Ultra-Wideangle lenses</v>
      </c>
      <c r="E111" s="284"/>
      <c r="F111" s="293"/>
      <c r="H111" s="295"/>
      <c r="K111" s="283"/>
      <c r="L111" s="283"/>
      <c r="M111" s="283"/>
      <c r="N111" s="283"/>
    </row>
    <row r="112" hidden="1">
      <c r="A112" s="301" t="str">
        <f>HYPERLINK("https://phillipreeve.net/blog/wideangle-lenses-for-the-sony-alpha-7-series/","Our Guide to Wideangle lenses")</f>
        <v>Our Guide to Wideangle lenses</v>
      </c>
      <c r="E112" s="284"/>
      <c r="F112" s="293"/>
      <c r="H112" s="295"/>
      <c r="K112" s="283"/>
      <c r="L112" s="283"/>
      <c r="M112" s="283"/>
      <c r="N112" s="283"/>
    </row>
    <row r="113" hidden="1">
      <c r="A113" s="301" t="str">
        <f>HYPERLINK("https://phillipreeve.net/blog/guide-to-macro-lenses-for-the-sony-a7-series/","Our Guide to Macro lenses")</f>
        <v>Our Guide to Macro lenses</v>
      </c>
      <c r="E113" s="284"/>
      <c r="F113" s="293"/>
      <c r="H113" s="295"/>
      <c r="K113" s="283"/>
      <c r="L113" s="283"/>
      <c r="M113" s="283"/>
      <c r="N113" s="283"/>
    </row>
    <row r="114" hidden="1">
      <c r="A114" s="301" t="str">
        <f>HYPERLINK("https://phillipreeve.net/blog/user-guide-to-portrait-lenses-sony-a7-series/","Our Guide to Portrait lenses")</f>
        <v>Our Guide to Portrait lenses</v>
      </c>
      <c r="E114" s="284"/>
      <c r="F114" s="293"/>
      <c r="H114" s="295"/>
      <c r="K114" s="283"/>
      <c r="L114" s="283"/>
      <c r="M114" s="283"/>
      <c r="N114" s="283"/>
    </row>
    <row r="115" hidden="1">
      <c r="A115" s="301" t="str">
        <f>HYPERLINK("https://phillipreeve.net/blog/building-a-lens-kit/","Building a lens kit")</f>
        <v>Building a lens kit</v>
      </c>
      <c r="E115" s="284"/>
      <c r="F115" s="293"/>
      <c r="H115" s="295"/>
      <c r="K115" s="283"/>
      <c r="L115" s="283"/>
      <c r="M115" s="283"/>
      <c r="N115" s="283"/>
    </row>
    <row r="116" hidden="1">
      <c r="A116" s="68"/>
      <c r="H116" s="295"/>
      <c r="K116" s="283"/>
      <c r="L116" s="283"/>
      <c r="M116" s="283"/>
      <c r="N116" s="283"/>
    </row>
    <row r="117" hidden="1">
      <c r="A117" s="275" t="s">
        <v>158</v>
      </c>
      <c r="H117" s="295"/>
      <c r="K117" s="283"/>
      <c r="L117" s="283"/>
      <c r="M117" s="283"/>
      <c r="N117" s="283"/>
    </row>
    <row r="118" hidden="1">
      <c r="A118" s="68" t="s">
        <v>159</v>
      </c>
      <c r="H118" s="295"/>
      <c r="K118" s="283"/>
      <c r="L118" s="283"/>
      <c r="M118" s="283"/>
      <c r="N118" s="283"/>
    </row>
    <row r="119" hidden="1">
      <c r="A119" s="68" t="s">
        <v>160</v>
      </c>
      <c r="H119" s="295"/>
      <c r="K119" s="283"/>
      <c r="L119" s="283"/>
      <c r="M119" s="283"/>
      <c r="N119" s="283"/>
    </row>
    <row r="120" hidden="1">
      <c r="A120" s="68" t="s">
        <v>161</v>
      </c>
      <c r="H120" s="295"/>
      <c r="K120" s="283"/>
      <c r="L120" s="283"/>
      <c r="M120" s="283"/>
      <c r="N120" s="283"/>
    </row>
    <row r="121" hidden="1">
      <c r="A121" s="68" t="s">
        <v>162</v>
      </c>
      <c r="H121" s="295"/>
      <c r="K121" s="283"/>
      <c r="L121" s="283"/>
      <c r="M121" s="283"/>
      <c r="N121" s="283"/>
    </row>
    <row r="122" hidden="1">
      <c r="A122" s="302"/>
      <c r="H122" s="295"/>
      <c r="K122" s="283"/>
      <c r="L122" s="283"/>
      <c r="M122" s="283"/>
      <c r="N122" s="283"/>
    </row>
    <row r="123" hidden="1">
      <c r="A123" s="275" t="s">
        <v>163</v>
      </c>
      <c r="H123" s="295"/>
      <c r="K123" s="283"/>
      <c r="L123" s="283"/>
      <c r="M123" s="283"/>
      <c r="N123" s="283"/>
    </row>
    <row r="124" hidden="1">
      <c r="A124" s="68" t="s">
        <v>233</v>
      </c>
      <c r="D124" s="302"/>
      <c r="H124" s="295"/>
      <c r="K124" s="283"/>
      <c r="L124" s="283"/>
      <c r="M124" s="283"/>
      <c r="N124" s="283"/>
    </row>
    <row r="125" hidden="1">
      <c r="A125" s="68" t="s">
        <v>164</v>
      </c>
      <c r="D125" s="302"/>
      <c r="H125" s="295"/>
      <c r="K125" s="283"/>
      <c r="L125" s="283"/>
      <c r="M125" s="283"/>
      <c r="N125" s="283"/>
    </row>
    <row r="126" hidden="1">
      <c r="H126" s="295"/>
      <c r="K126" s="283"/>
      <c r="L126" s="283"/>
      <c r="M126" s="283"/>
      <c r="N126" s="283"/>
    </row>
    <row r="127" hidden="1">
      <c r="A127" s="301" t="str">
        <f>HYPERLINK("https://phillipreeve.net/blog/impressum/","Impressum")</f>
        <v>Impressum</v>
      </c>
      <c r="H127" s="295"/>
      <c r="K127" s="283"/>
      <c r="L127" s="283"/>
      <c r="M127" s="283"/>
      <c r="N127" s="283"/>
    </row>
    <row r="128" hidden="1">
      <c r="H128" s="295"/>
      <c r="K128" s="283"/>
      <c r="L128" s="283"/>
      <c r="M128" s="283"/>
      <c r="N128" s="283"/>
    </row>
    <row r="129" hidden="1">
      <c r="H129" s="295"/>
      <c r="K129" s="283"/>
      <c r="L129" s="283"/>
      <c r="M129" s="283"/>
      <c r="N129" s="283"/>
    </row>
    <row r="130" hidden="1">
      <c r="H130" s="295"/>
      <c r="K130" s="283"/>
      <c r="L130" s="283"/>
      <c r="M130" s="283"/>
      <c r="N130" s="283"/>
    </row>
    <row r="131" hidden="1">
      <c r="H131" s="295"/>
      <c r="K131" s="283"/>
      <c r="L131" s="283"/>
      <c r="M131" s="283"/>
      <c r="N131" s="283"/>
    </row>
    <row r="132" hidden="1">
      <c r="H132" s="295"/>
      <c r="K132" s="283"/>
      <c r="L132" s="283"/>
      <c r="M132" s="283"/>
      <c r="N132" s="283"/>
    </row>
    <row r="133" hidden="1">
      <c r="A133" s="275"/>
      <c r="H133" s="295"/>
      <c r="K133" s="283"/>
      <c r="L133" s="283"/>
      <c r="M133" s="283"/>
      <c r="N133" s="283"/>
    </row>
    <row r="134" hidden="1">
      <c r="A134" s="275"/>
      <c r="H134" s="295"/>
      <c r="K134" s="283"/>
      <c r="L134" s="283"/>
      <c r="M134" s="283"/>
      <c r="N134" s="283"/>
    </row>
    <row r="135" hidden="1">
      <c r="A135" s="275"/>
      <c r="H135" s="295"/>
      <c r="K135" s="283"/>
      <c r="L135" s="283"/>
      <c r="M135" s="283"/>
      <c r="N135" s="283"/>
    </row>
    <row r="136" hidden="1">
      <c r="A136" s="275"/>
      <c r="H136" s="295"/>
      <c r="K136" s="283"/>
      <c r="L136" s="283"/>
      <c r="M136" s="283"/>
      <c r="N136" s="283"/>
    </row>
    <row r="137" hidden="1">
      <c r="A137" s="275"/>
      <c r="H137" s="295"/>
      <c r="K137" s="283"/>
      <c r="L137" s="283"/>
      <c r="M137" s="283"/>
      <c r="N137" s="283"/>
    </row>
    <row r="138" hidden="1">
      <c r="A138" s="275"/>
      <c r="H138" s="295"/>
      <c r="K138" s="283"/>
      <c r="L138" s="283"/>
      <c r="M138" s="283"/>
      <c r="N138" s="283"/>
    </row>
    <row r="139" hidden="1">
      <c r="A139" s="302"/>
      <c r="H139" s="295"/>
      <c r="K139" s="283"/>
      <c r="L139" s="283"/>
      <c r="M139" s="283"/>
      <c r="N139" s="283"/>
    </row>
    <row r="140" hidden="1">
      <c r="A140" s="275"/>
      <c r="H140" s="295"/>
      <c r="K140" s="283"/>
      <c r="L140" s="283"/>
      <c r="M140" s="283"/>
      <c r="N140" s="283"/>
    </row>
    <row r="141" hidden="1">
      <c r="A141" s="275"/>
      <c r="H141" s="295"/>
      <c r="K141" s="283"/>
      <c r="L141" s="283"/>
      <c r="M141" s="283"/>
      <c r="N141" s="283"/>
    </row>
    <row r="142" hidden="1">
      <c r="A142" s="302"/>
      <c r="H142" s="295"/>
      <c r="K142" s="283"/>
      <c r="L142" s="283"/>
      <c r="M142" s="283"/>
      <c r="N142" s="283"/>
    </row>
    <row r="143" hidden="1">
      <c r="A143" s="275"/>
      <c r="H143" s="295"/>
      <c r="K143" s="283"/>
      <c r="L143" s="283"/>
      <c r="M143" s="283"/>
      <c r="N143" s="283"/>
    </row>
    <row r="144" hidden="1">
      <c r="A144" s="275"/>
      <c r="H144" s="295"/>
      <c r="K144" s="283"/>
      <c r="L144" s="283"/>
      <c r="M144" s="283"/>
      <c r="N144" s="283"/>
    </row>
    <row r="145" hidden="1">
      <c r="A145" s="275"/>
      <c r="H145" s="295"/>
      <c r="K145" s="283"/>
      <c r="L145" s="283"/>
      <c r="M145" s="283"/>
      <c r="N145" s="283"/>
    </row>
    <row r="146" hidden="1">
      <c r="A146" s="275"/>
      <c r="H146" s="295"/>
      <c r="K146" s="283"/>
      <c r="L146" s="283"/>
      <c r="M146" s="283"/>
      <c r="N146" s="283"/>
    </row>
    <row r="147" hidden="1">
      <c r="A147" s="275"/>
      <c r="H147" s="295"/>
      <c r="K147" s="283"/>
      <c r="L147" s="283"/>
      <c r="M147" s="283"/>
      <c r="N147" s="283"/>
    </row>
    <row r="148" hidden="1">
      <c r="A148" s="275"/>
      <c r="H148" s="295"/>
      <c r="K148" s="283"/>
      <c r="L148" s="283"/>
      <c r="M148" s="283"/>
      <c r="N148" s="283"/>
    </row>
    <row r="149" hidden="1">
      <c r="A149" s="275"/>
      <c r="H149" s="295"/>
      <c r="K149" s="283"/>
      <c r="L149" s="283"/>
      <c r="M149" s="283"/>
      <c r="N149" s="283"/>
    </row>
    <row r="150" hidden="1">
      <c r="A150" s="275"/>
      <c r="H150" s="295"/>
      <c r="K150" s="283"/>
      <c r="L150" s="283"/>
      <c r="M150" s="283"/>
      <c r="N150" s="283"/>
    </row>
    <row r="151" hidden="1">
      <c r="A151" s="275"/>
      <c r="H151" s="295"/>
      <c r="K151" s="283"/>
      <c r="L151" s="283"/>
      <c r="M151" s="283"/>
      <c r="N151" s="283"/>
    </row>
    <row r="152" hidden="1">
      <c r="A152" s="302"/>
      <c r="H152" s="295"/>
      <c r="K152" s="283"/>
      <c r="L152" s="283"/>
      <c r="M152" s="283"/>
      <c r="N152" s="283"/>
    </row>
    <row r="153" hidden="1">
      <c r="A153" s="302"/>
      <c r="H153" s="295"/>
      <c r="K153" s="283"/>
      <c r="L153" s="283"/>
      <c r="M153" s="283"/>
      <c r="N153" s="283"/>
    </row>
    <row r="154" hidden="1">
      <c r="H154" s="295"/>
      <c r="K154" s="283"/>
      <c r="L154" s="283"/>
      <c r="M154" s="283"/>
      <c r="N154" s="283"/>
    </row>
    <row r="155" hidden="1">
      <c r="H155" s="295"/>
      <c r="K155" s="283"/>
      <c r="L155" s="283"/>
      <c r="M155" s="283"/>
      <c r="N155" s="283"/>
    </row>
    <row r="156" hidden="1">
      <c r="H156" s="295"/>
      <c r="K156" s="283"/>
      <c r="L156" s="283"/>
      <c r="M156" s="283"/>
      <c r="N156" s="283"/>
    </row>
    <row r="157" hidden="1">
      <c r="H157" s="295"/>
      <c r="K157" s="283"/>
      <c r="L157" s="283"/>
      <c r="M157" s="283"/>
      <c r="N157" s="283"/>
    </row>
    <row r="158" hidden="1">
      <c r="H158" s="295"/>
    </row>
    <row r="159" hidden="1">
      <c r="H159" s="295"/>
    </row>
    <row r="160" hidden="1">
      <c r="H160" s="295"/>
    </row>
    <row r="161" hidden="1">
      <c r="H161" s="295"/>
    </row>
    <row r="162" hidden="1">
      <c r="H162" s="295"/>
    </row>
    <row r="163" hidden="1">
      <c r="H163" s="295"/>
    </row>
    <row r="164" hidden="1">
      <c r="H164" s="295"/>
    </row>
    <row r="165" hidden="1">
      <c r="H165" s="295"/>
    </row>
    <row r="166" hidden="1">
      <c r="H166" s="295"/>
    </row>
    <row r="167" hidden="1">
      <c r="H167" s="295"/>
    </row>
    <row r="168" hidden="1">
      <c r="H168" s="295"/>
    </row>
    <row r="169" hidden="1">
      <c r="H169" s="295"/>
    </row>
    <row r="170" hidden="1">
      <c r="H170" s="295"/>
    </row>
    <row r="171" hidden="1">
      <c r="H171" s="295"/>
    </row>
    <row r="172" hidden="1">
      <c r="H172" s="295"/>
    </row>
    <row r="173" hidden="1">
      <c r="H173" s="295"/>
    </row>
    <row r="174" hidden="1">
      <c r="H174" s="295"/>
    </row>
    <row r="175" hidden="1">
      <c r="H175" s="295"/>
    </row>
    <row r="176" hidden="1">
      <c r="H176" s="295"/>
    </row>
    <row r="177" hidden="1">
      <c r="H177" s="295"/>
    </row>
    <row r="178" hidden="1">
      <c r="H178" s="295"/>
    </row>
    <row r="179" hidden="1">
      <c r="H179" s="295"/>
    </row>
    <row r="180" hidden="1">
      <c r="H180" s="295"/>
    </row>
    <row r="181" hidden="1">
      <c r="H181" s="295"/>
    </row>
    <row r="182" hidden="1">
      <c r="H182" s="295"/>
    </row>
    <row r="183" hidden="1">
      <c r="H183" s="295"/>
    </row>
    <row r="184" hidden="1">
      <c r="H184" s="295"/>
    </row>
    <row r="185" hidden="1">
      <c r="H185" s="295"/>
    </row>
    <row r="186" hidden="1">
      <c r="H186" s="295"/>
    </row>
    <row r="187" hidden="1">
      <c r="H187" s="295"/>
    </row>
    <row r="188" hidden="1">
      <c r="H188" s="295"/>
    </row>
    <row r="189" hidden="1">
      <c r="H189" s="295"/>
    </row>
    <row r="190" hidden="1">
      <c r="H190" s="295"/>
    </row>
    <row r="191" hidden="1">
      <c r="H191" s="295"/>
    </row>
    <row r="192" hidden="1">
      <c r="H192" s="295"/>
    </row>
    <row r="193" hidden="1">
      <c r="H193" s="295"/>
    </row>
    <row r="194" hidden="1">
      <c r="H194" s="295"/>
    </row>
    <row r="195" hidden="1">
      <c r="H195" s="295"/>
    </row>
    <row r="196" hidden="1">
      <c r="H196" s="295"/>
    </row>
    <row r="197" hidden="1">
      <c r="H197" s="295"/>
    </row>
    <row r="198" hidden="1">
      <c r="H198" s="295"/>
    </row>
    <row r="199" hidden="1">
      <c r="H199" s="295"/>
    </row>
    <row r="200" hidden="1">
      <c r="H200" s="295"/>
    </row>
    <row r="201" hidden="1">
      <c r="H201" s="295"/>
    </row>
    <row r="202" hidden="1">
      <c r="H202" s="295"/>
    </row>
    <row r="203" hidden="1">
      <c r="H203" s="295"/>
    </row>
    <row r="204" hidden="1">
      <c r="H204" s="295"/>
    </row>
    <row r="205" hidden="1">
      <c r="H205" s="295"/>
    </row>
    <row r="206" hidden="1">
      <c r="H206" s="295"/>
    </row>
    <row r="207" hidden="1">
      <c r="H207" s="295"/>
    </row>
    <row r="208" hidden="1">
      <c r="H208" s="295"/>
    </row>
    <row r="209" hidden="1">
      <c r="H209" s="295"/>
    </row>
    <row r="210" hidden="1">
      <c r="H210" s="295"/>
    </row>
    <row r="211" hidden="1">
      <c r="H211" s="295"/>
    </row>
    <row r="212" hidden="1">
      <c r="H212" s="295"/>
    </row>
    <row r="213" hidden="1">
      <c r="H213" s="295"/>
    </row>
    <row r="214" hidden="1">
      <c r="H214" s="295"/>
    </row>
    <row r="215" hidden="1">
      <c r="H215" s="295"/>
    </row>
    <row r="216" hidden="1">
      <c r="H216" s="295"/>
    </row>
    <row r="217" hidden="1">
      <c r="H217" s="295"/>
    </row>
    <row r="218" hidden="1">
      <c r="H218" s="295"/>
    </row>
    <row r="219" hidden="1">
      <c r="H219" s="295"/>
    </row>
    <row r="220" hidden="1">
      <c r="H220" s="295"/>
    </row>
    <row r="221" hidden="1">
      <c r="H221" s="295"/>
    </row>
    <row r="222" hidden="1">
      <c r="H222" s="295"/>
    </row>
    <row r="223" hidden="1">
      <c r="H223" s="295"/>
    </row>
    <row r="224" hidden="1">
      <c r="H224" s="295"/>
    </row>
    <row r="225" hidden="1">
      <c r="H225" s="295"/>
    </row>
    <row r="226" hidden="1">
      <c r="H226" s="295"/>
    </row>
    <row r="227" hidden="1">
      <c r="H227" s="295"/>
    </row>
    <row r="228" hidden="1">
      <c r="H228" s="295"/>
    </row>
    <row r="229" hidden="1">
      <c r="H229" s="295"/>
    </row>
    <row r="230" hidden="1">
      <c r="H230" s="295"/>
    </row>
    <row r="231" hidden="1">
      <c r="H231" s="295"/>
    </row>
    <row r="232" hidden="1">
      <c r="H232" s="295"/>
    </row>
    <row r="233" hidden="1">
      <c r="H233" s="295"/>
    </row>
    <row r="234" hidden="1">
      <c r="H234" s="295"/>
    </row>
    <row r="235" hidden="1">
      <c r="H235" s="295"/>
    </row>
    <row r="236" hidden="1">
      <c r="H236" s="295"/>
    </row>
    <row r="237" hidden="1">
      <c r="H237" s="295"/>
    </row>
    <row r="238" hidden="1">
      <c r="H238" s="295"/>
    </row>
    <row r="239" hidden="1">
      <c r="H239" s="295"/>
    </row>
    <row r="240" hidden="1">
      <c r="H240" s="295"/>
    </row>
    <row r="241" hidden="1">
      <c r="H241" s="295"/>
    </row>
    <row r="242" hidden="1">
      <c r="H242" s="295"/>
    </row>
    <row r="243" hidden="1">
      <c r="H243" s="295"/>
    </row>
    <row r="244" hidden="1">
      <c r="H244" s="295"/>
    </row>
    <row r="245" hidden="1">
      <c r="H245" s="295"/>
    </row>
    <row r="246" hidden="1">
      <c r="H246" s="295"/>
    </row>
    <row r="247" hidden="1">
      <c r="H247" s="295"/>
    </row>
    <row r="248" hidden="1">
      <c r="H248" s="295"/>
    </row>
    <row r="249" hidden="1">
      <c r="H249" s="295"/>
    </row>
    <row r="250" hidden="1">
      <c r="H250" s="295"/>
    </row>
    <row r="251" hidden="1">
      <c r="H251" s="295"/>
    </row>
    <row r="252" hidden="1">
      <c r="H252" s="295"/>
    </row>
    <row r="253" hidden="1">
      <c r="H253" s="295"/>
    </row>
    <row r="254" hidden="1">
      <c r="H254" s="295"/>
    </row>
    <row r="255" hidden="1">
      <c r="H255" s="295"/>
    </row>
    <row r="256" hidden="1">
      <c r="H256" s="295"/>
    </row>
    <row r="257" hidden="1">
      <c r="H257" s="295"/>
    </row>
    <row r="258" hidden="1">
      <c r="H258" s="295"/>
    </row>
    <row r="259" hidden="1">
      <c r="H259" s="295"/>
    </row>
    <row r="260" hidden="1">
      <c r="H260" s="295"/>
    </row>
    <row r="261" hidden="1">
      <c r="H261" s="295"/>
    </row>
    <row r="262" hidden="1">
      <c r="H262" s="295"/>
    </row>
    <row r="263" hidden="1">
      <c r="H263" s="295"/>
    </row>
    <row r="264" hidden="1">
      <c r="H264" s="295"/>
    </row>
    <row r="265" hidden="1">
      <c r="H265" s="295"/>
    </row>
    <row r="266" hidden="1">
      <c r="H266" s="295"/>
    </row>
    <row r="267" hidden="1">
      <c r="H267" s="295"/>
    </row>
    <row r="268" hidden="1">
      <c r="H268" s="295"/>
    </row>
    <row r="269" hidden="1">
      <c r="H269" s="295"/>
    </row>
    <row r="270" hidden="1">
      <c r="H270" s="295"/>
    </row>
    <row r="271" hidden="1">
      <c r="H271" s="295"/>
    </row>
    <row r="272" hidden="1">
      <c r="H272" s="295"/>
    </row>
    <row r="273" hidden="1">
      <c r="H273" s="295"/>
    </row>
    <row r="274" hidden="1">
      <c r="H274" s="295"/>
    </row>
    <row r="275" hidden="1">
      <c r="H275" s="295"/>
    </row>
    <row r="276" hidden="1">
      <c r="H276" s="295"/>
    </row>
    <row r="277" hidden="1">
      <c r="H277" s="295"/>
    </row>
    <row r="278" hidden="1">
      <c r="H278" s="295"/>
    </row>
    <row r="279" hidden="1">
      <c r="H279" s="295"/>
    </row>
    <row r="280" hidden="1">
      <c r="H280" s="295"/>
    </row>
    <row r="281" hidden="1">
      <c r="H281" s="295"/>
    </row>
    <row r="282" hidden="1">
      <c r="H282" s="295"/>
    </row>
    <row r="283" hidden="1">
      <c r="H283" s="295"/>
    </row>
    <row r="284" hidden="1">
      <c r="H284" s="295"/>
    </row>
    <row r="285" hidden="1">
      <c r="H285" s="295"/>
    </row>
    <row r="286" hidden="1">
      <c r="H286" s="295"/>
    </row>
    <row r="287" hidden="1">
      <c r="H287" s="295"/>
    </row>
    <row r="288" hidden="1">
      <c r="H288" s="295"/>
    </row>
    <row r="289" hidden="1">
      <c r="H289" s="295"/>
    </row>
    <row r="290" hidden="1">
      <c r="H290" s="295"/>
    </row>
    <row r="291" hidden="1">
      <c r="H291" s="295"/>
    </row>
    <row r="292" hidden="1">
      <c r="H292" s="295"/>
    </row>
    <row r="293" hidden="1">
      <c r="H293" s="295"/>
    </row>
    <row r="294" hidden="1">
      <c r="H294" s="295"/>
    </row>
    <row r="295" hidden="1">
      <c r="H295" s="295"/>
    </row>
    <row r="296" hidden="1">
      <c r="H296" s="295"/>
    </row>
    <row r="297" hidden="1">
      <c r="H297" s="295"/>
    </row>
    <row r="298" hidden="1">
      <c r="H298" s="295"/>
    </row>
    <row r="299" hidden="1">
      <c r="H299" s="295"/>
    </row>
    <row r="300" hidden="1">
      <c r="H300" s="295"/>
    </row>
    <row r="301" hidden="1">
      <c r="H301" s="295"/>
    </row>
    <row r="302" hidden="1">
      <c r="H302" s="295"/>
    </row>
    <row r="303" hidden="1">
      <c r="H303" s="295"/>
    </row>
    <row r="304" hidden="1">
      <c r="H304" s="295"/>
    </row>
    <row r="305" hidden="1">
      <c r="H305" s="295"/>
    </row>
    <row r="306" hidden="1">
      <c r="H306" s="295"/>
    </row>
    <row r="307" hidden="1">
      <c r="H307" s="295"/>
    </row>
    <row r="308" hidden="1">
      <c r="H308" s="295"/>
    </row>
    <row r="309" hidden="1">
      <c r="H309" s="295"/>
    </row>
    <row r="310" hidden="1">
      <c r="H310" s="295"/>
    </row>
    <row r="311" hidden="1">
      <c r="H311" s="295"/>
    </row>
    <row r="312" hidden="1">
      <c r="H312" s="295"/>
    </row>
    <row r="313" hidden="1">
      <c r="H313" s="295"/>
    </row>
    <row r="314" hidden="1">
      <c r="H314" s="295"/>
    </row>
    <row r="315" hidden="1">
      <c r="H315" s="295"/>
    </row>
    <row r="316" hidden="1">
      <c r="H316" s="295"/>
    </row>
    <row r="317" hidden="1">
      <c r="H317" s="295"/>
    </row>
    <row r="318" hidden="1">
      <c r="H318" s="295"/>
    </row>
    <row r="319" hidden="1">
      <c r="H319" s="295"/>
    </row>
    <row r="320" hidden="1">
      <c r="H320" s="295"/>
    </row>
    <row r="321" hidden="1">
      <c r="H321" s="295"/>
    </row>
    <row r="322" hidden="1">
      <c r="H322" s="295"/>
    </row>
    <row r="323" hidden="1">
      <c r="H323" s="295"/>
    </row>
    <row r="324" hidden="1">
      <c r="H324" s="295"/>
    </row>
    <row r="325" hidden="1">
      <c r="H325" s="295"/>
    </row>
    <row r="326" hidden="1">
      <c r="H326" s="295"/>
    </row>
    <row r="327" hidden="1">
      <c r="H327" s="295"/>
    </row>
    <row r="328" hidden="1">
      <c r="H328" s="295"/>
    </row>
    <row r="329" hidden="1">
      <c r="H329" s="295"/>
    </row>
    <row r="330" hidden="1">
      <c r="H330" s="295"/>
    </row>
    <row r="331" hidden="1">
      <c r="H331" s="295"/>
    </row>
    <row r="332" hidden="1">
      <c r="H332" s="295"/>
    </row>
    <row r="333" hidden="1">
      <c r="H333" s="295"/>
    </row>
    <row r="334" hidden="1">
      <c r="H334" s="295"/>
    </row>
    <row r="335" hidden="1">
      <c r="H335" s="295"/>
    </row>
    <row r="336" hidden="1">
      <c r="H336" s="295"/>
    </row>
    <row r="337" hidden="1">
      <c r="H337" s="295"/>
    </row>
    <row r="338" hidden="1">
      <c r="H338" s="295"/>
    </row>
    <row r="339" hidden="1">
      <c r="H339" s="295"/>
    </row>
    <row r="340" hidden="1">
      <c r="H340" s="295"/>
    </row>
    <row r="341" hidden="1">
      <c r="H341" s="295"/>
    </row>
    <row r="342" hidden="1">
      <c r="H342" s="295"/>
    </row>
    <row r="343" hidden="1">
      <c r="H343" s="295"/>
    </row>
    <row r="344" hidden="1">
      <c r="H344" s="295"/>
    </row>
    <row r="345" hidden="1">
      <c r="H345" s="295"/>
    </row>
    <row r="346" hidden="1">
      <c r="H346" s="295"/>
    </row>
    <row r="347" hidden="1">
      <c r="H347" s="295"/>
    </row>
    <row r="348" hidden="1">
      <c r="H348" s="295"/>
    </row>
    <row r="349" hidden="1">
      <c r="H349" s="295"/>
    </row>
    <row r="350" hidden="1">
      <c r="H350" s="295"/>
    </row>
    <row r="351" hidden="1">
      <c r="H351" s="295"/>
    </row>
    <row r="352" hidden="1">
      <c r="H352" s="295"/>
    </row>
    <row r="353" hidden="1">
      <c r="H353" s="295"/>
    </row>
    <row r="354" hidden="1">
      <c r="H354" s="295"/>
    </row>
    <row r="355" hidden="1">
      <c r="H355" s="295"/>
    </row>
    <row r="356" hidden="1">
      <c r="H356" s="295"/>
    </row>
    <row r="357" hidden="1">
      <c r="H357" s="295"/>
    </row>
    <row r="358" hidden="1">
      <c r="H358" s="295"/>
    </row>
    <row r="359" hidden="1">
      <c r="H359" s="295"/>
    </row>
    <row r="360" hidden="1">
      <c r="H360" s="295"/>
    </row>
    <row r="361" hidden="1">
      <c r="H361" s="295"/>
    </row>
    <row r="362" hidden="1">
      <c r="H362" s="295"/>
    </row>
    <row r="363" hidden="1">
      <c r="H363" s="295"/>
    </row>
    <row r="364" hidden="1">
      <c r="H364" s="295"/>
    </row>
    <row r="365" hidden="1">
      <c r="H365" s="295"/>
    </row>
    <row r="366" hidden="1">
      <c r="H366" s="295"/>
    </row>
    <row r="367" hidden="1">
      <c r="H367" s="295"/>
    </row>
    <row r="368" hidden="1">
      <c r="H368" s="295"/>
    </row>
    <row r="369" hidden="1">
      <c r="H369" s="295"/>
    </row>
    <row r="370" hidden="1">
      <c r="H370" s="295"/>
    </row>
    <row r="371" hidden="1">
      <c r="H371" s="295"/>
    </row>
    <row r="372" hidden="1">
      <c r="H372" s="295"/>
    </row>
    <row r="373" hidden="1">
      <c r="H373" s="295"/>
    </row>
    <row r="374" hidden="1">
      <c r="H374" s="295"/>
    </row>
    <row r="375" hidden="1">
      <c r="H375" s="295"/>
    </row>
    <row r="376" hidden="1">
      <c r="H376" s="295"/>
    </row>
    <row r="377" hidden="1">
      <c r="H377" s="295"/>
    </row>
    <row r="378" hidden="1">
      <c r="H378" s="295"/>
    </row>
    <row r="379" hidden="1">
      <c r="H379" s="295"/>
    </row>
    <row r="380" hidden="1">
      <c r="H380" s="295"/>
    </row>
    <row r="381" hidden="1">
      <c r="H381" s="295"/>
    </row>
    <row r="382" hidden="1">
      <c r="H382" s="295"/>
    </row>
    <row r="383" hidden="1">
      <c r="H383" s="295"/>
    </row>
    <row r="384" hidden="1">
      <c r="H384" s="295"/>
    </row>
    <row r="385" hidden="1">
      <c r="H385" s="295"/>
    </row>
    <row r="386" hidden="1">
      <c r="H386" s="295"/>
    </row>
    <row r="387" hidden="1">
      <c r="H387" s="295"/>
    </row>
    <row r="388" hidden="1">
      <c r="H388" s="295"/>
    </row>
    <row r="389" hidden="1">
      <c r="H389" s="295"/>
    </row>
    <row r="390" hidden="1">
      <c r="H390" s="295"/>
    </row>
    <row r="391" hidden="1">
      <c r="H391" s="295"/>
    </row>
    <row r="392" hidden="1">
      <c r="H392" s="295"/>
    </row>
    <row r="393" hidden="1">
      <c r="H393" s="295"/>
    </row>
    <row r="394" hidden="1">
      <c r="H394" s="295"/>
    </row>
    <row r="395" hidden="1">
      <c r="H395" s="295"/>
    </row>
    <row r="396" hidden="1">
      <c r="H396" s="295"/>
    </row>
    <row r="397" hidden="1">
      <c r="H397" s="295"/>
    </row>
    <row r="398" hidden="1">
      <c r="H398" s="295"/>
    </row>
    <row r="399" hidden="1">
      <c r="H399" s="295"/>
    </row>
    <row r="400" hidden="1">
      <c r="H400" s="295"/>
    </row>
    <row r="401" hidden="1">
      <c r="H401" s="295"/>
    </row>
    <row r="402" hidden="1">
      <c r="H402" s="295"/>
    </row>
    <row r="403" hidden="1">
      <c r="H403" s="295"/>
    </row>
    <row r="404" hidden="1">
      <c r="H404" s="295"/>
    </row>
    <row r="405" hidden="1">
      <c r="H405" s="295"/>
    </row>
    <row r="406" hidden="1">
      <c r="H406" s="295"/>
    </row>
    <row r="407" hidden="1">
      <c r="H407" s="295"/>
    </row>
    <row r="408" hidden="1">
      <c r="H408" s="295"/>
    </row>
    <row r="409" hidden="1">
      <c r="H409" s="295"/>
    </row>
    <row r="410" hidden="1">
      <c r="H410" s="295"/>
    </row>
    <row r="411" hidden="1">
      <c r="H411" s="295"/>
    </row>
    <row r="412" hidden="1">
      <c r="H412" s="295"/>
    </row>
    <row r="413" hidden="1">
      <c r="H413" s="295"/>
    </row>
    <row r="414" hidden="1">
      <c r="H414" s="295"/>
    </row>
    <row r="415" hidden="1">
      <c r="H415" s="295"/>
    </row>
    <row r="416" hidden="1">
      <c r="H416" s="295"/>
    </row>
    <row r="417" hidden="1">
      <c r="H417" s="295"/>
    </row>
    <row r="418" hidden="1">
      <c r="H418" s="295"/>
    </row>
    <row r="419" hidden="1">
      <c r="H419" s="295"/>
    </row>
    <row r="420" hidden="1">
      <c r="H420" s="295"/>
    </row>
    <row r="421" hidden="1">
      <c r="H421" s="295"/>
    </row>
    <row r="422" hidden="1">
      <c r="H422" s="295"/>
    </row>
    <row r="423" hidden="1">
      <c r="H423" s="295"/>
    </row>
    <row r="424" hidden="1">
      <c r="H424" s="295"/>
    </row>
    <row r="425" hidden="1">
      <c r="H425" s="295"/>
    </row>
    <row r="426" hidden="1">
      <c r="H426" s="295"/>
    </row>
    <row r="427" hidden="1">
      <c r="H427" s="295"/>
    </row>
    <row r="428" hidden="1">
      <c r="H428" s="295"/>
    </row>
    <row r="429" hidden="1">
      <c r="H429" s="295"/>
    </row>
    <row r="430" hidden="1">
      <c r="H430" s="295"/>
    </row>
    <row r="431" hidden="1">
      <c r="H431" s="295"/>
    </row>
    <row r="432" hidden="1">
      <c r="H432" s="295"/>
    </row>
    <row r="433" hidden="1">
      <c r="H433" s="295"/>
    </row>
    <row r="434" hidden="1">
      <c r="H434" s="295"/>
    </row>
    <row r="435" hidden="1">
      <c r="H435" s="295"/>
    </row>
    <row r="436" hidden="1">
      <c r="H436" s="295"/>
    </row>
    <row r="437" hidden="1">
      <c r="H437" s="295"/>
    </row>
    <row r="438" hidden="1">
      <c r="H438" s="295"/>
    </row>
    <row r="439" hidden="1">
      <c r="H439" s="295"/>
    </row>
    <row r="440" hidden="1">
      <c r="H440" s="295"/>
    </row>
    <row r="441" hidden="1">
      <c r="H441" s="295"/>
    </row>
    <row r="442" hidden="1">
      <c r="H442" s="295"/>
    </row>
    <row r="443" hidden="1">
      <c r="H443" s="295"/>
    </row>
    <row r="444" hidden="1">
      <c r="H444" s="295"/>
    </row>
    <row r="445" hidden="1">
      <c r="H445" s="295"/>
    </row>
    <row r="446" hidden="1">
      <c r="H446" s="295"/>
    </row>
    <row r="447" hidden="1">
      <c r="H447" s="295"/>
    </row>
    <row r="448" hidden="1">
      <c r="H448" s="295"/>
    </row>
    <row r="449" hidden="1">
      <c r="H449" s="295"/>
    </row>
    <row r="450" hidden="1">
      <c r="H450" s="295"/>
    </row>
    <row r="451" hidden="1">
      <c r="H451" s="295"/>
    </row>
    <row r="452" hidden="1">
      <c r="H452" s="295"/>
    </row>
    <row r="453" hidden="1">
      <c r="H453" s="295"/>
    </row>
    <row r="454" hidden="1">
      <c r="H454" s="295"/>
    </row>
    <row r="455" hidden="1">
      <c r="H455" s="295"/>
    </row>
    <row r="456" hidden="1">
      <c r="H456" s="295"/>
    </row>
    <row r="457" hidden="1">
      <c r="H457" s="295"/>
    </row>
    <row r="458" hidden="1">
      <c r="H458" s="295"/>
    </row>
    <row r="459" hidden="1">
      <c r="H459" s="295"/>
    </row>
    <row r="460" hidden="1">
      <c r="H460" s="295"/>
    </row>
    <row r="461" hidden="1">
      <c r="H461" s="295"/>
    </row>
    <row r="462" hidden="1">
      <c r="H462" s="295"/>
    </row>
    <row r="463" hidden="1">
      <c r="H463" s="295"/>
    </row>
    <row r="464" hidden="1">
      <c r="H464" s="295"/>
    </row>
    <row r="465" hidden="1">
      <c r="H465" s="295"/>
    </row>
    <row r="466" hidden="1">
      <c r="H466" s="295"/>
    </row>
    <row r="467" hidden="1">
      <c r="H467" s="295"/>
    </row>
    <row r="468" hidden="1">
      <c r="H468" s="295"/>
    </row>
    <row r="469" hidden="1">
      <c r="H469" s="295"/>
    </row>
    <row r="470" hidden="1">
      <c r="H470" s="295"/>
    </row>
    <row r="471" hidden="1">
      <c r="H471" s="295"/>
    </row>
    <row r="472" hidden="1">
      <c r="H472" s="295"/>
    </row>
    <row r="473" hidden="1">
      <c r="H473" s="295"/>
    </row>
    <row r="474" hidden="1">
      <c r="H474" s="295"/>
    </row>
    <row r="475" hidden="1">
      <c r="H475" s="295"/>
    </row>
    <row r="476" hidden="1">
      <c r="H476" s="295"/>
    </row>
    <row r="477" hidden="1">
      <c r="H477" s="295"/>
    </row>
    <row r="478" hidden="1">
      <c r="H478" s="295"/>
    </row>
    <row r="479" hidden="1">
      <c r="H479" s="295"/>
    </row>
    <row r="480" hidden="1">
      <c r="H480" s="295"/>
    </row>
    <row r="481" hidden="1">
      <c r="H481" s="295"/>
    </row>
    <row r="482" hidden="1">
      <c r="H482" s="295"/>
    </row>
    <row r="483" hidden="1">
      <c r="H483" s="295"/>
    </row>
    <row r="484" hidden="1">
      <c r="H484" s="295"/>
    </row>
    <row r="485" hidden="1">
      <c r="H485" s="295"/>
    </row>
    <row r="486" hidden="1">
      <c r="H486" s="295"/>
    </row>
    <row r="487" hidden="1">
      <c r="H487" s="295"/>
    </row>
    <row r="488" hidden="1">
      <c r="H488" s="295"/>
    </row>
    <row r="489" hidden="1">
      <c r="H489" s="295"/>
    </row>
    <row r="490" hidden="1">
      <c r="H490" s="295"/>
    </row>
    <row r="491" hidden="1">
      <c r="H491" s="295"/>
    </row>
    <row r="492" hidden="1">
      <c r="H492" s="295"/>
    </row>
    <row r="493" hidden="1">
      <c r="H493" s="295"/>
    </row>
    <row r="494" hidden="1">
      <c r="H494" s="295"/>
    </row>
    <row r="495" hidden="1">
      <c r="H495" s="295"/>
    </row>
    <row r="496" hidden="1">
      <c r="H496" s="295"/>
    </row>
    <row r="497" hidden="1">
      <c r="H497" s="295"/>
    </row>
    <row r="498" hidden="1">
      <c r="H498" s="295"/>
    </row>
    <row r="499" hidden="1">
      <c r="H499" s="295"/>
    </row>
    <row r="500" hidden="1">
      <c r="H500" s="295"/>
    </row>
    <row r="501" hidden="1">
      <c r="H501" s="295"/>
    </row>
    <row r="502" hidden="1">
      <c r="H502" s="295"/>
    </row>
    <row r="503" hidden="1">
      <c r="H503" s="295"/>
    </row>
    <row r="504" hidden="1">
      <c r="H504" s="295"/>
    </row>
    <row r="505" hidden="1">
      <c r="H505" s="295"/>
    </row>
    <row r="506" hidden="1">
      <c r="H506" s="295"/>
    </row>
    <row r="507" hidden="1">
      <c r="H507" s="295"/>
    </row>
    <row r="508" hidden="1">
      <c r="H508" s="295"/>
    </row>
    <row r="509" hidden="1">
      <c r="H509" s="295"/>
    </row>
    <row r="510" hidden="1">
      <c r="H510" s="295"/>
    </row>
    <row r="511" hidden="1">
      <c r="H511" s="295"/>
    </row>
    <row r="512" hidden="1">
      <c r="H512" s="295"/>
    </row>
    <row r="513" hidden="1">
      <c r="H513" s="295"/>
    </row>
    <row r="514" hidden="1">
      <c r="H514" s="295"/>
    </row>
    <row r="515" hidden="1">
      <c r="H515" s="295"/>
    </row>
    <row r="516" hidden="1">
      <c r="H516" s="295"/>
    </row>
    <row r="517" hidden="1">
      <c r="H517" s="295"/>
    </row>
    <row r="518" hidden="1">
      <c r="H518" s="295"/>
    </row>
    <row r="519" hidden="1">
      <c r="H519" s="295"/>
    </row>
    <row r="520" hidden="1">
      <c r="H520" s="295"/>
    </row>
    <row r="521" hidden="1">
      <c r="H521" s="295"/>
    </row>
    <row r="522" hidden="1">
      <c r="H522" s="295"/>
    </row>
    <row r="523" hidden="1">
      <c r="H523" s="295"/>
    </row>
    <row r="524" hidden="1">
      <c r="H524" s="295"/>
    </row>
    <row r="525" hidden="1">
      <c r="H525" s="295"/>
    </row>
    <row r="526" hidden="1">
      <c r="H526" s="295"/>
    </row>
    <row r="527" hidden="1">
      <c r="H527" s="295"/>
    </row>
    <row r="528" hidden="1">
      <c r="H528" s="295"/>
    </row>
    <row r="529" hidden="1">
      <c r="H529" s="295"/>
    </row>
    <row r="530" hidden="1">
      <c r="H530" s="295"/>
    </row>
    <row r="531" hidden="1">
      <c r="H531" s="295"/>
    </row>
    <row r="532" hidden="1">
      <c r="H532" s="295"/>
    </row>
    <row r="533" hidden="1">
      <c r="H533" s="295"/>
    </row>
    <row r="534" hidden="1">
      <c r="H534" s="295"/>
    </row>
    <row r="535" hidden="1">
      <c r="H535" s="295"/>
    </row>
    <row r="536" hidden="1">
      <c r="H536" s="295"/>
    </row>
    <row r="537" hidden="1">
      <c r="H537" s="295"/>
    </row>
    <row r="538" hidden="1">
      <c r="H538" s="295"/>
    </row>
    <row r="539" hidden="1">
      <c r="H539" s="295"/>
    </row>
    <row r="540" hidden="1">
      <c r="H540" s="295"/>
    </row>
    <row r="541" hidden="1">
      <c r="H541" s="295"/>
    </row>
    <row r="542" hidden="1">
      <c r="H542" s="295"/>
    </row>
    <row r="543" hidden="1">
      <c r="H543" s="295"/>
    </row>
    <row r="544" hidden="1">
      <c r="H544" s="295"/>
    </row>
    <row r="545" hidden="1">
      <c r="H545" s="295"/>
    </row>
    <row r="546" hidden="1">
      <c r="H546" s="295"/>
    </row>
    <row r="547" hidden="1">
      <c r="H547" s="295"/>
    </row>
    <row r="548" hidden="1">
      <c r="H548" s="295"/>
    </row>
    <row r="549" hidden="1">
      <c r="H549" s="295"/>
    </row>
    <row r="550" hidden="1">
      <c r="H550" s="295"/>
    </row>
    <row r="551" hidden="1">
      <c r="H551" s="295"/>
    </row>
    <row r="552" hidden="1">
      <c r="H552" s="295"/>
    </row>
    <row r="553" hidden="1">
      <c r="H553" s="295"/>
    </row>
    <row r="554" hidden="1">
      <c r="H554" s="295"/>
    </row>
    <row r="555" hidden="1">
      <c r="H555" s="295"/>
    </row>
    <row r="556" hidden="1">
      <c r="H556" s="295"/>
    </row>
    <row r="557" hidden="1">
      <c r="H557" s="295"/>
    </row>
    <row r="558" hidden="1">
      <c r="H558" s="295"/>
    </row>
    <row r="559" hidden="1">
      <c r="H559" s="295"/>
    </row>
    <row r="560" hidden="1">
      <c r="H560" s="295"/>
    </row>
    <row r="561" hidden="1">
      <c r="H561" s="295"/>
    </row>
    <row r="562" hidden="1">
      <c r="H562" s="295"/>
    </row>
    <row r="563" hidden="1">
      <c r="H563" s="295"/>
    </row>
    <row r="564" hidden="1">
      <c r="H564" s="295"/>
    </row>
    <row r="565" hidden="1">
      <c r="H565" s="295"/>
    </row>
    <row r="566" hidden="1">
      <c r="H566" s="295"/>
    </row>
    <row r="567" hidden="1">
      <c r="H567" s="295"/>
    </row>
    <row r="568" hidden="1">
      <c r="H568" s="295"/>
    </row>
    <row r="569" hidden="1">
      <c r="H569" s="295"/>
    </row>
    <row r="570" hidden="1">
      <c r="H570" s="295"/>
    </row>
    <row r="571" hidden="1">
      <c r="H571" s="295"/>
    </row>
    <row r="572" hidden="1">
      <c r="H572" s="295"/>
    </row>
    <row r="573" hidden="1">
      <c r="H573" s="295"/>
    </row>
    <row r="574" hidden="1">
      <c r="H574" s="295"/>
    </row>
    <row r="575" hidden="1">
      <c r="H575" s="295"/>
    </row>
    <row r="576" hidden="1">
      <c r="H576" s="295"/>
    </row>
    <row r="577" hidden="1">
      <c r="H577" s="295"/>
    </row>
    <row r="578" hidden="1">
      <c r="H578" s="295"/>
    </row>
    <row r="579" hidden="1">
      <c r="H579" s="295"/>
    </row>
    <row r="580" hidden="1">
      <c r="H580" s="295"/>
    </row>
    <row r="581" hidden="1">
      <c r="H581" s="295"/>
    </row>
    <row r="582" hidden="1">
      <c r="H582" s="295"/>
    </row>
    <row r="583" hidden="1">
      <c r="H583" s="295"/>
    </row>
    <row r="584" hidden="1">
      <c r="H584" s="295"/>
    </row>
    <row r="585" hidden="1">
      <c r="H585" s="295"/>
    </row>
    <row r="586" hidden="1">
      <c r="H586" s="295"/>
    </row>
    <row r="587" hidden="1">
      <c r="H587" s="295"/>
    </row>
    <row r="588" hidden="1">
      <c r="H588" s="295"/>
    </row>
    <row r="589" hidden="1">
      <c r="H589" s="295"/>
    </row>
    <row r="590" hidden="1">
      <c r="H590" s="295"/>
    </row>
    <row r="591" hidden="1">
      <c r="H591" s="295"/>
    </row>
    <row r="592" hidden="1">
      <c r="H592" s="295"/>
    </row>
    <row r="593" hidden="1">
      <c r="H593" s="295"/>
    </row>
    <row r="594" hidden="1">
      <c r="H594" s="295"/>
    </row>
    <row r="595" hidden="1">
      <c r="H595" s="295"/>
    </row>
    <row r="596" hidden="1">
      <c r="H596" s="295"/>
    </row>
    <row r="597" hidden="1">
      <c r="H597" s="295"/>
    </row>
    <row r="598" hidden="1">
      <c r="H598" s="295"/>
    </row>
    <row r="599" hidden="1">
      <c r="H599" s="295"/>
    </row>
    <row r="600" hidden="1">
      <c r="H600" s="295"/>
    </row>
    <row r="601" hidden="1">
      <c r="H601" s="295"/>
    </row>
    <row r="602" hidden="1">
      <c r="H602" s="295"/>
    </row>
    <row r="603" hidden="1">
      <c r="H603" s="295"/>
    </row>
    <row r="604" hidden="1">
      <c r="H604" s="295"/>
    </row>
    <row r="605" hidden="1">
      <c r="H605" s="295"/>
    </row>
    <row r="606" hidden="1">
      <c r="H606" s="295"/>
    </row>
    <row r="607" hidden="1">
      <c r="H607" s="295"/>
    </row>
    <row r="608" hidden="1">
      <c r="H608" s="295"/>
    </row>
    <row r="609" hidden="1">
      <c r="H609" s="295"/>
    </row>
    <row r="610" hidden="1">
      <c r="H610" s="295"/>
    </row>
    <row r="611" hidden="1">
      <c r="H611" s="295"/>
    </row>
    <row r="612" hidden="1">
      <c r="H612" s="295"/>
    </row>
    <row r="613" hidden="1">
      <c r="H613" s="295"/>
    </row>
    <row r="614" hidden="1">
      <c r="H614" s="295"/>
    </row>
    <row r="615" hidden="1">
      <c r="H615" s="295"/>
    </row>
    <row r="616" hidden="1">
      <c r="H616" s="295"/>
    </row>
    <row r="617" hidden="1">
      <c r="H617" s="295"/>
    </row>
    <row r="618" hidden="1">
      <c r="H618" s="295"/>
    </row>
    <row r="619" hidden="1">
      <c r="H619" s="295"/>
    </row>
    <row r="620" hidden="1">
      <c r="H620" s="295"/>
    </row>
    <row r="621" hidden="1">
      <c r="H621" s="295"/>
    </row>
    <row r="622" hidden="1">
      <c r="H622" s="295"/>
    </row>
    <row r="623" hidden="1">
      <c r="H623" s="295"/>
    </row>
    <row r="624" hidden="1">
      <c r="H624" s="295"/>
    </row>
    <row r="625" hidden="1">
      <c r="H625" s="295"/>
    </row>
    <row r="626" hidden="1">
      <c r="H626" s="295"/>
    </row>
    <row r="627" hidden="1">
      <c r="H627" s="295"/>
    </row>
    <row r="628" hidden="1">
      <c r="H628" s="295"/>
    </row>
    <row r="629" hidden="1">
      <c r="H629" s="295"/>
    </row>
    <row r="630" hidden="1">
      <c r="H630" s="295"/>
    </row>
    <row r="631" hidden="1">
      <c r="H631" s="295"/>
    </row>
    <row r="632" hidden="1">
      <c r="H632" s="295"/>
    </row>
    <row r="633" hidden="1">
      <c r="H633" s="295"/>
    </row>
    <row r="634" hidden="1">
      <c r="H634" s="295"/>
    </row>
    <row r="635" hidden="1">
      <c r="H635" s="295"/>
    </row>
    <row r="636" hidden="1">
      <c r="H636" s="295"/>
    </row>
    <row r="637" hidden="1">
      <c r="H637" s="295"/>
    </row>
    <row r="638" hidden="1">
      <c r="H638" s="295"/>
    </row>
    <row r="639" hidden="1">
      <c r="H639" s="295"/>
    </row>
    <row r="640" hidden="1">
      <c r="H640" s="295"/>
    </row>
    <row r="641" hidden="1">
      <c r="H641" s="295"/>
    </row>
    <row r="642" hidden="1">
      <c r="H642" s="295"/>
    </row>
    <row r="643" hidden="1">
      <c r="H643" s="295"/>
    </row>
    <row r="644" hidden="1">
      <c r="H644" s="295"/>
    </row>
    <row r="645" hidden="1">
      <c r="H645" s="295"/>
    </row>
    <row r="646" hidden="1">
      <c r="H646" s="295"/>
    </row>
    <row r="647" hidden="1">
      <c r="H647" s="295"/>
    </row>
    <row r="648" hidden="1">
      <c r="H648" s="295"/>
    </row>
    <row r="649" hidden="1">
      <c r="H649" s="295"/>
    </row>
    <row r="650" hidden="1">
      <c r="H650" s="295"/>
    </row>
    <row r="651" hidden="1">
      <c r="H651" s="295"/>
    </row>
    <row r="652" hidden="1">
      <c r="H652" s="295"/>
    </row>
    <row r="653" hidden="1">
      <c r="H653" s="295"/>
    </row>
    <row r="654" hidden="1">
      <c r="H654" s="295"/>
    </row>
    <row r="655" hidden="1">
      <c r="H655" s="295"/>
    </row>
    <row r="656" hidden="1">
      <c r="H656" s="295"/>
    </row>
    <row r="657" hidden="1">
      <c r="H657" s="295"/>
    </row>
    <row r="658" hidden="1">
      <c r="H658" s="295"/>
    </row>
    <row r="659" hidden="1">
      <c r="H659" s="295"/>
    </row>
    <row r="660" hidden="1">
      <c r="H660" s="295"/>
    </row>
    <row r="661" hidden="1">
      <c r="H661" s="295"/>
    </row>
    <row r="662" hidden="1">
      <c r="H662" s="295"/>
    </row>
    <row r="663" hidden="1">
      <c r="H663" s="295"/>
    </row>
    <row r="664" hidden="1">
      <c r="H664" s="295"/>
    </row>
    <row r="665" hidden="1">
      <c r="H665" s="295"/>
    </row>
    <row r="666" hidden="1">
      <c r="H666" s="295"/>
    </row>
    <row r="667" hidden="1">
      <c r="H667" s="295"/>
    </row>
    <row r="668" hidden="1">
      <c r="H668" s="295"/>
    </row>
    <row r="669" hidden="1">
      <c r="H669" s="295"/>
    </row>
    <row r="670" hidden="1">
      <c r="H670" s="295"/>
    </row>
    <row r="671" hidden="1">
      <c r="H671" s="295"/>
    </row>
    <row r="672" hidden="1">
      <c r="H672" s="295"/>
    </row>
    <row r="673" hidden="1">
      <c r="H673" s="295"/>
    </row>
    <row r="674" hidden="1">
      <c r="H674" s="295"/>
    </row>
    <row r="675" hidden="1">
      <c r="H675" s="295"/>
    </row>
    <row r="676" hidden="1">
      <c r="H676" s="295"/>
    </row>
    <row r="677" hidden="1">
      <c r="H677" s="295"/>
    </row>
    <row r="678" hidden="1">
      <c r="H678" s="295"/>
    </row>
    <row r="679" hidden="1">
      <c r="H679" s="295"/>
    </row>
    <row r="680" hidden="1">
      <c r="H680" s="295"/>
    </row>
    <row r="681" hidden="1">
      <c r="H681" s="295"/>
    </row>
    <row r="682" hidden="1">
      <c r="H682" s="295"/>
    </row>
    <row r="683" hidden="1">
      <c r="H683" s="295"/>
    </row>
    <row r="684" hidden="1">
      <c r="H684" s="295"/>
    </row>
    <row r="685" hidden="1">
      <c r="H685" s="295"/>
    </row>
    <row r="686" hidden="1">
      <c r="H686" s="295"/>
    </row>
    <row r="687" hidden="1">
      <c r="H687" s="295"/>
    </row>
    <row r="688" hidden="1">
      <c r="H688" s="295"/>
    </row>
    <row r="689" hidden="1">
      <c r="H689" s="295"/>
    </row>
    <row r="690" hidden="1">
      <c r="H690" s="295"/>
    </row>
    <row r="691" hidden="1">
      <c r="H691" s="295"/>
    </row>
    <row r="692" hidden="1">
      <c r="H692" s="295"/>
    </row>
    <row r="693" hidden="1">
      <c r="H693" s="295"/>
    </row>
    <row r="694" hidden="1">
      <c r="H694" s="295"/>
    </row>
    <row r="695" hidden="1">
      <c r="H695" s="295"/>
    </row>
    <row r="696" hidden="1">
      <c r="H696" s="295"/>
    </row>
    <row r="697" hidden="1">
      <c r="H697" s="295"/>
    </row>
    <row r="698" hidden="1">
      <c r="H698" s="295"/>
    </row>
    <row r="699" hidden="1">
      <c r="H699" s="295"/>
    </row>
    <row r="700" hidden="1">
      <c r="H700" s="295"/>
    </row>
    <row r="701" hidden="1">
      <c r="H701" s="295"/>
    </row>
    <row r="702" hidden="1">
      <c r="H702" s="295"/>
    </row>
    <row r="703" hidden="1">
      <c r="H703" s="295"/>
    </row>
    <row r="704" hidden="1">
      <c r="H704" s="295"/>
    </row>
    <row r="705" hidden="1">
      <c r="H705" s="295"/>
    </row>
    <row r="706" hidden="1">
      <c r="H706" s="295"/>
    </row>
    <row r="707" hidden="1">
      <c r="H707" s="295"/>
    </row>
    <row r="708" hidden="1">
      <c r="H708" s="295"/>
    </row>
    <row r="709" hidden="1">
      <c r="H709" s="295"/>
    </row>
    <row r="710" hidden="1">
      <c r="H710" s="295"/>
    </row>
    <row r="711" hidden="1">
      <c r="H711" s="295"/>
    </row>
    <row r="712" hidden="1">
      <c r="H712" s="295"/>
    </row>
    <row r="713" hidden="1">
      <c r="H713" s="295"/>
    </row>
    <row r="714" hidden="1">
      <c r="H714" s="295"/>
    </row>
    <row r="715" hidden="1">
      <c r="H715" s="295"/>
    </row>
    <row r="716" hidden="1">
      <c r="H716" s="295"/>
    </row>
    <row r="717" hidden="1">
      <c r="H717" s="295"/>
    </row>
    <row r="718" hidden="1">
      <c r="H718" s="295"/>
    </row>
    <row r="719" hidden="1">
      <c r="H719" s="295"/>
    </row>
    <row r="720" hidden="1">
      <c r="H720" s="295"/>
    </row>
    <row r="721" hidden="1">
      <c r="H721" s="295"/>
    </row>
    <row r="722" hidden="1">
      <c r="H722" s="295"/>
    </row>
    <row r="723" hidden="1">
      <c r="H723" s="295"/>
    </row>
    <row r="724" hidden="1">
      <c r="H724" s="295"/>
    </row>
    <row r="725" hidden="1">
      <c r="H725" s="295"/>
    </row>
    <row r="726" hidden="1">
      <c r="H726" s="295"/>
    </row>
    <row r="727" hidden="1">
      <c r="H727" s="295"/>
    </row>
    <row r="728" hidden="1">
      <c r="H728" s="295"/>
    </row>
    <row r="729" hidden="1">
      <c r="H729" s="295"/>
    </row>
    <row r="730" hidden="1">
      <c r="H730" s="295"/>
    </row>
    <row r="731" hidden="1">
      <c r="H731" s="295"/>
    </row>
    <row r="732" hidden="1">
      <c r="H732" s="295"/>
    </row>
    <row r="733" hidden="1">
      <c r="H733" s="295"/>
    </row>
    <row r="734" hidden="1">
      <c r="H734" s="295"/>
    </row>
    <row r="735" hidden="1">
      <c r="H735" s="295"/>
    </row>
    <row r="736" hidden="1">
      <c r="H736" s="295"/>
    </row>
    <row r="737" hidden="1">
      <c r="H737" s="295"/>
    </row>
    <row r="738" hidden="1">
      <c r="H738" s="295"/>
    </row>
    <row r="739" hidden="1">
      <c r="H739" s="295"/>
    </row>
    <row r="740" hidden="1">
      <c r="H740" s="295"/>
    </row>
    <row r="741" hidden="1">
      <c r="H741" s="295"/>
    </row>
    <row r="742" hidden="1">
      <c r="H742" s="295"/>
    </row>
    <row r="743" hidden="1">
      <c r="H743" s="295"/>
    </row>
    <row r="744" hidden="1">
      <c r="H744" s="295"/>
    </row>
    <row r="745" hidden="1">
      <c r="H745" s="295"/>
    </row>
    <row r="746" hidden="1">
      <c r="H746" s="295"/>
    </row>
    <row r="747" hidden="1">
      <c r="H747" s="295"/>
    </row>
    <row r="748" hidden="1">
      <c r="H748" s="295"/>
    </row>
    <row r="749" hidden="1">
      <c r="H749" s="295"/>
    </row>
    <row r="750" hidden="1">
      <c r="H750" s="295"/>
    </row>
    <row r="751" hidden="1">
      <c r="H751" s="295"/>
    </row>
    <row r="752" hidden="1">
      <c r="H752" s="295"/>
    </row>
    <row r="753" hidden="1">
      <c r="H753" s="295"/>
    </row>
    <row r="754" hidden="1">
      <c r="H754" s="295"/>
    </row>
    <row r="755" hidden="1">
      <c r="H755" s="295"/>
    </row>
    <row r="756" hidden="1">
      <c r="H756" s="295"/>
    </row>
    <row r="757" hidden="1">
      <c r="H757" s="295"/>
    </row>
    <row r="758" hidden="1">
      <c r="H758" s="295"/>
    </row>
    <row r="759" hidden="1">
      <c r="H759" s="295"/>
    </row>
    <row r="760" hidden="1">
      <c r="H760" s="295"/>
    </row>
    <row r="761" hidden="1">
      <c r="H761" s="295"/>
    </row>
    <row r="762" hidden="1">
      <c r="H762" s="295"/>
    </row>
    <row r="763" hidden="1">
      <c r="H763" s="295"/>
    </row>
    <row r="764" hidden="1">
      <c r="H764" s="295"/>
    </row>
    <row r="765" hidden="1">
      <c r="H765" s="295"/>
    </row>
    <row r="766" hidden="1">
      <c r="H766" s="295"/>
    </row>
    <row r="767" hidden="1">
      <c r="H767" s="295"/>
    </row>
    <row r="768" hidden="1">
      <c r="H768" s="295"/>
    </row>
    <row r="769" hidden="1">
      <c r="H769" s="295"/>
    </row>
    <row r="770" hidden="1">
      <c r="H770" s="295"/>
    </row>
    <row r="771" hidden="1">
      <c r="H771" s="295"/>
    </row>
    <row r="772" hidden="1">
      <c r="H772" s="295"/>
    </row>
    <row r="773" hidden="1">
      <c r="H773" s="295"/>
    </row>
    <row r="774" hidden="1">
      <c r="H774" s="295"/>
    </row>
    <row r="775" hidden="1">
      <c r="H775" s="295"/>
    </row>
    <row r="776" hidden="1">
      <c r="H776" s="295"/>
    </row>
    <row r="777" hidden="1">
      <c r="H777" s="295"/>
    </row>
    <row r="778" hidden="1">
      <c r="H778" s="295"/>
    </row>
    <row r="779" hidden="1">
      <c r="H779" s="295"/>
    </row>
    <row r="780" hidden="1">
      <c r="H780" s="295"/>
    </row>
    <row r="781" hidden="1">
      <c r="H781" s="295"/>
    </row>
    <row r="782" hidden="1">
      <c r="H782" s="295"/>
    </row>
    <row r="783" hidden="1">
      <c r="H783" s="295"/>
    </row>
    <row r="784" hidden="1">
      <c r="H784" s="295"/>
    </row>
    <row r="785" hidden="1">
      <c r="H785" s="295"/>
    </row>
    <row r="786" hidden="1">
      <c r="H786" s="295"/>
    </row>
    <row r="787" hidden="1">
      <c r="H787" s="295"/>
    </row>
    <row r="788" hidden="1">
      <c r="H788" s="295"/>
    </row>
    <row r="789" hidden="1">
      <c r="H789" s="295"/>
    </row>
    <row r="790" hidden="1">
      <c r="H790" s="295"/>
    </row>
    <row r="791" hidden="1">
      <c r="H791" s="295"/>
    </row>
    <row r="792" hidden="1">
      <c r="H792" s="295"/>
    </row>
    <row r="793" hidden="1">
      <c r="H793" s="295"/>
    </row>
    <row r="794" hidden="1">
      <c r="H794" s="295"/>
    </row>
    <row r="795" hidden="1">
      <c r="H795" s="295"/>
    </row>
    <row r="796" hidden="1">
      <c r="H796" s="295"/>
    </row>
    <row r="797" hidden="1">
      <c r="H797" s="295"/>
    </row>
    <row r="798" hidden="1">
      <c r="H798" s="295"/>
    </row>
    <row r="799" hidden="1">
      <c r="H799" s="295"/>
    </row>
    <row r="800" hidden="1">
      <c r="H800" s="295"/>
    </row>
    <row r="801" hidden="1">
      <c r="H801" s="295"/>
    </row>
    <row r="802" hidden="1">
      <c r="H802" s="295"/>
    </row>
    <row r="803" hidden="1">
      <c r="H803" s="295"/>
    </row>
    <row r="804" hidden="1">
      <c r="H804" s="295"/>
    </row>
    <row r="805" hidden="1">
      <c r="H805" s="295"/>
    </row>
    <row r="806" hidden="1">
      <c r="H806" s="295"/>
    </row>
    <row r="807" hidden="1">
      <c r="H807" s="295"/>
    </row>
    <row r="808" hidden="1">
      <c r="H808" s="295"/>
    </row>
    <row r="809" hidden="1">
      <c r="H809" s="295"/>
    </row>
    <row r="810" hidden="1">
      <c r="H810" s="295"/>
    </row>
    <row r="811" hidden="1">
      <c r="H811" s="295"/>
    </row>
    <row r="812" hidden="1">
      <c r="H812" s="295"/>
    </row>
    <row r="813" hidden="1">
      <c r="H813" s="295"/>
    </row>
    <row r="814" hidden="1">
      <c r="H814" s="295"/>
    </row>
    <row r="815" hidden="1">
      <c r="H815" s="295"/>
    </row>
    <row r="816" hidden="1">
      <c r="H816" s="295"/>
    </row>
    <row r="817" hidden="1">
      <c r="H817" s="295"/>
    </row>
    <row r="818" hidden="1">
      <c r="H818" s="295"/>
    </row>
    <row r="819" hidden="1">
      <c r="H819" s="295"/>
    </row>
    <row r="820" hidden="1">
      <c r="H820" s="295"/>
    </row>
    <row r="821" hidden="1">
      <c r="H821" s="295"/>
    </row>
    <row r="822" hidden="1">
      <c r="H822" s="295"/>
    </row>
    <row r="823" hidden="1">
      <c r="H823" s="295"/>
    </row>
    <row r="824" hidden="1">
      <c r="H824" s="295"/>
    </row>
    <row r="825" hidden="1">
      <c r="H825" s="295"/>
    </row>
    <row r="826" hidden="1">
      <c r="H826" s="295"/>
    </row>
    <row r="827" hidden="1">
      <c r="H827" s="295"/>
    </row>
    <row r="828" hidden="1">
      <c r="H828" s="295"/>
    </row>
    <row r="829" hidden="1">
      <c r="H829" s="295"/>
    </row>
    <row r="830" hidden="1">
      <c r="H830" s="295"/>
    </row>
    <row r="831" hidden="1">
      <c r="H831" s="295"/>
    </row>
    <row r="832" hidden="1">
      <c r="H832" s="295"/>
    </row>
    <row r="833" hidden="1">
      <c r="H833" s="295"/>
    </row>
    <row r="834" hidden="1">
      <c r="H834" s="295"/>
    </row>
    <row r="835" hidden="1">
      <c r="H835" s="295"/>
    </row>
    <row r="836" hidden="1">
      <c r="H836" s="295"/>
    </row>
    <row r="837" hidden="1">
      <c r="H837" s="295"/>
    </row>
    <row r="838" hidden="1">
      <c r="H838" s="295"/>
    </row>
    <row r="839" hidden="1">
      <c r="H839" s="295"/>
    </row>
    <row r="840" hidden="1">
      <c r="H840" s="295"/>
    </row>
    <row r="841" hidden="1">
      <c r="H841" s="295"/>
    </row>
    <row r="842" hidden="1">
      <c r="H842" s="295"/>
    </row>
    <row r="843" hidden="1">
      <c r="H843" s="295"/>
    </row>
    <row r="844" hidden="1">
      <c r="H844" s="295"/>
    </row>
    <row r="845" hidden="1">
      <c r="H845" s="295"/>
    </row>
    <row r="846" hidden="1">
      <c r="H846" s="295"/>
    </row>
    <row r="847" hidden="1">
      <c r="H847" s="295"/>
    </row>
    <row r="848" hidden="1">
      <c r="H848" s="295"/>
    </row>
    <row r="849" hidden="1">
      <c r="H849" s="295"/>
    </row>
    <row r="850" hidden="1">
      <c r="H850" s="295"/>
    </row>
    <row r="851" hidden="1">
      <c r="H851" s="295"/>
    </row>
    <row r="852" hidden="1">
      <c r="H852" s="295"/>
    </row>
    <row r="853" hidden="1">
      <c r="H853" s="295"/>
    </row>
    <row r="854" hidden="1">
      <c r="H854" s="295"/>
    </row>
    <row r="855" hidden="1">
      <c r="H855" s="295"/>
    </row>
    <row r="856" hidden="1">
      <c r="H856" s="295"/>
    </row>
    <row r="857" hidden="1">
      <c r="H857" s="295"/>
    </row>
    <row r="858" hidden="1">
      <c r="H858" s="295"/>
    </row>
    <row r="859" hidden="1">
      <c r="H859" s="295"/>
    </row>
    <row r="860" hidden="1">
      <c r="H860" s="295"/>
    </row>
    <row r="861" hidden="1">
      <c r="H861" s="295"/>
    </row>
    <row r="862" hidden="1">
      <c r="H862" s="295"/>
    </row>
    <row r="863" hidden="1">
      <c r="H863" s="295"/>
    </row>
    <row r="864" hidden="1">
      <c r="H864" s="295"/>
    </row>
    <row r="865" hidden="1">
      <c r="H865" s="295"/>
    </row>
    <row r="866" hidden="1">
      <c r="H866" s="295"/>
    </row>
    <row r="867" hidden="1">
      <c r="H867" s="295"/>
    </row>
    <row r="868" hidden="1">
      <c r="H868" s="295"/>
    </row>
    <row r="869" hidden="1">
      <c r="H869" s="295"/>
    </row>
    <row r="870" hidden="1">
      <c r="H870" s="295"/>
    </row>
    <row r="871" hidden="1">
      <c r="H871" s="295"/>
    </row>
    <row r="872" hidden="1">
      <c r="H872" s="295"/>
    </row>
    <row r="873" hidden="1">
      <c r="H873" s="295"/>
    </row>
    <row r="874" hidden="1">
      <c r="H874" s="295"/>
    </row>
    <row r="875" hidden="1">
      <c r="H875" s="295"/>
    </row>
    <row r="876" hidden="1">
      <c r="H876" s="295"/>
    </row>
    <row r="877" hidden="1">
      <c r="H877" s="295"/>
    </row>
    <row r="878" hidden="1">
      <c r="H878" s="295"/>
    </row>
    <row r="879" hidden="1">
      <c r="H879" s="295"/>
    </row>
    <row r="880" hidden="1">
      <c r="H880" s="295"/>
    </row>
    <row r="881" hidden="1">
      <c r="H881" s="295"/>
    </row>
    <row r="882" hidden="1">
      <c r="H882" s="295"/>
    </row>
    <row r="883" hidden="1">
      <c r="H883" s="295"/>
    </row>
    <row r="884" hidden="1">
      <c r="H884" s="295"/>
    </row>
    <row r="885" hidden="1">
      <c r="H885" s="295"/>
    </row>
    <row r="886" hidden="1">
      <c r="H886" s="295"/>
    </row>
    <row r="887" hidden="1">
      <c r="H887" s="295"/>
    </row>
    <row r="888" hidden="1">
      <c r="H888" s="295"/>
    </row>
    <row r="889" hidden="1">
      <c r="H889" s="295"/>
    </row>
    <row r="890" hidden="1">
      <c r="H890" s="295"/>
    </row>
    <row r="891" hidden="1">
      <c r="H891" s="295"/>
    </row>
    <row r="892" hidden="1">
      <c r="H892" s="295"/>
    </row>
    <row r="893" hidden="1">
      <c r="H893" s="295"/>
    </row>
    <row r="894" hidden="1">
      <c r="H894" s="295"/>
    </row>
    <row r="895" hidden="1">
      <c r="H895" s="295"/>
    </row>
    <row r="896" hidden="1">
      <c r="H896" s="295"/>
    </row>
    <row r="897" hidden="1">
      <c r="H897" s="295"/>
    </row>
    <row r="898" hidden="1">
      <c r="H898" s="295"/>
    </row>
    <row r="899" hidden="1">
      <c r="H899" s="295"/>
    </row>
    <row r="900" hidden="1">
      <c r="H900" s="295"/>
    </row>
    <row r="901" hidden="1">
      <c r="H901" s="295"/>
    </row>
    <row r="902" hidden="1">
      <c r="H902" s="295"/>
    </row>
    <row r="903" hidden="1">
      <c r="H903" s="295"/>
    </row>
    <row r="904" hidden="1">
      <c r="H904" s="295"/>
    </row>
    <row r="905" hidden="1">
      <c r="H905" s="295"/>
    </row>
    <row r="906" hidden="1">
      <c r="H906" s="295"/>
    </row>
    <row r="907" hidden="1">
      <c r="H907" s="295"/>
    </row>
    <row r="908" hidden="1">
      <c r="H908" s="295"/>
    </row>
    <row r="909" hidden="1">
      <c r="H909" s="295"/>
    </row>
    <row r="910" hidden="1">
      <c r="H910" s="295"/>
    </row>
    <row r="911" hidden="1">
      <c r="H911" s="295"/>
    </row>
    <row r="912" hidden="1">
      <c r="H912" s="295"/>
    </row>
    <row r="913" hidden="1">
      <c r="H913" s="295"/>
    </row>
    <row r="914" hidden="1">
      <c r="H914" s="295"/>
    </row>
    <row r="915" hidden="1">
      <c r="H915" s="295"/>
    </row>
    <row r="916" hidden="1">
      <c r="H916" s="295"/>
    </row>
    <row r="917" hidden="1">
      <c r="H917" s="295"/>
    </row>
    <row r="918" hidden="1">
      <c r="H918" s="295"/>
    </row>
    <row r="919" hidden="1">
      <c r="H919" s="295"/>
    </row>
    <row r="920" hidden="1">
      <c r="H920" s="295"/>
    </row>
    <row r="921" hidden="1">
      <c r="H921" s="295"/>
    </row>
    <row r="922" hidden="1">
      <c r="H922" s="295"/>
    </row>
    <row r="923" hidden="1">
      <c r="H923" s="295"/>
    </row>
    <row r="924" hidden="1">
      <c r="H924" s="295"/>
    </row>
    <row r="925" hidden="1">
      <c r="H925" s="295"/>
    </row>
    <row r="926" hidden="1">
      <c r="H926" s="295"/>
    </row>
    <row r="927" hidden="1">
      <c r="H927" s="295"/>
    </row>
    <row r="928" hidden="1">
      <c r="H928" s="295"/>
    </row>
    <row r="929" hidden="1">
      <c r="H929" s="295"/>
    </row>
    <row r="930" hidden="1">
      <c r="H930" s="295"/>
    </row>
    <row r="931" hidden="1">
      <c r="H931" s="295"/>
    </row>
    <row r="932" hidden="1">
      <c r="H932" s="295"/>
    </row>
    <row r="933" hidden="1">
      <c r="H933" s="295"/>
    </row>
    <row r="934" hidden="1">
      <c r="H934" s="295"/>
    </row>
    <row r="935" hidden="1">
      <c r="H935" s="295"/>
    </row>
    <row r="936" hidden="1">
      <c r="H936" s="295"/>
    </row>
    <row r="937" hidden="1">
      <c r="H937" s="295"/>
    </row>
    <row r="938" hidden="1">
      <c r="H938" s="295"/>
    </row>
    <row r="939" hidden="1">
      <c r="H939" s="295"/>
    </row>
    <row r="940" hidden="1">
      <c r="H940" s="295"/>
    </row>
    <row r="941" hidden="1">
      <c r="H941" s="295"/>
    </row>
    <row r="942" hidden="1">
      <c r="H942" s="295"/>
    </row>
    <row r="943" hidden="1">
      <c r="H943" s="295"/>
    </row>
    <row r="944" hidden="1">
      <c r="H944" s="295"/>
    </row>
    <row r="945" hidden="1">
      <c r="H945" s="295"/>
    </row>
    <row r="946" hidden="1">
      <c r="H946" s="295"/>
    </row>
    <row r="947" hidden="1">
      <c r="H947" s="295"/>
    </row>
    <row r="948" hidden="1">
      <c r="H948" s="295"/>
    </row>
    <row r="949" hidden="1">
      <c r="H949" s="295"/>
    </row>
    <row r="950" hidden="1">
      <c r="H950" s="295"/>
    </row>
    <row r="951" hidden="1">
      <c r="H951" s="295"/>
    </row>
    <row r="952" hidden="1">
      <c r="H952" s="295"/>
    </row>
    <row r="953" hidden="1">
      <c r="H953" s="295"/>
    </row>
    <row r="954" hidden="1">
      <c r="H954" s="295"/>
    </row>
    <row r="955" hidden="1">
      <c r="H955" s="295"/>
    </row>
    <row r="956" hidden="1">
      <c r="H956" s="295"/>
    </row>
    <row r="957" hidden="1">
      <c r="H957" s="295"/>
    </row>
    <row r="958" hidden="1">
      <c r="H958" s="295"/>
    </row>
    <row r="959" hidden="1">
      <c r="H959" s="295"/>
    </row>
    <row r="960" hidden="1">
      <c r="H960" s="295"/>
    </row>
    <row r="961" hidden="1">
      <c r="H961" s="295"/>
    </row>
    <row r="962" hidden="1">
      <c r="H962" s="295"/>
    </row>
    <row r="963" hidden="1">
      <c r="H963" s="295"/>
    </row>
    <row r="964" hidden="1">
      <c r="H964" s="295"/>
    </row>
    <row r="965" hidden="1">
      <c r="H965" s="295"/>
    </row>
    <row r="966" hidden="1">
      <c r="H966" s="295"/>
    </row>
    <row r="967" hidden="1">
      <c r="H967" s="295"/>
    </row>
    <row r="968" hidden="1">
      <c r="H968" s="295"/>
    </row>
    <row r="969" hidden="1">
      <c r="H969" s="295"/>
    </row>
    <row r="970" hidden="1">
      <c r="H970" s="295"/>
    </row>
    <row r="971" hidden="1">
      <c r="H971" s="295"/>
    </row>
    <row r="972" hidden="1">
      <c r="H972" s="295"/>
    </row>
    <row r="973" hidden="1">
      <c r="H973" s="295"/>
    </row>
    <row r="974" hidden="1">
      <c r="H974" s="295"/>
    </row>
    <row r="975" hidden="1">
      <c r="H975" s="295"/>
    </row>
    <row r="976" hidden="1">
      <c r="H976" s="295"/>
    </row>
    <row r="977" hidden="1">
      <c r="H977" s="295"/>
    </row>
    <row r="978" hidden="1">
      <c r="H978" s="295"/>
    </row>
    <row r="979" hidden="1">
      <c r="H979" s="295"/>
    </row>
    <row r="980" hidden="1">
      <c r="H980" s="295"/>
    </row>
    <row r="981" hidden="1">
      <c r="H981" s="295"/>
    </row>
    <row r="982" hidden="1">
      <c r="H982" s="295"/>
    </row>
    <row r="983" hidden="1">
      <c r="H983" s="295"/>
    </row>
    <row r="984" hidden="1">
      <c r="H984" s="295"/>
    </row>
    <row r="985" hidden="1">
      <c r="H985" s="295"/>
    </row>
    <row r="986" hidden="1">
      <c r="H986" s="295"/>
    </row>
    <row r="987" hidden="1">
      <c r="H987" s="295"/>
    </row>
    <row r="988" hidden="1">
      <c r="H988" s="295"/>
    </row>
    <row r="989" hidden="1">
      <c r="H989" s="295"/>
    </row>
    <row r="990" hidden="1">
      <c r="H990" s="295"/>
    </row>
    <row r="991" hidden="1">
      <c r="H991" s="295"/>
    </row>
    <row r="992" hidden="1">
      <c r="H992" s="295"/>
    </row>
    <row r="993" hidden="1">
      <c r="H993" s="295"/>
    </row>
    <row r="994" hidden="1">
      <c r="H994" s="295"/>
    </row>
    <row r="995" hidden="1">
      <c r="H995" s="295"/>
    </row>
    <row r="996" hidden="1">
      <c r="H996" s="295"/>
    </row>
    <row r="997" hidden="1">
      <c r="H997" s="295"/>
    </row>
    <row r="998" hidden="1">
      <c r="H998" s="295"/>
    </row>
    <row r="999" hidden="1">
      <c r="H999" s="295"/>
    </row>
    <row r="1000" hidden="1">
      <c r="H1000" s="295"/>
    </row>
    <row r="1001" hidden="1">
      <c r="H1001" s="295"/>
    </row>
    <row r="1002" hidden="1">
      <c r="H1002" s="295"/>
    </row>
    <row r="1003" hidden="1">
      <c r="H1003" s="295"/>
    </row>
    <row r="1004" hidden="1">
      <c r="H1004" s="295"/>
    </row>
    <row r="1005" hidden="1">
      <c r="H1005" s="295"/>
    </row>
    <row r="1006" hidden="1">
      <c r="H1006" s="295"/>
    </row>
    <row r="1007" hidden="1">
      <c r="H1007" s="295"/>
    </row>
    <row r="1008" hidden="1">
      <c r="H1008" s="295"/>
    </row>
    <row r="1009" hidden="1">
      <c r="H1009" s="295"/>
    </row>
    <row r="1010" hidden="1">
      <c r="H1010" s="295"/>
    </row>
    <row r="1011" hidden="1">
      <c r="H1011" s="295"/>
    </row>
    <row r="1012" hidden="1">
      <c r="H1012" s="295"/>
    </row>
    <row r="1013" hidden="1">
      <c r="H1013" s="295"/>
    </row>
    <row r="1014" hidden="1">
      <c r="H1014" s="295"/>
    </row>
    <row r="1015" hidden="1">
      <c r="H1015" s="295"/>
    </row>
    <row r="1016" hidden="1">
      <c r="H1016" s="295"/>
    </row>
    <row r="1017" hidden="1">
      <c r="H1017" s="295"/>
    </row>
    <row r="1018" hidden="1">
      <c r="H1018" s="295"/>
    </row>
    <row r="1019" hidden="1">
      <c r="H1019" s="295"/>
    </row>
    <row r="1020" hidden="1">
      <c r="H1020" s="295"/>
    </row>
    <row r="1021" hidden="1">
      <c r="H1021" s="295"/>
    </row>
    <row r="1022" hidden="1">
      <c r="H1022" s="295"/>
    </row>
    <row r="1023" hidden="1">
      <c r="H1023" s="295"/>
    </row>
    <row r="1024" hidden="1">
      <c r="H1024" s="295"/>
    </row>
    <row r="1025" hidden="1">
      <c r="H1025" s="295"/>
    </row>
    <row r="1026" hidden="1">
      <c r="H1026" s="295"/>
    </row>
    <row r="1027" hidden="1">
      <c r="H1027" s="295"/>
    </row>
    <row r="1028" hidden="1">
      <c r="H1028" s="295"/>
    </row>
    <row r="1029" hidden="1">
      <c r="H1029" s="295"/>
    </row>
    <row r="1030" hidden="1">
      <c r="H1030" s="295"/>
    </row>
    <row r="1031" hidden="1">
      <c r="H1031" s="295"/>
    </row>
    <row r="1032" hidden="1">
      <c r="H1032" s="295"/>
    </row>
    <row r="1033" hidden="1">
      <c r="H1033" s="295"/>
    </row>
    <row r="1034" hidden="1">
      <c r="H1034" s="295"/>
    </row>
    <row r="1035" hidden="1">
      <c r="H1035" s="295"/>
    </row>
    <row r="1036" hidden="1">
      <c r="H1036" s="295"/>
    </row>
    <row r="1037" hidden="1">
      <c r="H1037" s="295"/>
    </row>
    <row r="1038" hidden="1">
      <c r="H1038" s="295"/>
    </row>
    <row r="1039" hidden="1">
      <c r="H1039" s="295"/>
    </row>
    <row r="1040" hidden="1">
      <c r="H1040" s="295"/>
    </row>
    <row r="1041" hidden="1">
      <c r="H1041" s="295"/>
    </row>
    <row r="1042" hidden="1">
      <c r="H1042" s="295"/>
    </row>
    <row r="1043" hidden="1">
      <c r="H1043" s="295"/>
    </row>
    <row r="1044" hidden="1">
      <c r="H1044" s="295"/>
    </row>
    <row r="1045" hidden="1">
      <c r="H1045" s="295"/>
    </row>
    <row r="1046" hidden="1">
      <c r="H1046" s="295"/>
    </row>
    <row r="1047" hidden="1">
      <c r="H1047" s="295"/>
    </row>
    <row r="1048" hidden="1">
      <c r="H1048" s="295"/>
    </row>
    <row r="1049" hidden="1">
      <c r="H1049" s="295"/>
    </row>
    <row r="1050" hidden="1">
      <c r="H1050" s="295"/>
    </row>
    <row r="1051" hidden="1">
      <c r="H1051" s="295"/>
    </row>
    <row r="1052" hidden="1">
      <c r="H1052" s="295"/>
    </row>
    <row r="1053" hidden="1">
      <c r="H1053" s="295"/>
    </row>
    <row r="1054" hidden="1">
      <c r="H1054" s="295"/>
    </row>
    <row r="1055" hidden="1">
      <c r="H1055" s="295"/>
    </row>
    <row r="1056" hidden="1">
      <c r="H1056" s="295"/>
    </row>
    <row r="1057" hidden="1">
      <c r="H1057" s="295"/>
    </row>
    <row r="1058" hidden="1">
      <c r="H1058" s="295"/>
    </row>
    <row r="1059" hidden="1">
      <c r="H1059" s="295"/>
    </row>
    <row r="1060" hidden="1">
      <c r="H1060" s="295"/>
    </row>
    <row r="1061" hidden="1">
      <c r="H1061" s="295"/>
    </row>
    <row r="1062" hidden="1">
      <c r="H1062" s="295"/>
    </row>
    <row r="1063" hidden="1">
      <c r="H1063" s="295"/>
    </row>
  </sheetData>
  <autoFilter ref="$G$1:$G$1063">
    <filterColumn colId="0">
      <filters>
        <filter val="AF"/>
      </filters>
    </filterColumn>
  </autoFilter>
  <customSheetViews>
    <customSheetView guid="{021F08B4-1353-4B07-A45E-58B7A281E4E9}" filter="1" showAutoFilter="1">
      <autoFilter ref="$G$1:$G$1063">
        <filterColumn colId="0">
          <filters>
            <filter val="AF"/>
          </filters>
        </filterColumn>
      </autoFilter>
    </customSheetView>
  </customSheetViews>
  <conditionalFormatting sqref="B1 B3:B1063">
    <cfRule type="cellIs" dxfId="0" priority="1" operator="between">
      <formula>50</formula>
      <formula>200</formula>
    </cfRule>
  </conditionalFormatting>
  <conditionalFormatting sqref="B1 B3:B1063">
    <cfRule type="cellIs" dxfId="1" priority="2" operator="between">
      <formula>201</formula>
      <formula>400</formula>
    </cfRule>
  </conditionalFormatting>
  <conditionalFormatting sqref="B3:B1058">
    <cfRule type="cellIs" dxfId="2" priority="3" operator="between">
      <formula>401</formula>
      <formula>650</formula>
    </cfRule>
  </conditionalFormatting>
  <conditionalFormatting sqref="B3:B1058">
    <cfRule type="cellIs" dxfId="3" priority="4" operator="between">
      <formula>651</formula>
      <formula>900</formula>
    </cfRule>
  </conditionalFormatting>
  <conditionalFormatting sqref="B3:B1058">
    <cfRule type="cellIs" dxfId="4" priority="5" operator="greaterThan">
      <formula>900</formula>
    </cfRule>
  </conditionalFormatting>
  <conditionalFormatting sqref="P3:P1058">
    <cfRule type="containsText" dxfId="5" priority="6" operator="containsText" text="yes">
      <formula>NOT(ISERROR(SEARCH(("yes"),(P3))))</formula>
    </cfRule>
  </conditionalFormatting>
  <conditionalFormatting sqref="F1:F1063">
    <cfRule type="colorScale" priority="7">
      <colorScale>
        <cfvo type="min"/>
        <cfvo type="formula" val="150"/>
        <color rgb="FFEAD1DC"/>
        <color rgb="FFA64D79"/>
      </colorScale>
    </cfRule>
  </conditionalFormatting>
  <conditionalFormatting sqref="D3:D82">
    <cfRule type="colorScale" priority="8">
      <colorScale>
        <cfvo type="formula" val="1.2"/>
        <cfvo type="formula" val="4"/>
        <color rgb="FF0B5394"/>
        <color rgb="FFFFFFFF"/>
      </colorScale>
    </cfRule>
  </conditionalFormatting>
  <conditionalFormatting sqref="E3:E82">
    <cfRule type="colorScale" priority="9">
      <colorScale>
        <cfvo type="formula" val="65"/>
        <cfvo type="formula" val="100"/>
        <color rgb="FFD9D2E9"/>
        <color rgb="FF674EA7"/>
      </colorScale>
    </cfRule>
  </conditionalFormatting>
  <conditionalFormatting sqref="D3:D82">
    <cfRule type="containsText" dxfId="6" priority="10" operator="containsText" text="1.2">
      <formula>NOT(ISERROR(SEARCH(("1.2"),(D3))))</formula>
    </cfRule>
  </conditionalFormatting>
  <conditionalFormatting sqref="D12">
    <cfRule type="notContainsBlanks" dxfId="7" priority="11">
      <formula>LEN(TRIM(D12))&gt;0</formula>
    </cfRule>
  </conditionalFormatting>
  <conditionalFormatting sqref="D3:D82">
    <cfRule type="containsText" dxfId="8" priority="12" operator="containsText" text="1.4">
      <formula>NOT(ISERROR(SEARCH(("1.4"),(D3))))</formula>
    </cfRule>
  </conditionalFormatting>
  <conditionalFormatting sqref="D3:D101">
    <cfRule type="containsText" dxfId="9" priority="13" operator="containsText" text="1.8">
      <formula>NOT(ISERROR(SEARCH(("1.8"),(D3))))</formula>
    </cfRule>
  </conditionalFormatting>
  <conditionalFormatting sqref="A3:A100">
    <cfRule type="expression" dxfId="10" priority="14">
      <formula>(today()-T3)&lt;0</formula>
    </cfRule>
  </conditionalFormatting>
  <conditionalFormatting sqref="A3:A100">
    <cfRule type="expression" dxfId="7" priority="15">
      <formula>(today()-T3)&lt;180</formula>
    </cfRule>
  </conditionalFormatting>
  <conditionalFormatting sqref="G3:G102">
    <cfRule type="cellIs" dxfId="10" priority="16" operator="equal">
      <formula>"MF"</formula>
    </cfRule>
  </conditionalFormatting>
  <conditionalFormatting sqref="I3:I102">
    <cfRule type="cellIs" dxfId="11" priority="17" operator="between">
      <formula>0.24</formula>
      <formula>0.45</formula>
    </cfRule>
  </conditionalFormatting>
  <conditionalFormatting sqref="I3:I102">
    <cfRule type="cellIs" dxfId="12" priority="18" operator="between">
      <formula>0.45</formula>
      <formula>0.99</formula>
    </cfRule>
  </conditionalFormatting>
  <conditionalFormatting sqref="I3:I102">
    <cfRule type="cellIs" dxfId="13" priority="19" operator="greaterThan">
      <formula>0.99</formula>
    </cfRule>
  </conditionalFormatting>
  <dataValidations>
    <dataValidation type="list" allowBlank="1" sqref="S3:S82">
      <formula1>"Sony,Voigtlander,Zeiss,Sigma,Samyang,Viltrox,Tokina,Tamron"</formula1>
    </dataValidation>
  </dataValidations>
  <hyperlinks>
    <hyperlink r:id="rId1" ref="K1"/>
    <hyperlink r:id="rId2" ref="M1"/>
    <hyperlink r:id="rId3" ref="N1"/>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1" t="s">
        <v>0</v>
      </c>
      <c r="B1" s="2" t="s">
        <v>1</v>
      </c>
      <c r="C1" s="3" t="s">
        <v>2</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21</v>
      </c>
    </row>
    <row r="2" ht="18.0" hidden="1" customHeight="1">
      <c r="A2" s="17" t="s">
        <v>166</v>
      </c>
      <c r="B2" s="18"/>
      <c r="C2" s="18"/>
      <c r="D2" s="18"/>
      <c r="E2" s="18"/>
      <c r="F2" s="18"/>
      <c r="G2" s="19"/>
      <c r="H2" s="20"/>
      <c r="I2" s="18"/>
      <c r="J2" s="18"/>
      <c r="K2" s="18"/>
      <c r="L2" s="18"/>
      <c r="M2" s="18"/>
      <c r="N2" s="18"/>
      <c r="O2" s="18"/>
      <c r="P2" s="19"/>
      <c r="Q2" s="18"/>
      <c r="R2" s="19"/>
      <c r="S2" s="21"/>
      <c r="T2" s="19"/>
    </row>
    <row r="3" hidden="1">
      <c r="A3" s="152" t="str">
        <f>HYPERLINK("https://phillipreeve.net/blog/review-voigtlander-10mm-5-6-e-hyper-wide-heliar/","Voigtlander 10mm F5.6 Hyper Wide ")</f>
        <v>Voigtlander 10mm F5.6 Hyper Wide </v>
      </c>
      <c r="B3" s="76">
        <v>375.0</v>
      </c>
      <c r="C3" s="122">
        <v>10.0</v>
      </c>
      <c r="D3" s="78">
        <v>5.6</v>
      </c>
      <c r="E3" s="388">
        <v>67.0</v>
      </c>
      <c r="F3" s="394" t="s">
        <v>23</v>
      </c>
      <c r="G3" s="345" t="s">
        <v>24</v>
      </c>
      <c r="H3" s="82" t="s">
        <v>25</v>
      </c>
      <c r="I3" s="81">
        <v>0.067</v>
      </c>
      <c r="J3" s="87">
        <v>1099.0</v>
      </c>
      <c r="K3" s="88" t="str">
        <f>HYPERLINK("https://amzn.to/2jJ8WxH","link*")</f>
        <v>link*</v>
      </c>
      <c r="L3" s="88" t="str">
        <f>HYPERLINK("https://www.bhphotovideo.com/c/product/1219550-REG/voigtlander_ba334b_heliar_hyper_wide_10mm_f_5_6.html/BI/19619/KBID/12129/DFF/d10-v21-t1-x732282/SID/EZ","link*")</f>
        <v>link*</v>
      </c>
      <c r="M3" s="88" t="str">
        <f>HYPERLINK("https://amzn.to/2jG72hr","link*")</f>
        <v>link*</v>
      </c>
      <c r="N3" s="88"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3" s="83">
        <v>30.0</v>
      </c>
      <c r="P3" s="84" t="s">
        <v>26</v>
      </c>
      <c r="Q3" s="81">
        <v>10.0</v>
      </c>
      <c r="R3" s="378" t="s">
        <v>27</v>
      </c>
      <c r="S3" s="81" t="s">
        <v>28</v>
      </c>
      <c r="T3" s="81" t="s">
        <v>237</v>
      </c>
      <c r="U3" s="68" t="s">
        <v>225</v>
      </c>
    </row>
    <row r="4" hidden="1">
      <c r="A4" s="395" t="s">
        <v>29</v>
      </c>
      <c r="B4" s="76">
        <v>565.0</v>
      </c>
      <c r="C4" s="122">
        <v>12.0</v>
      </c>
      <c r="D4" s="78">
        <v>4.0</v>
      </c>
      <c r="E4" s="79">
        <v>87.0</v>
      </c>
      <c r="F4" s="79">
        <v>117.0</v>
      </c>
      <c r="G4" s="84" t="s">
        <v>30</v>
      </c>
      <c r="H4" s="82" t="s">
        <v>25</v>
      </c>
      <c r="I4" s="81">
        <v>0.14</v>
      </c>
      <c r="J4" s="87">
        <v>1699.0</v>
      </c>
      <c r="K4" s="88" t="str">
        <f>HYPERLINK("https://amzn.to/2SSzKc4","link*")</f>
        <v>link*</v>
      </c>
      <c r="L4" s="88" t="str">
        <f>HYPERLINK("https://www.bhphotovideo.com/c/product/1338517-REG/sony_sel1224g_fe_12_24mm_f_4_g.html/BI/19619/KBID/12129/DFF/d10-v21-t1-x822838/SID/EZ","link*")</f>
        <v>link*</v>
      </c>
      <c r="M4" s="88" t="str">
        <f>HYPERLINK("https://amzn.to/2Kg94zb","link*")</f>
        <v>link*</v>
      </c>
      <c r="N4"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4" s="83">
        <v>24.0</v>
      </c>
      <c r="P4" s="84" t="s">
        <v>26</v>
      </c>
      <c r="Q4" s="81">
        <v>7.0</v>
      </c>
      <c r="R4" s="378" t="s">
        <v>31</v>
      </c>
      <c r="S4" s="81" t="s">
        <v>32</v>
      </c>
      <c r="T4" s="81" t="s">
        <v>238</v>
      </c>
    </row>
    <row r="5" hidden="1">
      <c r="A5" s="152" t="str">
        <f>HYPERLINK("https://phillipreeve.net/blog/review-voigtlander-12mm-5-6-aspherical-ultra-wide-heliar/","Voigtlander 12mm F5.6 Ultra Wide-Heliar Aspherical")</f>
        <v>Voigtlander 12mm F5.6 Ultra Wide-Heliar Aspherical</v>
      </c>
      <c r="B5" s="76">
        <v>350.0</v>
      </c>
      <c r="C5" s="122">
        <v>12.0</v>
      </c>
      <c r="D5" s="78">
        <v>5.6</v>
      </c>
      <c r="E5" s="391">
        <v>67.0</v>
      </c>
      <c r="F5" s="396">
        <v>68.0</v>
      </c>
      <c r="G5" s="397" t="s">
        <v>24</v>
      </c>
      <c r="H5" s="82" t="s">
        <v>25</v>
      </c>
      <c r="I5" s="81"/>
      <c r="J5" s="87">
        <v>749.0</v>
      </c>
      <c r="K5" s="89"/>
      <c r="L5" s="89"/>
      <c r="M5" s="89"/>
      <c r="N5" s="88"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5" s="83">
        <v>30.0</v>
      </c>
      <c r="P5" s="84" t="s">
        <v>26</v>
      </c>
      <c r="Q5" s="81">
        <v>10.0</v>
      </c>
      <c r="R5" s="378" t="s">
        <v>38</v>
      </c>
      <c r="S5" s="81" t="s">
        <v>28</v>
      </c>
      <c r="T5" s="81" t="s">
        <v>239</v>
      </c>
      <c r="U5" s="68" t="s">
        <v>39</v>
      </c>
    </row>
    <row r="6" hidden="1">
      <c r="A6" s="395" t="s">
        <v>40</v>
      </c>
      <c r="B6" s="76">
        <v>1170.0</v>
      </c>
      <c r="C6" s="122">
        <v>14.0</v>
      </c>
      <c r="D6" s="121">
        <v>1.8</v>
      </c>
      <c r="E6" s="343">
        <v>95.0</v>
      </c>
      <c r="F6" s="344">
        <v>126.0</v>
      </c>
      <c r="G6" s="81" t="s">
        <v>30</v>
      </c>
      <c r="H6" s="82" t="s">
        <v>25</v>
      </c>
      <c r="I6" s="81">
        <v>0.1</v>
      </c>
      <c r="J6" s="87">
        <v>1599.0</v>
      </c>
      <c r="K6" s="88" t="str">
        <f>HYPERLINK("https://amzn.to/2SOWTvV","link*")</f>
        <v>link*</v>
      </c>
      <c r="L6" s="88" t="str">
        <f>HYPERLINK("https://www.bhphotovideo.com/c/product/1393489-REG/sigma_14mm_f_1_8_dg_hsm.html/BI/19619/KBID/12129/DFF/d10-v21-t1-x881154/SID/EZ","link*")</f>
        <v>link*</v>
      </c>
      <c r="M6" s="88" t="str">
        <f>HYPERLINK("https://amzn.to/2ZDl4QJ","link*")</f>
        <v>link*</v>
      </c>
      <c r="N6" s="88"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6" s="83">
        <v>27.0</v>
      </c>
      <c r="P6" s="84" t="s">
        <v>26</v>
      </c>
      <c r="Q6" s="81">
        <v>9.0</v>
      </c>
      <c r="R6" s="123">
        <v>43785.0</v>
      </c>
      <c r="S6" s="81" t="s">
        <v>41</v>
      </c>
      <c r="T6" s="346"/>
      <c r="U6" s="68" t="s">
        <v>42</v>
      </c>
    </row>
    <row r="7" hidden="1">
      <c r="A7" s="398" t="s">
        <v>43</v>
      </c>
      <c r="B7" s="76">
        <v>795.0</v>
      </c>
      <c r="C7" s="122">
        <v>14.0</v>
      </c>
      <c r="D7" s="78">
        <v>2.8</v>
      </c>
      <c r="E7" s="79">
        <v>85.0</v>
      </c>
      <c r="F7" s="344">
        <v>131.0</v>
      </c>
      <c r="G7" s="81" t="s">
        <v>30</v>
      </c>
      <c r="H7" s="82" t="s">
        <v>25</v>
      </c>
      <c r="I7" s="81">
        <v>0.14</v>
      </c>
      <c r="J7" s="87">
        <v>1399.0</v>
      </c>
      <c r="K7" s="88" t="str">
        <f>HYPERLINK("https://amzn.to/2zt8rMC","link*")</f>
        <v>link*</v>
      </c>
      <c r="L7" s="88" t="str">
        <f>HYPERLINK("https://www.bhphotovideo.com/c/product/1492972-REG/sigma_213965_14_24mm_f_2_8_dg_dn.html/BI/19619/KBID/12129/DFF/d10-v21-t1-x976041/SID/EZ","link*")</f>
        <v>link*</v>
      </c>
      <c r="M7" s="89" t="s">
        <v>33</v>
      </c>
      <c r="N7"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7" s="83">
        <v>28.0</v>
      </c>
      <c r="P7" s="84" t="s">
        <v>26</v>
      </c>
      <c r="Q7" s="81">
        <v>11.0</v>
      </c>
      <c r="R7" s="85" t="s">
        <v>44</v>
      </c>
      <c r="S7" s="81" t="s">
        <v>41</v>
      </c>
      <c r="T7" s="81" t="s">
        <v>240</v>
      </c>
      <c r="U7" s="68" t="s">
        <v>37</v>
      </c>
    </row>
    <row r="8" hidden="1">
      <c r="A8" s="395" t="s">
        <v>45</v>
      </c>
      <c r="B8" s="76">
        <v>505.0</v>
      </c>
      <c r="C8" s="122">
        <v>14.0</v>
      </c>
      <c r="D8" s="78">
        <v>2.8</v>
      </c>
      <c r="E8" s="79">
        <v>86.0</v>
      </c>
      <c r="F8" s="79">
        <v>98.0</v>
      </c>
      <c r="G8" s="81" t="s">
        <v>30</v>
      </c>
      <c r="H8" s="82" t="s">
        <v>25</v>
      </c>
      <c r="I8" s="81">
        <v>0.12</v>
      </c>
      <c r="J8" s="87">
        <v>799.0</v>
      </c>
      <c r="K8" s="88" t="str">
        <f>HYPERLINK("https://amzn.to/2SX2HUi","link*")</f>
        <v>link*</v>
      </c>
      <c r="L8" s="88" t="str">
        <f>HYPERLINK("https://www.bhphotovideo.com/c/product/1352863-REG/samyang_syio14af_e_14mm_f_2_8_f_f_wide.html/BI/19619/KBID/12129/DFF/d10-v21-t1-x837928/SID/EZ","link*")</f>
        <v>link*</v>
      </c>
      <c r="M8" s="88" t="str">
        <f>HYPERLINK("https://amzn.to/31hwSIL","link*")</f>
        <v>link*</v>
      </c>
      <c r="N8"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8" s="83">
        <v>20.0</v>
      </c>
      <c r="P8" s="84" t="s">
        <v>26</v>
      </c>
      <c r="Q8" s="81">
        <v>7.0</v>
      </c>
      <c r="R8" s="123">
        <v>43752.0</v>
      </c>
      <c r="S8" s="81" t="s">
        <v>46</v>
      </c>
      <c r="T8" s="346"/>
    </row>
    <row r="9" hidden="1">
      <c r="A9" s="152" t="str">
        <f>HYPERLINK("https://phillipreeve.net/blog/review-voigtlander-15mm-4-5-e-super-wide-heliar/","Voigtlander 15mm F4.5 Super Wide Heliar")</f>
        <v>Voigtlander 15mm F4.5 Super Wide Heliar</v>
      </c>
      <c r="B9" s="76">
        <v>298.0</v>
      </c>
      <c r="C9" s="122">
        <v>15.0</v>
      </c>
      <c r="D9" s="78">
        <v>4.5</v>
      </c>
      <c r="E9" s="391">
        <v>67.0</v>
      </c>
      <c r="F9" s="396">
        <v>62.0</v>
      </c>
      <c r="G9" s="397" t="s">
        <v>24</v>
      </c>
      <c r="H9" s="82" t="s">
        <v>47</v>
      </c>
      <c r="I9" s="81">
        <v>0.083</v>
      </c>
      <c r="J9" s="87">
        <v>799.0</v>
      </c>
      <c r="K9" s="88" t="str">
        <f>HYPERLINK("https://amzn.to/2YwplrQ","link*")</f>
        <v>link*</v>
      </c>
      <c r="L9" s="88" t="str">
        <f>HYPERLINK("https://www.bhphotovideo.com/c/product/1219549-REG/voigtlander_ba329b_super_wide_heliar_15mm_f_4_5.html/BI/19619/KBID/12129/DFF/d10-v21-t1-x618202/SID/EZ","link*")</f>
        <v>link*</v>
      </c>
      <c r="M9" s="88" t="str">
        <f>HYPERLINK("https://amzn.to/2ZpTKt5","link*")</f>
        <v>link*</v>
      </c>
      <c r="N9"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9" s="83">
        <v>30.0</v>
      </c>
      <c r="P9" s="84" t="s">
        <v>26</v>
      </c>
      <c r="Q9" s="81">
        <v>10.0</v>
      </c>
      <c r="R9" s="128" t="s">
        <v>38</v>
      </c>
      <c r="S9" s="81" t="s">
        <v>28</v>
      </c>
      <c r="T9" s="81" t="s">
        <v>241</v>
      </c>
    </row>
    <row r="10" hidden="1">
      <c r="A10" s="152" t="str">
        <f>HYPERLINK("https://phillipreeve.net/blog/sony-fe-16-35mm-f4-za-t-review/","Sony ZA 4/16-35 OSS ")</f>
        <v>Sony ZA 4/16-35 OSS </v>
      </c>
      <c r="B10" s="76">
        <v>523.0</v>
      </c>
      <c r="C10" s="122">
        <v>16.0</v>
      </c>
      <c r="D10" s="78">
        <v>4.0</v>
      </c>
      <c r="E10" s="79">
        <v>78.0</v>
      </c>
      <c r="F10" s="79">
        <v>98.0</v>
      </c>
      <c r="G10" s="84" t="s">
        <v>30</v>
      </c>
      <c r="H10" s="82" t="s">
        <v>48</v>
      </c>
      <c r="I10" s="81">
        <v>0.19</v>
      </c>
      <c r="J10" s="87">
        <v>1349.0</v>
      </c>
      <c r="K10" s="88" t="str">
        <f>HYPERLINK("http://amzn.to/2v2sY7q","link*")</f>
        <v>link*</v>
      </c>
      <c r="L10" s="88" t="str">
        <f>HYPERLINK("https://www.bhphotovideo.com/c/product/1380866-REG/sony_16_35mm_f_4_vario_tsr.html/BI/19619/KBID/12129/kw/SO16354F/DFF/d10-v2-t1-xSO16354F","link*")</f>
        <v>link*</v>
      </c>
      <c r="M10" s="88" t="str">
        <f>HYPERLINK("http://amzn.to/2wyMLuP","link*")</f>
        <v>link*</v>
      </c>
      <c r="N10"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10" s="83">
        <v>28.0</v>
      </c>
      <c r="P10" s="154" t="s">
        <v>49</v>
      </c>
      <c r="Q10" s="81">
        <v>7.0</v>
      </c>
      <c r="R10" s="128" t="s">
        <v>38</v>
      </c>
      <c r="S10" s="81" t="s">
        <v>32</v>
      </c>
      <c r="T10" s="81" t="s">
        <v>242</v>
      </c>
    </row>
    <row r="11" hidden="1">
      <c r="A11" s="395" t="s">
        <v>50</v>
      </c>
      <c r="B11" s="76">
        <v>680.0</v>
      </c>
      <c r="C11" s="122">
        <v>16.0</v>
      </c>
      <c r="D11" s="78">
        <v>2.8</v>
      </c>
      <c r="E11" s="79">
        <v>89.0</v>
      </c>
      <c r="F11" s="79">
        <v>122.0</v>
      </c>
      <c r="G11" s="84" t="s">
        <v>30</v>
      </c>
      <c r="H11" s="82" t="s">
        <v>51</v>
      </c>
      <c r="I11" s="81">
        <v>0.19</v>
      </c>
      <c r="J11" s="87">
        <v>2199.0</v>
      </c>
      <c r="K11" s="88" t="str">
        <f>HYPERLINK("https://amzn.to/2SR0IRl","link*")</f>
        <v>link*</v>
      </c>
      <c r="L11" s="88" t="str">
        <f>HYPERLINK("https://www.bhphotovideo.com/c/product/1338516-REG/sony_sel1635gm_fe_16_35mm_f_2_8_gm.html/BI/19619/KBID/12129/DFF/d10-v21-t1-x822837/SID/EZ","link*")</f>
        <v>link*</v>
      </c>
      <c r="M11" s="88" t="str">
        <f>HYPERLINK("https://amzn.to/2T1ZxOU","link*")</f>
        <v>link*</v>
      </c>
      <c r="N11"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11" s="83">
        <v>28.0</v>
      </c>
      <c r="P11" s="84" t="s">
        <v>26</v>
      </c>
      <c r="Q11" s="81">
        <v>11.0</v>
      </c>
      <c r="R11" s="128" t="s">
        <v>52</v>
      </c>
      <c r="S11" s="81" t="s">
        <v>32</v>
      </c>
      <c r="T11" s="81" t="s">
        <v>238</v>
      </c>
    </row>
    <row r="12" hidden="1">
      <c r="A12" s="399" t="str">
        <f>HYPERLINK("https://phillipreeve.net/blog/review-tamron-17-28mm-f-2-8-di-iii-rxd/","Tamron 17-28mm f/2.8 Di III RXD")</f>
        <v>Tamron 17-28mm f/2.8 Di III RXD</v>
      </c>
      <c r="B12" s="76">
        <v>420.0</v>
      </c>
      <c r="C12" s="122">
        <v>17.0</v>
      </c>
      <c r="D12" s="78">
        <v>2.8</v>
      </c>
      <c r="E12" s="379">
        <v>73.0</v>
      </c>
      <c r="F12" s="79">
        <v>99.0</v>
      </c>
      <c r="G12" s="84" t="s">
        <v>30</v>
      </c>
      <c r="H12" s="82" t="s">
        <v>53</v>
      </c>
      <c r="I12" s="81">
        <v>0.19</v>
      </c>
      <c r="J12" s="153">
        <v>899.0</v>
      </c>
      <c r="K12" s="88" t="str">
        <f>HYPERLINK("https://amzn.to/2Hv3AyB","link*")</f>
        <v>link*</v>
      </c>
      <c r="L12" s="88" t="str">
        <f>HYPERLINK("https://www.bhphotovideo.com/c/product/1461529-REG/tamron_a046_17_28mm_f_2_8_di_iii.html/BI/19619/KBID/12129/DFF/d10-v21-t1-x946694/SID/EZ","link*")</f>
        <v>link*</v>
      </c>
      <c r="M12" s="88" t="str">
        <f>HYPERLINK("https://amzn.to/2YkrkQB","link*")</f>
        <v>link*</v>
      </c>
      <c r="N12"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12" s="83">
        <v>19.0</v>
      </c>
      <c r="P12" s="84" t="s">
        <v>26</v>
      </c>
      <c r="Q12" s="81">
        <v>9.0</v>
      </c>
      <c r="R12" s="128" t="s">
        <v>54</v>
      </c>
      <c r="S12" s="81" t="s">
        <v>55</v>
      </c>
      <c r="T12" s="81" t="s">
        <v>243</v>
      </c>
      <c r="V12" s="116"/>
    </row>
    <row r="13" hidden="1">
      <c r="A13" s="152" t="str">
        <f>HYPERLINK("https://phillipreeve.net/blog/review-zeiss-batis-18mm-2-8/","Zeiss Batis 2.8/18")</f>
        <v>Zeiss Batis 2.8/18</v>
      </c>
      <c r="B13" s="76">
        <v>330.0</v>
      </c>
      <c r="C13" s="122">
        <v>18.0</v>
      </c>
      <c r="D13" s="78">
        <v>2.8</v>
      </c>
      <c r="E13" s="79">
        <v>100.0</v>
      </c>
      <c r="F13" s="79">
        <v>80.0</v>
      </c>
      <c r="G13" s="84" t="s">
        <v>30</v>
      </c>
      <c r="H13" s="82" t="s">
        <v>56</v>
      </c>
      <c r="I13" s="81">
        <v>0.1</v>
      </c>
      <c r="J13" s="87">
        <v>1499.0</v>
      </c>
      <c r="K13" s="88" t="str">
        <f>HYPERLINK("https://amzn.to/2SRFBhL","link*")</f>
        <v>link*</v>
      </c>
      <c r="L13" s="88" t="str">
        <f>HYPERLINK("https://www.bhphotovideo.com/c/product/1243591-REG/zeiss_2136_691_batis_18mm_f_2_8_lens.html/BI/19619/KBID/12129/DFF/d10-v21-t1-x727488/SID/EZ","link*")</f>
        <v>link*</v>
      </c>
      <c r="M13" s="88" t="str">
        <f>HYPERLINK("https://amzn.to/334PqNT","link*")</f>
        <v>link*</v>
      </c>
      <c r="N13"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13" s="83">
        <v>25.0</v>
      </c>
      <c r="P13" s="84" t="s">
        <v>26</v>
      </c>
      <c r="Q13" s="81">
        <v>9.0</v>
      </c>
      <c r="R13" s="128" t="s">
        <v>57</v>
      </c>
      <c r="S13" s="81" t="s">
        <v>58</v>
      </c>
      <c r="T13" s="346"/>
    </row>
    <row r="14" hidden="1" customHeight="1">
      <c r="A14" s="395" t="s">
        <v>61</v>
      </c>
      <c r="B14" s="76">
        <v>950.0</v>
      </c>
      <c r="C14" s="122">
        <v>20.0</v>
      </c>
      <c r="D14" s="380">
        <v>1.4</v>
      </c>
      <c r="E14" s="79">
        <v>91.0</v>
      </c>
      <c r="F14" s="79">
        <v>130.0</v>
      </c>
      <c r="G14" s="81" t="s">
        <v>30</v>
      </c>
      <c r="H14" s="82" t="s">
        <v>25</v>
      </c>
      <c r="I14" s="81">
        <v>0.14</v>
      </c>
      <c r="J14" s="87">
        <v>899.0</v>
      </c>
      <c r="K14" s="88" t="str">
        <f>HYPERLINK("https://amzn.to/2K4J7nh","link*")</f>
        <v>link*</v>
      </c>
      <c r="L14" s="88" t="str">
        <f>HYPERLINK("https://amzn.to/31hxv55","link*")</f>
        <v>link*</v>
      </c>
      <c r="M14" s="88" t="str">
        <f>HYPERLINK("https://amzn.to/2Wy0d3F","link*")</f>
        <v>link*</v>
      </c>
      <c r="N14" s="88"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14" s="83">
        <v>28.0</v>
      </c>
      <c r="P14" s="84" t="s">
        <v>26</v>
      </c>
      <c r="Q14" s="81">
        <v>9.0</v>
      </c>
      <c r="R14" s="123">
        <v>43784.0</v>
      </c>
      <c r="S14" s="81" t="s">
        <v>41</v>
      </c>
      <c r="T14" s="346"/>
      <c r="U14" s="68" t="s">
        <v>42</v>
      </c>
    </row>
    <row r="15" hidden="1">
      <c r="A15" s="395" t="s">
        <v>62</v>
      </c>
      <c r="B15" s="76">
        <v>775.0</v>
      </c>
      <c r="C15" s="122">
        <v>20.0</v>
      </c>
      <c r="D15" s="121">
        <v>1.8</v>
      </c>
      <c r="E15" s="79">
        <v>77.0</v>
      </c>
      <c r="F15" s="79">
        <v>102.0</v>
      </c>
      <c r="G15" s="400" t="s">
        <v>24</v>
      </c>
      <c r="H15" s="82" t="s">
        <v>51</v>
      </c>
      <c r="I15" s="81">
        <v>0.12</v>
      </c>
      <c r="J15" s="87">
        <v>486.0</v>
      </c>
      <c r="K15" s="88" t="str">
        <f>HYPERLINK("https://amzn.to/2LRRbJ5","link*")</f>
        <v>link*</v>
      </c>
      <c r="L15" s="88" t="str">
        <f>HYPERLINK("https://www.bhphotovideo.com/c/product/1469187-REG/viltrox_pfu_rbmh_20mm_f1_8_asph_e_mount_20mm_f_1_8_for_sony.html/BI/19619/KBID/12129/DFF/d10-v21-t1-x954299/SID/EZ","link*")</f>
        <v>link*</v>
      </c>
      <c r="M15" s="88" t="str">
        <f>HYPERLINK("https://amzn.to/2GL8iYV","link*")</f>
        <v>link*</v>
      </c>
      <c r="N15"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15" s="83">
        <v>25.0</v>
      </c>
      <c r="P15" s="84" t="s">
        <v>26</v>
      </c>
      <c r="Q15" s="81">
        <v>14.0</v>
      </c>
      <c r="R15" s="123">
        <v>43720.0</v>
      </c>
      <c r="S15" s="81" t="s">
        <v>63</v>
      </c>
      <c r="T15" s="346"/>
    </row>
    <row r="16" hidden="1">
      <c r="A16" s="152" t="str">
        <f>HYPERLINK("https://phillipreeve.net/blog/tokina-firin-20mm-f2-fe-review-a-good-deal/","Tokina Firin 2/20")</f>
        <v>Tokina Firin 2/20</v>
      </c>
      <c r="B16" s="76">
        <v>492.0</v>
      </c>
      <c r="C16" s="122">
        <v>20.0</v>
      </c>
      <c r="D16" s="125">
        <v>2.0</v>
      </c>
      <c r="E16" s="132">
        <v>69.0</v>
      </c>
      <c r="F16" s="401">
        <v>82.0</v>
      </c>
      <c r="G16" s="397" t="s">
        <v>24</v>
      </c>
      <c r="H16" s="82" t="s">
        <v>66</v>
      </c>
      <c r="I16" s="81">
        <v>0.1</v>
      </c>
      <c r="J16" s="129">
        <v>799.0</v>
      </c>
      <c r="K16" s="88" t="str">
        <f>HYPERLINK("http://amzn.to/2vlG2Yq","link*")</f>
        <v>link*</v>
      </c>
      <c r="L16" s="88" t="str">
        <f>HYPERLINK("https://www.bhphotovideo.com/c/product/1281299-REG/tokina_firin_20mm_f_2_fe.html/BI/19619/KBID/12129/kw/TO202E/DFF/d10-v2-t1-xTO202E","link*")</f>
        <v>link*</v>
      </c>
      <c r="M16" s="88" t="str">
        <f>HYPERLINK("http://amzn.to/2vvtDkM","link*")</f>
        <v>link*</v>
      </c>
      <c r="N16"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16" s="83">
        <v>30.0</v>
      </c>
      <c r="P16" s="84" t="s">
        <v>26</v>
      </c>
      <c r="Q16" s="81">
        <v>9.0</v>
      </c>
      <c r="R16" s="128" t="s">
        <v>54</v>
      </c>
      <c r="S16" s="81" t="s">
        <v>67</v>
      </c>
      <c r="T16" s="346"/>
    </row>
    <row r="17" hidden="1">
      <c r="A17" s="395" t="s">
        <v>68</v>
      </c>
      <c r="B17" s="76">
        <v>464.0</v>
      </c>
      <c r="C17" s="122">
        <v>20.0</v>
      </c>
      <c r="D17" s="125">
        <v>2.0</v>
      </c>
      <c r="E17" s="381">
        <v>73.0</v>
      </c>
      <c r="F17" s="374">
        <v>82.0</v>
      </c>
      <c r="G17" s="84" t="s">
        <v>30</v>
      </c>
      <c r="H17" s="82" t="s">
        <v>66</v>
      </c>
      <c r="I17" s="81">
        <v>0.1</v>
      </c>
      <c r="J17" s="87">
        <v>949.0</v>
      </c>
      <c r="K17" s="88" t="str">
        <f>HYPERLINK("https://amzn.to/2GDurZb","link*")</f>
        <v>link*</v>
      </c>
      <c r="L17" s="88" t="str">
        <f>HYPERLINK("https://www.bhphotovideo.com/c/product/1393327-REG/tokina_firin_20mm_f_2_fe.html/BI/19619/KBID/12129/DFF/d10-v21-t1-x880327/SID/EZ","link*")</f>
        <v>link*</v>
      </c>
      <c r="M17" s="88" t="str">
        <f>HYPERLINK("https://amzn.to/2GJYCxw","link*")</f>
        <v>link*</v>
      </c>
      <c r="N17"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17" s="83">
        <v>30.0</v>
      </c>
      <c r="P17" s="84" t="s">
        <v>26</v>
      </c>
      <c r="Q17" s="81">
        <v>9.0</v>
      </c>
      <c r="R17" s="128" t="s">
        <v>54</v>
      </c>
      <c r="S17" s="81" t="s">
        <v>67</v>
      </c>
      <c r="T17" s="346"/>
    </row>
    <row r="18" hidden="1">
      <c r="A18" s="399" t="str">
        <f>HYPERLINK("https://phillipreeve.net/blog/review_voigtlander_21mm_f14_e/","Voigtlander 21mm F1.4 Nokton")</f>
        <v>Voigtlander 21mm F1.4 Nokton</v>
      </c>
      <c r="B18" s="76">
        <v>540.0</v>
      </c>
      <c r="C18" s="122">
        <v>21.0</v>
      </c>
      <c r="D18" s="149">
        <v>1.4</v>
      </c>
      <c r="E18" s="144">
        <v>70.0</v>
      </c>
      <c r="F18" s="373">
        <v>80.0</v>
      </c>
      <c r="G18" s="397" t="s">
        <v>24</v>
      </c>
      <c r="H18" s="82" t="s">
        <v>66</v>
      </c>
      <c r="I18" s="81"/>
      <c r="J18" s="87">
        <v>1199.0</v>
      </c>
      <c r="K18" s="88" t="str">
        <f>HYPERLINK("https://amzn.to/2K7gHrC","link*")</f>
        <v>link*</v>
      </c>
      <c r="L18" s="88" t="str">
        <f>HYPERLINK("https://www.bhphotovideo.com/c/product/1480269-REG/voigtlander_ba352a_nokton_21mm_f_1_4_aspherical.html/BI/19619/KBID/12129/DFF/d10-v21-t1-x963269/SID/EZ","link*")</f>
        <v>link*</v>
      </c>
      <c r="M18" s="89"/>
      <c r="N18"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18" s="83">
        <v>25.0</v>
      </c>
      <c r="P18" s="84" t="s">
        <v>26</v>
      </c>
      <c r="Q18" s="81">
        <v>12.0</v>
      </c>
      <c r="R18" s="128" t="s">
        <v>54</v>
      </c>
      <c r="S18" s="81" t="s">
        <v>28</v>
      </c>
      <c r="T18" s="81" t="s">
        <v>244</v>
      </c>
    </row>
    <row r="19" hidden="1">
      <c r="A19" s="152" t="str">
        <f>HYPERLINK("https://phillipreeve.net/blog/rolling-review-zeiss-loxia-distagon-2-821mm-t/https://phillipreeve.net/blog/rolling-review-zeiss-loxia-distagon-2-821mm-t/","Zeiss Loxia 2.8/21 Distagon T*")</f>
        <v>Zeiss Loxia 2.8/21 Distagon T*</v>
      </c>
      <c r="B19" s="76">
        <v>394.0</v>
      </c>
      <c r="C19" s="122">
        <v>21.0</v>
      </c>
      <c r="D19" s="78">
        <v>2.8</v>
      </c>
      <c r="E19" s="144">
        <v>62.0</v>
      </c>
      <c r="F19" s="373">
        <v>72.0</v>
      </c>
      <c r="G19" s="397" t="s">
        <v>24</v>
      </c>
      <c r="H19" s="82" t="s">
        <v>71</v>
      </c>
      <c r="I19" s="81">
        <v>0.13</v>
      </c>
      <c r="J19" s="87">
        <v>1499.0</v>
      </c>
      <c r="K19" s="88" t="str">
        <f>HYPERLINK("https://amzn.to/2yspzBm","link*")</f>
        <v>link*</v>
      </c>
      <c r="L19" s="88" t="str">
        <f>HYPERLINK("https://www.bhphotovideo.com/c/product/1189220-REG/zeiss_2131_999_loxia_21mm_f_2_8_lens.html/BI/19619/KBID/12129/DFF/d10-v21-t1-x677077/SID/EZ","link*")</f>
        <v>link*</v>
      </c>
      <c r="M19" s="88" t="str">
        <f>HYPERLINK("https://amzn.to/2GHSOoA","link*")</f>
        <v>link*</v>
      </c>
      <c r="N19"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19" s="83">
        <v>25.0</v>
      </c>
      <c r="P19" s="84" t="s">
        <v>26</v>
      </c>
      <c r="Q19" s="81">
        <v>10.0</v>
      </c>
      <c r="R19" s="128"/>
      <c r="S19" s="81" t="s">
        <v>58</v>
      </c>
      <c r="T19" s="346"/>
    </row>
    <row r="20" hidden="1">
      <c r="A20" s="152" t="str">
        <f>HYPERLINK("https://phillipreeve.net/blog/voigtlander-21mm-f35-review/","Voigtlander 21mm F3.5 Color-Skopar")</f>
        <v>Voigtlander 21mm F3.5 Color-Skopar</v>
      </c>
      <c r="B20" s="76">
        <v>230.0</v>
      </c>
      <c r="C20" s="122">
        <v>21.0</v>
      </c>
      <c r="D20" s="78">
        <v>3.5</v>
      </c>
      <c r="E20" s="144">
        <v>63.0</v>
      </c>
      <c r="F20" s="374">
        <v>40.0</v>
      </c>
      <c r="G20" s="397" t="s">
        <v>24</v>
      </c>
      <c r="H20" s="82" t="s">
        <v>71</v>
      </c>
      <c r="I20" s="346"/>
      <c r="J20" s="87">
        <v>699.0</v>
      </c>
      <c r="K20" s="88" t="str">
        <f>HYPERLINK("https://amzn.to/2JCie75","link*")</f>
        <v>link*</v>
      </c>
      <c r="L20" s="88" t="str">
        <f>HYPERLINK("https://www.bhphotovideo.com/c/product/1437613-REG/voigtlander_color_skopar_21mm_f_3_5_aspherical.html/BI/19619/KBID/12129/kw/VO2135E/DFF/d10-v2-t1-xVO2135E","link*")</f>
        <v>link*</v>
      </c>
      <c r="M20" s="88" t="str">
        <f>HYPERLINK("https://amzn.to/2ZoERan","link*")</f>
        <v>link*</v>
      </c>
      <c r="N20"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20" s="83">
        <v>20.0</v>
      </c>
      <c r="P20" s="84" t="s">
        <v>26</v>
      </c>
      <c r="Q20" s="81">
        <v>10.0</v>
      </c>
      <c r="R20" s="128" t="s">
        <v>60</v>
      </c>
      <c r="S20" s="81" t="s">
        <v>28</v>
      </c>
      <c r="T20" s="81" t="s">
        <v>245</v>
      </c>
    </row>
    <row r="21" hidden="1">
      <c r="A21" s="152" t="str">
        <f>HYPERLINK("https://phillipreeve.net/blog/review-sony-fe-24mm-1-4-gm/","Sony GM 1.4/24")</f>
        <v>Sony GM 1.4/24</v>
      </c>
      <c r="B21" s="76">
        <v>445.0</v>
      </c>
      <c r="C21" s="122">
        <v>24.0</v>
      </c>
      <c r="D21" s="149">
        <v>1.4</v>
      </c>
      <c r="E21" s="144">
        <v>75.0</v>
      </c>
      <c r="F21" s="373">
        <v>92.0</v>
      </c>
      <c r="G21" s="84" t="s">
        <v>30</v>
      </c>
      <c r="H21" s="82" t="s">
        <v>53</v>
      </c>
      <c r="I21" s="81">
        <v>0.17</v>
      </c>
      <c r="J21" s="87">
        <v>1399.0</v>
      </c>
      <c r="K21" s="88" t="str">
        <f>HYPERLINK("https://amzn.to/2ywcbw1","link*")</f>
        <v>link*</v>
      </c>
      <c r="L21" s="88" t="str">
        <f>HYPERLINK("https://www.bhphotovideo.com/c/product/1435887-REG/sony_fe_24mm_f_1_4_gm.html/BI/19619/KBID/12129/DFF/d10-v21-t1-x915647/SID/EZ","link*")</f>
        <v>link*</v>
      </c>
      <c r="M21" s="88" t="str">
        <f>HYPERLINK("https://amzn.to/2L2tV9y","link*")</f>
        <v>link*</v>
      </c>
      <c r="N21" s="88" t="str">
        <f>HYPERLINK("https://amzn.to/338yg28","link*")</f>
        <v>link*</v>
      </c>
      <c r="O21" s="83">
        <v>25.0</v>
      </c>
      <c r="P21" s="84" t="s">
        <v>26</v>
      </c>
      <c r="Q21" s="81">
        <v>11.0</v>
      </c>
      <c r="R21" s="128" t="s">
        <v>27</v>
      </c>
      <c r="S21" s="81" t="s">
        <v>32</v>
      </c>
      <c r="T21" s="81" t="s">
        <v>245</v>
      </c>
    </row>
    <row r="22" hidden="1">
      <c r="A22" s="395" t="s">
        <v>73</v>
      </c>
      <c r="B22" s="76">
        <v>665.0</v>
      </c>
      <c r="C22" s="122">
        <v>24.0</v>
      </c>
      <c r="D22" s="149">
        <v>1.4</v>
      </c>
      <c r="E22" s="144">
        <v>85.0</v>
      </c>
      <c r="F22" s="373">
        <v>90.0</v>
      </c>
      <c r="G22" s="81" t="s">
        <v>30</v>
      </c>
      <c r="H22" s="82" t="s">
        <v>56</v>
      </c>
      <c r="I22" s="81">
        <v>0.19</v>
      </c>
      <c r="J22" s="87">
        <v>849.0</v>
      </c>
      <c r="K22" s="88" t="str">
        <f>HYPERLINK("https://amzn.to/2Isw2Rv","link*")</f>
        <v>link*</v>
      </c>
      <c r="L22" s="88" t="str">
        <f>HYPERLINK("https://www.bhphotovideo.com/c/product/1393491-REG/sigma_24mm_f_1_4_dg_hsm.html/BI/19619/KBID/12129/kw/SI2414SO/DFF/d10-v2-t1-xSI2414SO","link*")</f>
        <v>link*</v>
      </c>
      <c r="M22" s="88" t="str">
        <f>HYPERLINK("https://amzn.to/2K7sIP4","link*")</f>
        <v>link*</v>
      </c>
      <c r="N22"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22" s="83">
        <v>25.0</v>
      </c>
      <c r="P22" s="84" t="s">
        <v>26</v>
      </c>
      <c r="Q22" s="81">
        <v>9.0</v>
      </c>
      <c r="R22" s="123">
        <v>43784.0</v>
      </c>
      <c r="S22" s="81" t="s">
        <v>41</v>
      </c>
      <c r="T22" s="346"/>
      <c r="U22" s="68" t="s">
        <v>42</v>
      </c>
    </row>
    <row r="23" hidden="1">
      <c r="A23" s="152" t="str">
        <f>HYPERLINK("https://phillipreeve.net/blog/review-samyang-af-2-4-28-fe-at-least-its-small/","Samyang AF 24mm F/2.8")</f>
        <v>Samyang AF 24mm F/2.8</v>
      </c>
      <c r="B23" s="76">
        <v>93.0</v>
      </c>
      <c r="C23" s="122">
        <v>24.0</v>
      </c>
      <c r="D23" s="78">
        <v>2.8</v>
      </c>
      <c r="E23" s="144">
        <v>61.0</v>
      </c>
      <c r="F23" s="374">
        <v>37.0</v>
      </c>
      <c r="G23" s="84" t="s">
        <v>30</v>
      </c>
      <c r="H23" s="82" t="s">
        <v>74</v>
      </c>
      <c r="I23" s="81">
        <v>0.15</v>
      </c>
      <c r="J23" s="129">
        <v>279.0</v>
      </c>
      <c r="K23" s="88" t="str">
        <f>HYPERLINK("https://amzn.to/2NEHZ7c","link*")</f>
        <v>link*</v>
      </c>
      <c r="L23" s="88" t="str">
        <f>HYPERLINK("https://www.bhphotovideo.com/c/product/1413350-REG/samyang_syio24af_e_af_24mm_f_2_8_fe.html/BI/19619/KBID/12129/kw/SASYIO24AFE/DFF/d10-v2-t1-xSASYIO24AFE","link*")</f>
        <v>link*</v>
      </c>
      <c r="M23" s="88" t="str">
        <f>HYPERLINK("https://amzn.to/2Onv1QE","link*")</f>
        <v>link*</v>
      </c>
      <c r="N23"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23" s="83">
        <v>20.0</v>
      </c>
      <c r="P23" s="84" t="s">
        <v>26</v>
      </c>
      <c r="Q23" s="81">
        <v>9.0</v>
      </c>
      <c r="R23" s="128" t="s">
        <v>75</v>
      </c>
      <c r="S23" s="81" t="s">
        <v>46</v>
      </c>
      <c r="T23" s="346"/>
    </row>
    <row r="24" hidden="1">
      <c r="A24" s="152" t="str">
        <f>HYPERLINK("https://phillipreeve.net/blog/review-sony-fe-2-824-70mm-gm/","Sony GM 2.8/24-70")</f>
        <v>Sony GM 2.8/24-70</v>
      </c>
      <c r="B24" s="76">
        <v>886.0</v>
      </c>
      <c r="C24" s="122">
        <v>24.0</v>
      </c>
      <c r="D24" s="78">
        <v>2.8</v>
      </c>
      <c r="E24" s="144">
        <v>88.0</v>
      </c>
      <c r="F24" s="374">
        <v>136.0</v>
      </c>
      <c r="G24" s="84" t="s">
        <v>30</v>
      </c>
      <c r="H24" s="82" t="s">
        <v>51</v>
      </c>
      <c r="I24" s="140">
        <v>0.25</v>
      </c>
      <c r="J24" s="87">
        <v>2199.0</v>
      </c>
      <c r="K24" s="88" t="str">
        <f>HYPERLINK("https://amzn.to/2STHavK","link*")</f>
        <v>link*</v>
      </c>
      <c r="L24" s="88" t="str">
        <f>HYPERLINK("https://www.bhphotovideo.com/c/search?Ntt=gm%2024-70&amp;N=0&amp;InitialSearch=yes&amp;sts=ma&amp;Top+Nav-Search=&amp;BI=19619&amp;KBID=12129&amp;KWID=EZ","link*")</f>
        <v>link*</v>
      </c>
      <c r="M24" s="88" t="str">
        <f>HYPERLINK("https://amzn.to/2ZwoyU7","link*")</f>
        <v>link*</v>
      </c>
      <c r="N24"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24" s="83">
        <v>38.0</v>
      </c>
      <c r="P24" s="84" t="s">
        <v>26</v>
      </c>
      <c r="Q24" s="81">
        <v>11.0</v>
      </c>
      <c r="R24" s="128" t="s">
        <v>44</v>
      </c>
      <c r="S24" s="81" t="s">
        <v>32</v>
      </c>
      <c r="T24" s="81" t="s">
        <v>241</v>
      </c>
    </row>
    <row r="25" hidden="1">
      <c r="A25" s="395" t="s">
        <v>79</v>
      </c>
      <c r="B25" s="76">
        <v>780.0</v>
      </c>
      <c r="C25" s="122">
        <v>24.0</v>
      </c>
      <c r="D25" s="78" t="s">
        <v>80</v>
      </c>
      <c r="E25" s="144">
        <v>80.0</v>
      </c>
      <c r="F25" s="374">
        <v>119.0</v>
      </c>
      <c r="G25" s="84" t="s">
        <v>30</v>
      </c>
      <c r="H25" s="82" t="s">
        <v>48</v>
      </c>
      <c r="I25" s="140">
        <v>0.27</v>
      </c>
      <c r="J25" s="87">
        <v>998.0</v>
      </c>
      <c r="K25" s="88" t="str">
        <f>HYPERLINK("http://amzn.to/2fbX5FU","link*")</f>
        <v>link*</v>
      </c>
      <c r="L25" s="88" t="str">
        <f>HYPERLINK("https://www.bhphotovideo.com/c/search?Ntt=sony%2024-240&amp;N=0&amp;InitialSearch=yes&amp;sts=ma&amp;Top+Nav-Search=&amp;BI=19619&amp;KBID=12129&amp;KWID=EZ","link*")</f>
        <v>link*</v>
      </c>
      <c r="M25" s="88" t="str">
        <f>HYPERLINK("http://amzn.to/2wyrL7A","link*")</f>
        <v>link*</v>
      </c>
      <c r="N25"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25" s="83">
        <v>50.0</v>
      </c>
      <c r="P25" s="154" t="s">
        <v>49</v>
      </c>
      <c r="Q25" s="81">
        <v>7.0</v>
      </c>
      <c r="R25" s="128" t="s">
        <v>81</v>
      </c>
      <c r="S25" s="81" t="s">
        <v>32</v>
      </c>
      <c r="T25" s="81" t="s">
        <v>246</v>
      </c>
    </row>
    <row r="26" hidden="1">
      <c r="A26" s="395" t="s">
        <v>82</v>
      </c>
      <c r="B26" s="76">
        <v>663.0</v>
      </c>
      <c r="C26" s="122">
        <v>24.0</v>
      </c>
      <c r="D26" s="78">
        <v>4.0</v>
      </c>
      <c r="E26" s="144">
        <v>83.0</v>
      </c>
      <c r="F26" s="373">
        <v>113.0</v>
      </c>
      <c r="G26" s="84" t="s">
        <v>30</v>
      </c>
      <c r="H26" s="82" t="s">
        <v>56</v>
      </c>
      <c r="I26" s="140">
        <v>0.31</v>
      </c>
      <c r="J26" s="87">
        <v>1398.0</v>
      </c>
      <c r="K26" s="88" t="str">
        <f>HYPERLINK("https://amzn.to/2K7LwMR","link*")</f>
        <v>link*</v>
      </c>
      <c r="L26" s="88" t="str">
        <f>HYPERLINK("https://www.bhphotovideo.com/c/search?Ntt=sony%2024-105&amp;N=0&amp;InitialSearch=yes&amp;sts=ma&amp;Top+Nav-Search=&amp;BI=19619&amp;KBID=12129&amp;KWID=EZ","link*")</f>
        <v>link*</v>
      </c>
      <c r="M26" s="88" t="str">
        <f>HYPERLINK("https://amzn.to/2Ld8hOS","link*")</f>
        <v>link*</v>
      </c>
      <c r="N26"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26" s="83">
        <v>38.0</v>
      </c>
      <c r="P26" s="154" t="s">
        <v>49</v>
      </c>
      <c r="Q26" s="81">
        <v>9.0</v>
      </c>
      <c r="R26" s="128" t="s">
        <v>35</v>
      </c>
      <c r="S26" s="81" t="s">
        <v>32</v>
      </c>
      <c r="T26" s="81" t="s">
        <v>247</v>
      </c>
    </row>
    <row r="27" hidden="1">
      <c r="A27" s="152" t="str">
        <f>HYPERLINK("https://phillipreeve.net/blog/rolling-review-carl-zeiss-vario-tessar-t-fe-424-70-za/","Sony ZA 4/24-70 OSS")</f>
        <v>Sony ZA 4/24-70 OSS</v>
      </c>
      <c r="B27" s="76">
        <v>426.0</v>
      </c>
      <c r="C27" s="122">
        <v>24.0</v>
      </c>
      <c r="D27" s="78">
        <v>4.0</v>
      </c>
      <c r="E27" s="144">
        <v>73.0</v>
      </c>
      <c r="F27" s="373">
        <v>95.0</v>
      </c>
      <c r="G27" s="84" t="s">
        <v>30</v>
      </c>
      <c r="H27" s="82" t="s">
        <v>53</v>
      </c>
      <c r="I27" s="81">
        <v>0.2</v>
      </c>
      <c r="J27" s="87">
        <v>898.0</v>
      </c>
      <c r="K27" s="88" t="str">
        <f>HYPERLINK("http://amzn.to/2vlG2Yq","link*")</f>
        <v>link*</v>
      </c>
      <c r="L27" s="88" t="str">
        <f>HYPERLINK("https://www.bhphotovideo.com/c/product/1008126-REG/sony_sel2470z_vario_tessar_t_fe_24_70mm.html/BI/19619/KBID/12129/DFF/d10-v21-t1-x466842/SID/EZ","link*")</f>
        <v>link*</v>
      </c>
      <c r="M27" s="88" t="str">
        <f>HYPERLINK("http://amzn.to/2fl1XZk","link*")</f>
        <v>link*</v>
      </c>
      <c r="N27"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27" s="83">
        <v>40.0</v>
      </c>
      <c r="P27" s="154" t="s">
        <v>49</v>
      </c>
      <c r="Q27" s="81">
        <v>7.0</v>
      </c>
      <c r="R27" s="128" t="s">
        <v>38</v>
      </c>
      <c r="S27" s="81" t="s">
        <v>32</v>
      </c>
      <c r="T27" s="81" t="s">
        <v>248</v>
      </c>
    </row>
    <row r="28" hidden="1">
      <c r="A28" s="152" t="str">
        <f>HYPERLINK("https://phillipreeve.net/blog/review-zeiss-batis-distagon-t-25mm-f2/","Zeiss Batis 2/25")</f>
        <v>Zeiss Batis 2/25</v>
      </c>
      <c r="B28" s="76">
        <v>335.0</v>
      </c>
      <c r="C28" s="122">
        <v>25.0</v>
      </c>
      <c r="D28" s="78">
        <v>2.0</v>
      </c>
      <c r="E28" s="144">
        <v>92.0</v>
      </c>
      <c r="F28" s="373">
        <v>78.0</v>
      </c>
      <c r="G28" s="84" t="s">
        <v>30</v>
      </c>
      <c r="H28" s="82" t="s">
        <v>53</v>
      </c>
      <c r="I28" s="81">
        <v>0.19</v>
      </c>
      <c r="J28" s="87">
        <v>1299.0</v>
      </c>
      <c r="K28" s="88" t="str">
        <f>HYPERLINK("https://amzn.to/2ypHQiT","link*")</f>
        <v>link*</v>
      </c>
      <c r="L28" s="88" t="str">
        <f>HYPERLINK("https://www.bhphotovideo.com/c/product/1140832-REG/zeiss_2103_750_25mm_f_2_0_batis_wide.html/BI/19619/KBID/12129/DFF/d10-v21-t1-x627141/SID/EZ","link*")</f>
        <v>link*</v>
      </c>
      <c r="M28" s="88" t="str">
        <f>HYPERLINK("https://amzn.to/2L20DIj","link*")</f>
        <v>link*</v>
      </c>
      <c r="N28"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28" s="83">
        <v>20.0</v>
      </c>
      <c r="P28" s="84" t="s">
        <v>26</v>
      </c>
      <c r="Q28" s="81">
        <v>9.0</v>
      </c>
      <c r="R28" s="128" t="s">
        <v>83</v>
      </c>
      <c r="S28" s="81" t="s">
        <v>58</v>
      </c>
      <c r="T28" s="346"/>
    </row>
    <row r="29" hidden="1">
      <c r="A29" s="152" t="str">
        <f>HYPERLINK("https://phillipreeve.net/blog/review-zeiss-loxia-2-4-25mm-distagon/","Zeiss Loxia 2.4/25")</f>
        <v>Zeiss Loxia 2.4/25</v>
      </c>
      <c r="B29" s="76">
        <v>393.0</v>
      </c>
      <c r="C29" s="122">
        <v>25.0</v>
      </c>
      <c r="D29" s="78">
        <v>2.4</v>
      </c>
      <c r="E29" s="144">
        <v>62.0</v>
      </c>
      <c r="F29" s="373">
        <v>75.0</v>
      </c>
      <c r="G29" s="397" t="s">
        <v>24</v>
      </c>
      <c r="H29" s="82" t="s">
        <v>71</v>
      </c>
      <c r="I29" s="81">
        <v>0.16</v>
      </c>
      <c r="J29" s="87">
        <v>1299.0</v>
      </c>
      <c r="K29" s="88" t="str">
        <f>HYPERLINK("https://amzn.to/2OlyeAf","link*")</f>
        <v>link*</v>
      </c>
      <c r="L29" s="88" t="str">
        <f>HYPERLINK("https://www.bhphotovideo.com/c/product/1389169-REG/zeiss_000000_2218_783_loxia_25mm_f_2_4_lens.html/BI/19619/KBID/12129/kw/ZE2524L/DFF/d10-v2-t1-xZE2524L","link*")</f>
        <v>link*</v>
      </c>
      <c r="M29" s="88" t="str">
        <f>HYPERLINK("https://amzn.to/2OlyeAf","link*")</f>
        <v>link*</v>
      </c>
      <c r="N29"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29" s="83">
        <v>25.0</v>
      </c>
      <c r="P29" s="84" t="s">
        <v>26</v>
      </c>
      <c r="Q29" s="81">
        <v>10.0</v>
      </c>
      <c r="R29" s="128" t="s">
        <v>83</v>
      </c>
      <c r="S29" s="81" t="s">
        <v>58</v>
      </c>
      <c r="T29" s="346"/>
    </row>
    <row r="30" hidden="1">
      <c r="A30" s="395" t="s">
        <v>84</v>
      </c>
      <c r="B30" s="76">
        <v>965.0</v>
      </c>
      <c r="C30" s="122">
        <v>28.0</v>
      </c>
      <c r="D30" s="78">
        <v>1.4</v>
      </c>
      <c r="E30" s="144">
        <v>83.0</v>
      </c>
      <c r="F30" s="373">
        <v>134.0</v>
      </c>
      <c r="G30" s="84" t="s">
        <v>30</v>
      </c>
      <c r="H30" s="82" t="s">
        <v>56</v>
      </c>
      <c r="I30" s="81">
        <v>0.19</v>
      </c>
      <c r="J30" s="87">
        <v>1399.0</v>
      </c>
      <c r="K30" s="88" t="str">
        <f>HYPERLINK("https://amzn.to/2Wn0pxO","link*")</f>
        <v>link*</v>
      </c>
      <c r="L30" s="88" t="str">
        <f>HYPERLINK("https://www.bhphotovideo.com/c/product/1436285-REG/sigma_28mm_f_1_4_dg_hsm.html/BI/19619/KBID/12129/kw/SI2814DGSE/DFF/d10-v2-t1-xSI2814DGSE","link*")</f>
        <v>link*</v>
      </c>
      <c r="M30" s="88" t="str">
        <f>HYPERLINK("https://amzn.to/2WzVkHd","link*")</f>
        <v>link*</v>
      </c>
      <c r="N30" s="88"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30" s="83">
        <v>28.0</v>
      </c>
      <c r="P30" s="84" t="s">
        <v>26</v>
      </c>
      <c r="Q30" s="81">
        <v>9.0</v>
      </c>
      <c r="R30" s="128" t="s">
        <v>81</v>
      </c>
      <c r="S30" s="81" t="s">
        <v>41</v>
      </c>
      <c r="T30" s="81"/>
    </row>
    <row r="31" hidden="1">
      <c r="A31" s="152" t="str">
        <f>HYPERLINK("https://www.systemkamera-forum.de/blog/2015/05/sony-fe-28mm-f2-test-und-erfahrungsbericht/","Sony FE 2/28")</f>
        <v>Sony FE 2/28</v>
      </c>
      <c r="B31" s="76">
        <v>200.0</v>
      </c>
      <c r="C31" s="122">
        <v>28.0</v>
      </c>
      <c r="D31" s="78">
        <v>2.0</v>
      </c>
      <c r="E31" s="144">
        <v>60.0</v>
      </c>
      <c r="F31" s="373">
        <v>60.0</v>
      </c>
      <c r="G31" s="84" t="s">
        <v>30</v>
      </c>
      <c r="H31" s="82" t="s">
        <v>74</v>
      </c>
      <c r="I31" s="81">
        <v>0.13</v>
      </c>
      <c r="J31" s="153">
        <v>448.0</v>
      </c>
      <c r="K31" s="88" t="str">
        <f>HYPERLINK("https://amzn.to/2GXJWdo","link*")</f>
        <v>link*</v>
      </c>
      <c r="L31" s="88" t="str">
        <f>HYPERLINK("https://www.bhphotovideo.com/c/product/1402637-REG/sony_fe_28mm_f_2_lens.html/BI/19619/KBID/12129/kw/SO2820F/DFF/d10-v2-t1-xSO2820F","link*")</f>
        <v>link*</v>
      </c>
      <c r="M31" s="88" t="str">
        <f>HYPERLINK("http://amzn.to/2wyLOCO","link*")</f>
        <v>link*</v>
      </c>
      <c r="N31"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31" s="83">
        <v>29.0</v>
      </c>
      <c r="P31" s="84" t="s">
        <v>26</v>
      </c>
      <c r="Q31" s="81">
        <v>9.0</v>
      </c>
      <c r="R31" s="128" t="s">
        <v>60</v>
      </c>
      <c r="S31" s="81" t="s">
        <v>32</v>
      </c>
      <c r="T31" s="81" t="s">
        <v>246</v>
      </c>
    </row>
    <row r="32" hidden="1">
      <c r="A32" s="152" t="str">
        <f>HYPERLINK("https://phillipreeve.net/blog/review-tamron-28-75mm-f-2-8-di-iii-rxd-sony-e-mount/","Tamron 2.8/28-75")</f>
        <v>Tamron 2.8/28-75</v>
      </c>
      <c r="B32" s="76">
        <v>550.0</v>
      </c>
      <c r="C32" s="122">
        <v>28.0</v>
      </c>
      <c r="D32" s="78">
        <v>2.8</v>
      </c>
      <c r="E32" s="144">
        <v>73.0</v>
      </c>
      <c r="F32" s="373">
        <v>118.0</v>
      </c>
      <c r="G32" s="84" t="s">
        <v>30</v>
      </c>
      <c r="H32" s="82" t="s">
        <v>53</v>
      </c>
      <c r="I32" s="140">
        <v>0.34</v>
      </c>
      <c r="J32" s="153">
        <v>879.0</v>
      </c>
      <c r="K32" s="88" t="str">
        <f>HYPERLINK("https://amzn.to/2ST5uxq","link*")</f>
        <v>link*</v>
      </c>
      <c r="L32" s="88" t="str">
        <f>HYPERLINK("https://www.bhphotovideo.com/c/product/1393332-REG/tamron_a036_28_75mm_f_2_8_di_iii.html/BI/19619/KBID/12129/DFF/d10-v21-t1-x892059/SID/EZ","link*")</f>
        <v>link*</v>
      </c>
      <c r="M32" s="88" t="str">
        <f>HYPERLINK("https://amzn.to/2ZmSzdU","link*")</f>
        <v>link*</v>
      </c>
      <c r="N32"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32" s="83">
        <v>19.0</v>
      </c>
      <c r="P32" s="84" t="s">
        <v>26</v>
      </c>
      <c r="Q32" s="81">
        <v>9.0</v>
      </c>
      <c r="R32" s="128" t="s">
        <v>85</v>
      </c>
      <c r="S32" s="81" t="s">
        <v>55</v>
      </c>
      <c r="T32" s="346"/>
    </row>
    <row r="33" hidden="1">
      <c r="A33" s="395" t="s">
        <v>88</v>
      </c>
      <c r="B33" s="76">
        <v>295.0</v>
      </c>
      <c r="C33" s="122">
        <v>28.0</v>
      </c>
      <c r="D33" s="78" t="s">
        <v>89</v>
      </c>
      <c r="E33" s="144">
        <v>73.0</v>
      </c>
      <c r="F33" s="373">
        <v>83.0</v>
      </c>
      <c r="G33" s="84" t="s">
        <v>30</v>
      </c>
      <c r="H33" s="82" t="s">
        <v>90</v>
      </c>
      <c r="I33" s="81">
        <v>0.19</v>
      </c>
      <c r="J33" s="87">
        <v>398.0</v>
      </c>
      <c r="K33" s="88" t="str">
        <f>HYPERLINK("https://www.amazon.com/gp/product/B00FYOFADE/ref=as_li_tl?ie=UTF8&amp;tag=wwwphillipree-20&amp;camp=1789&amp;creative=9325&amp;linkCode=as2&amp;creativeASIN=B00FYOFADE&amp;linkId=96720b245156eae53bb1a672d4453d3f","link*")</f>
        <v>link*</v>
      </c>
      <c r="L33" s="88" t="str">
        <f>HYPERLINK("https://www.bhphotovideo.com/c/product/1015472-REG/sony_sel2870_fe_28_70mm_f_3_5_5_6_oss.html/BI/19619/KBID/12129/DFF/d10-v21-t1-x473993/SID/EZ","link*")</f>
        <v>link*</v>
      </c>
      <c r="M33" s="88" t="str">
        <f>HYPERLINK("https://www.amazon.de/gp/product/B00HSHFPD0/ref=as_li_tl?ie=UTF8&amp;tag=wwwphillipree-21&amp;camp=1638&amp;creative=6742&amp;linkCode=as2&amp;creativeASIN=B00HSHFPD0&amp;linkId=6701f30673f8a4071232ca85e1953506","link*")</f>
        <v>link*</v>
      </c>
      <c r="N33"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33" s="83">
        <v>30.0</v>
      </c>
      <c r="P33" s="154" t="s">
        <v>49</v>
      </c>
      <c r="Q33" s="81">
        <v>7.0</v>
      </c>
      <c r="R33" s="128" t="s">
        <v>60</v>
      </c>
      <c r="S33" s="81" t="s">
        <v>32</v>
      </c>
      <c r="T33" s="81" t="s">
        <v>249</v>
      </c>
    </row>
    <row r="34" hidden="1">
      <c r="A34" s="395" t="s">
        <v>91</v>
      </c>
      <c r="B34" s="76">
        <v>1215.0</v>
      </c>
      <c r="C34" s="122">
        <v>28.0</v>
      </c>
      <c r="D34" s="78">
        <v>4.0</v>
      </c>
      <c r="E34" s="144">
        <v>105.0</v>
      </c>
      <c r="F34" s="373">
        <v>165.0</v>
      </c>
      <c r="G34" s="84" t="s">
        <v>30</v>
      </c>
      <c r="H34" s="382" t="s">
        <v>92</v>
      </c>
      <c r="I34" s="346"/>
      <c r="J34" s="87">
        <v>249.0</v>
      </c>
      <c r="K34" s="88" t="str">
        <f>HYPERLINK("http://amzn.to/2v2kiy9","link*")</f>
        <v>link*</v>
      </c>
      <c r="L34" s="88" t="str">
        <f>HYPERLINK("https://www.bhphotovideo.com/c/product/1082051-REG/sony_selp28135g_e_pz_28_135mm_f_4.html/BI/19619/KBID/12129/DFF/d10-v21-t1-x556056/SID/EZ","link*")</f>
        <v>link*</v>
      </c>
      <c r="M34" s="88" t="str">
        <f>HYPERLINK("http://amzn.to/2wlpg9b","link*")</f>
        <v>link*</v>
      </c>
      <c r="N34"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34" s="83">
        <v>40.0</v>
      </c>
      <c r="P34" s="154" t="s">
        <v>49</v>
      </c>
      <c r="Q34" s="81">
        <v>9.0</v>
      </c>
      <c r="R34" s="128" t="s">
        <v>93</v>
      </c>
      <c r="S34" s="81" t="s">
        <v>32</v>
      </c>
      <c r="T34" s="81" t="s">
        <v>250</v>
      </c>
      <c r="U34" s="68" t="s">
        <v>94</v>
      </c>
    </row>
    <row r="35" hidden="1" customHeight="1">
      <c r="A35" s="399" t="str">
        <f>HYPERLINK("https://phillipreeve.net/blog/review-sigma-35mm-1-2-art-dg-dn/","Sigma Art 1.2/35")</f>
        <v>Sigma Art 1.2/35</v>
      </c>
      <c r="B35" s="76">
        <v>1090.0</v>
      </c>
      <c r="C35" s="122">
        <v>35.0</v>
      </c>
      <c r="D35" s="383">
        <v>1.2</v>
      </c>
      <c r="E35" s="144">
        <v>88.0</v>
      </c>
      <c r="F35" s="373">
        <v>136.0</v>
      </c>
      <c r="G35" s="81" t="s">
        <v>30</v>
      </c>
      <c r="H35" s="270" t="s">
        <v>51</v>
      </c>
      <c r="I35" s="81">
        <v>0.19</v>
      </c>
      <c r="J35" s="87">
        <v>1499.0</v>
      </c>
      <c r="K35" s="88" t="str">
        <f>HYPERLINK("https://amzn.to/2LiHhxc","link*")</f>
        <v>link*</v>
      </c>
      <c r="L35" s="88" t="str">
        <f>HYPERLINK("https://www.bhphotovideo.com/c/product/1492967-REG/sigma_341969_35mm_f_1_2_dg_dn.html/BI/19619/KBID/12129/DFF/d10-v21-t1-x976038/SID/EZ","link*")</f>
        <v>link*</v>
      </c>
      <c r="M35" s="89"/>
      <c r="N35" s="88"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35" s="83">
        <v>30.0</v>
      </c>
      <c r="P35" s="84" t="s">
        <v>26</v>
      </c>
      <c r="Q35" s="81">
        <v>11.0</v>
      </c>
      <c r="R35" s="123">
        <v>43816.0</v>
      </c>
      <c r="S35" s="81" t="s">
        <v>41</v>
      </c>
      <c r="T35" s="81" t="s">
        <v>243</v>
      </c>
    </row>
    <row r="36" hidden="1">
      <c r="A36" s="152" t="str">
        <f>HYPERLINK("https://phillipreeve.net/blog/review-sony-fe-35mm-1-4-za/","Sony ZA 1.4/35")</f>
        <v>Sony ZA 1.4/35</v>
      </c>
      <c r="B36" s="76">
        <v>630.0</v>
      </c>
      <c r="C36" s="122">
        <v>35.0</v>
      </c>
      <c r="D36" s="78">
        <v>1.4</v>
      </c>
      <c r="E36" s="144">
        <v>79.0</v>
      </c>
      <c r="F36" s="373">
        <v>112.0</v>
      </c>
      <c r="G36" s="81" t="s">
        <v>30</v>
      </c>
      <c r="H36" s="82" t="s">
        <v>48</v>
      </c>
      <c r="I36" s="81">
        <v>0.18</v>
      </c>
      <c r="J36" s="87">
        <v>1599.0</v>
      </c>
      <c r="K36" s="88" t="str">
        <f>HYPERLINK("https://amzn.to/2LRSMOS","link*")</f>
        <v>link*</v>
      </c>
      <c r="L36" s="88" t="str">
        <f>HYPERLINK("https://www.bhphotovideo.com/c/product/1126137-REG/sony_sel35f14z_distagon_t_fe_35mm.html/BI/19619/KBID/12129/DFF/d10-v21-t1-x612725/SID/EZ","link*")</f>
        <v>link*</v>
      </c>
      <c r="M36" s="88" t="str">
        <f>HYPERLINK("https://amzn.to/2ZmfSnX","link*")</f>
        <v>link*</v>
      </c>
      <c r="N36"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36" s="83">
        <v>30.0</v>
      </c>
      <c r="P36" s="84" t="s">
        <v>26</v>
      </c>
      <c r="Q36" s="81">
        <v>9.0</v>
      </c>
      <c r="R36" s="123">
        <v>43689.0</v>
      </c>
      <c r="S36" s="81" t="s">
        <v>32</v>
      </c>
      <c r="T36" s="81" t="s">
        <v>246</v>
      </c>
    </row>
    <row r="37" hidden="1">
      <c r="A37" s="395" t="s">
        <v>226</v>
      </c>
      <c r="B37" s="76">
        <v>645.0</v>
      </c>
      <c r="C37" s="122">
        <v>35.0</v>
      </c>
      <c r="D37" s="78">
        <v>1.4</v>
      </c>
      <c r="E37" s="144">
        <v>76.0</v>
      </c>
      <c r="F37" s="374">
        <v>115.0</v>
      </c>
      <c r="G37" s="81" t="s">
        <v>30</v>
      </c>
      <c r="H37" s="82" t="s">
        <v>53</v>
      </c>
      <c r="I37" s="81">
        <v>0.17</v>
      </c>
      <c r="J37" s="87">
        <v>799.0</v>
      </c>
      <c r="K37" s="88" t="str">
        <f>HYPERLINK("https://amzn.to/2K8DDXH","link*")</f>
        <v>link*</v>
      </c>
      <c r="L37" s="88" t="str">
        <f t="shared" ref="L37:L38" si="1">HYPERLINK("https://www.bhphotovideo.com/c/product/1381712-REG/voigtlander_nokton_classic_35mm_f_1_4.html/BI/19619/KBID/12129/DFF/d10-v21-t1-x877353/SID/EZ","link*")</f>
        <v>link*</v>
      </c>
      <c r="M37" s="88" t="str">
        <f>HYPERLINK("https://amzn.to/2Zhl3FI","link*")</f>
        <v>link*</v>
      </c>
      <c r="N37"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37" s="83">
        <v>30.0</v>
      </c>
      <c r="P37" s="84" t="s">
        <v>26</v>
      </c>
      <c r="Q37" s="81">
        <v>9.0</v>
      </c>
      <c r="R37" s="123">
        <v>43719.0</v>
      </c>
      <c r="S37" s="81" t="s">
        <v>46</v>
      </c>
      <c r="T37" s="346"/>
      <c r="U37" s="68" t="s">
        <v>99</v>
      </c>
    </row>
    <row r="38" hidden="1">
      <c r="A38" s="152" t="str">
        <f>HYPERLINK("https://phillipreeve.net/blog/review-voigtlander-35mm-1-4-nokton-e-classic/","Voigtlander 35mm F1.4 Nokton Classic")</f>
        <v>Voigtlander 35mm F1.4 Nokton Classic</v>
      </c>
      <c r="B38" s="76">
        <v>262.0</v>
      </c>
      <c r="C38" s="122">
        <v>35.0</v>
      </c>
      <c r="D38" s="78">
        <v>1.4</v>
      </c>
      <c r="E38" s="144">
        <v>67.0</v>
      </c>
      <c r="F38" s="374">
        <v>40.0</v>
      </c>
      <c r="G38" s="400" t="s">
        <v>24</v>
      </c>
      <c r="H38" s="82" t="s">
        <v>47</v>
      </c>
      <c r="I38" s="81">
        <v>0.16</v>
      </c>
      <c r="J38" s="87">
        <v>799.0</v>
      </c>
      <c r="K38" s="88" t="str">
        <f>HYPERLINK("https://amzn.to/2M1M8WH","link*")</f>
        <v>link*</v>
      </c>
      <c r="L38" s="88" t="str">
        <f t="shared" si="1"/>
        <v>link*</v>
      </c>
      <c r="M38" s="88" t="str">
        <f>HYPERLINK("https://amzn.to/2ZswTZ3","link*")</f>
        <v>link*</v>
      </c>
      <c r="N38"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38" s="83">
        <v>30.0</v>
      </c>
      <c r="P38" s="84" t="s">
        <v>26</v>
      </c>
      <c r="Q38" s="81">
        <v>10.0</v>
      </c>
      <c r="R38" s="123">
        <v>43624.0</v>
      </c>
      <c r="S38" s="81" t="s">
        <v>28</v>
      </c>
      <c r="T38" s="81" t="s">
        <v>251</v>
      </c>
    </row>
    <row r="39" hidden="1" customHeight="1">
      <c r="A39" s="152" t="str">
        <f>HYPERLINK("https://phillipreeve.net/blog/review-sigma-35mm-1-4-art/","Sigma Art 1.4/35")</f>
        <v>Sigma Art 1.4/35</v>
      </c>
      <c r="B39" s="76">
        <v>740.0</v>
      </c>
      <c r="C39" s="122">
        <v>35.0</v>
      </c>
      <c r="D39" s="78">
        <v>1.4</v>
      </c>
      <c r="E39" s="144">
        <v>77.0</v>
      </c>
      <c r="F39" s="374">
        <v>94.0</v>
      </c>
      <c r="G39" s="81" t="s">
        <v>30</v>
      </c>
      <c r="H39" s="82" t="s">
        <v>53</v>
      </c>
      <c r="I39" s="81">
        <v>0.19</v>
      </c>
      <c r="J39" s="153">
        <v>899.0</v>
      </c>
      <c r="K39" s="88" t="str">
        <f>HYPERLINK("https://amzn.to/2LOaQcZ","link*")</f>
        <v>link*</v>
      </c>
      <c r="L39" s="88" t="str">
        <f>HYPERLINK("https://www.bhphotovideo.com/c/product/1393492-REG/sigma_35mm_f_1_4_dg_hsm.html/BI/19619/KBID/12129/DFF/d10-v21-t1-x881157/SID/EZ","link*")</f>
        <v>link*</v>
      </c>
      <c r="M39" s="88" t="str">
        <f>HYPERLINK("https://amzn.to/2ZrfakE","link*")</f>
        <v>link*</v>
      </c>
      <c r="N39"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39" s="83">
        <v>30.0</v>
      </c>
      <c r="P39" s="84" t="s">
        <v>26</v>
      </c>
      <c r="Q39" s="81">
        <v>9.0</v>
      </c>
      <c r="R39" s="123">
        <v>43782.0</v>
      </c>
      <c r="S39" s="81" t="s">
        <v>41</v>
      </c>
      <c r="T39" s="346"/>
      <c r="U39" s="68" t="s">
        <v>42</v>
      </c>
    </row>
    <row r="40" hidden="1">
      <c r="A40" s="402" t="s">
        <v>227</v>
      </c>
      <c r="B40" s="76">
        <v>280.0</v>
      </c>
      <c r="C40" s="122">
        <v>35.0</v>
      </c>
      <c r="D40" s="78">
        <v>1.8</v>
      </c>
      <c r="E40" s="144">
        <v>66.0</v>
      </c>
      <c r="F40" s="374">
        <v>73.0</v>
      </c>
      <c r="G40" s="81" t="s">
        <v>30</v>
      </c>
      <c r="H40" s="82" t="s">
        <v>90</v>
      </c>
      <c r="I40" s="185">
        <v>0.24</v>
      </c>
      <c r="J40" s="87">
        <v>749.0</v>
      </c>
      <c r="K40" s="89"/>
      <c r="L40" s="88" t="str">
        <f>HYPERLINK("https://www.bhphotovideo.com/c/product/1492866-REG/sony_sel35f18f_35mm_f_1_8_fe_lens.html/BI/19619/KBID/12129/DFF/d10-v21-t1-x975763/SID/EZ","link*")</f>
        <v>link*</v>
      </c>
      <c r="M40" s="88" t="str">
        <f>HYPERLINK("https://amzn.to/2PiATLC","link*")</f>
        <v>link*</v>
      </c>
      <c r="N40"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40" s="83">
        <v>22.0</v>
      </c>
      <c r="P40" s="84" t="s">
        <v>26</v>
      </c>
      <c r="Q40" s="81">
        <v>9.0</v>
      </c>
      <c r="R40" s="123">
        <v>43719.0</v>
      </c>
      <c r="S40" s="81" t="s">
        <v>32</v>
      </c>
      <c r="T40" s="81" t="s">
        <v>243</v>
      </c>
    </row>
    <row r="41" hidden="1">
      <c r="A41" s="152" t="str">
        <f>HYPERLINK("https://phillipreeve.net/blog/review-zeiss-loxia-35mm-2-0/","Zeiss Loxia 2/35 Biogon T*")</f>
        <v>Zeiss Loxia 2/35 Biogon T*</v>
      </c>
      <c r="B41" s="76">
        <v>340.0</v>
      </c>
      <c r="C41" s="122">
        <v>35.0</v>
      </c>
      <c r="D41" s="78">
        <v>2.0</v>
      </c>
      <c r="E41" s="144">
        <v>62.0</v>
      </c>
      <c r="F41" s="373">
        <v>66.0</v>
      </c>
      <c r="G41" s="400" t="s">
        <v>24</v>
      </c>
      <c r="H41" s="82" t="s">
        <v>71</v>
      </c>
      <c r="I41" s="81">
        <v>0.17</v>
      </c>
      <c r="J41" s="87">
        <v>1299.0</v>
      </c>
      <c r="K41" s="88" t="str">
        <f>HYPERLINK("https://amzn.to/2T2sJWe","link*")</f>
        <v>link*</v>
      </c>
      <c r="L41" s="88" t="str">
        <f>HYPERLINK("https://www.bhphotovideo.com/c/product/1080388-REG/zeiss_2103_749_loxia_35mm_f_2_biogon.html/BI/19619/KBID/12129/DFF/d10-v21-t1-x553792/SID/EZ","link*")</f>
        <v>link*</v>
      </c>
      <c r="M41" s="89" t="s">
        <v>33</v>
      </c>
      <c r="N41"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41" s="83">
        <v>30.0</v>
      </c>
      <c r="P41" s="84" t="s">
        <v>26</v>
      </c>
      <c r="Q41" s="81">
        <v>10.0</v>
      </c>
      <c r="R41" s="123">
        <v>43625.0</v>
      </c>
      <c r="S41" s="81" t="s">
        <v>58</v>
      </c>
      <c r="T41" s="346"/>
      <c r="U41" s="68" t="s">
        <v>101</v>
      </c>
    </row>
    <row r="42" hidden="1">
      <c r="A42" s="152" t="str">
        <f>HYPERLINK("http://www.photozone.de/sonyalphaff/865-zeiss35f28ff","Sony ZA 2.8/35")</f>
        <v>Sony ZA 2.8/35</v>
      </c>
      <c r="B42" s="76">
        <v>120.0</v>
      </c>
      <c r="C42" s="122">
        <v>35.0</v>
      </c>
      <c r="D42" s="78">
        <v>2.8</v>
      </c>
      <c r="E42" s="144">
        <v>62.0</v>
      </c>
      <c r="F42" s="373">
        <v>37.0</v>
      </c>
      <c r="G42" s="81" t="s">
        <v>30</v>
      </c>
      <c r="H42" s="82" t="s">
        <v>74</v>
      </c>
      <c r="I42" s="81">
        <v>0.12</v>
      </c>
      <c r="J42" s="87">
        <v>798.0</v>
      </c>
      <c r="K42" s="88" t="str">
        <f>HYPERLINK("https://amzn.to/2yvhL24","link*")</f>
        <v>link*</v>
      </c>
      <c r="L42" s="88" t="str">
        <f>HYPERLINK("https://www.bhphotovideo.com/c/product/1008123-REG/sony_sel35f28z_sonnar_t_fe_35mm.html/BI/19619/KBID/12129/DFF/d10-v21-t1-x466840/SID/EZ","link*")</f>
        <v>link*</v>
      </c>
      <c r="M42" s="89" t="s">
        <v>33</v>
      </c>
      <c r="N42"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42" s="83">
        <v>35.0</v>
      </c>
      <c r="P42" s="84" t="s">
        <v>26</v>
      </c>
      <c r="Q42" s="81">
        <v>9.0</v>
      </c>
      <c r="R42" s="123">
        <v>43592.0</v>
      </c>
      <c r="S42" s="81" t="s">
        <v>32</v>
      </c>
      <c r="T42" s="81" t="s">
        <v>252</v>
      </c>
    </row>
    <row r="43" hidden="1">
      <c r="A43" s="395" t="s">
        <v>102</v>
      </c>
      <c r="B43" s="76">
        <v>86.0</v>
      </c>
      <c r="C43" s="122">
        <v>35.0</v>
      </c>
      <c r="D43" s="78">
        <v>2.8</v>
      </c>
      <c r="E43" s="144">
        <v>62.0</v>
      </c>
      <c r="F43" s="373">
        <v>33.0</v>
      </c>
      <c r="G43" s="81" t="s">
        <v>30</v>
      </c>
      <c r="H43" s="82" t="s">
        <v>74</v>
      </c>
      <c r="I43" s="81">
        <v>0.12</v>
      </c>
      <c r="J43" s="211">
        <v>399.0</v>
      </c>
      <c r="K43" s="88" t="str">
        <f t="shared" ref="K43:K44" si="2">HYPERLINK("https://amzn.to/2MGKrxp","link*")</f>
        <v>link*</v>
      </c>
      <c r="L43" s="88" t="str">
        <f>HYPERLINK("https://www.bhphotovideo.com/c/product/1348365-REG/samyang_syio35af_e_35mm_f2_8_compact_wide.html/BI/19619/KBID/12129/DFF/d10-v21-t1-x832776/SID/EZ","link*")</f>
        <v>link*</v>
      </c>
      <c r="M43" s="89" t="s">
        <v>33</v>
      </c>
      <c r="N43"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43" s="83">
        <v>35.0</v>
      </c>
      <c r="P43" s="84" t="s">
        <v>26</v>
      </c>
      <c r="Q43" s="81">
        <v>9.0</v>
      </c>
      <c r="R43" s="123">
        <v>43623.0</v>
      </c>
      <c r="S43" s="81" t="s">
        <v>46</v>
      </c>
      <c r="T43" s="81" t="s">
        <v>253</v>
      </c>
    </row>
    <row r="44" hidden="1">
      <c r="A44" s="152" t="str">
        <f>HYPERLINK("https://phillipreeve.net/blog/voigtlander-40mm-f1-2-nokton-aspherical-rolling-review/","Voigtlander 40mm F1.2 Nokton")</f>
        <v>Voigtlander 40mm F1.2 Nokton</v>
      </c>
      <c r="B44" s="76">
        <v>420.0</v>
      </c>
      <c r="C44" s="122">
        <v>40.0</v>
      </c>
      <c r="D44" s="392">
        <v>1.2</v>
      </c>
      <c r="E44" s="144">
        <v>70.0</v>
      </c>
      <c r="F44" s="373">
        <v>59.0</v>
      </c>
      <c r="G44" s="400" t="s">
        <v>24</v>
      </c>
      <c r="H44" s="82" t="s">
        <v>47</v>
      </c>
      <c r="I44" s="81">
        <v>0.16</v>
      </c>
      <c r="J44" s="87">
        <v>1099.0</v>
      </c>
      <c r="K44" s="88" t="str">
        <f t="shared" si="2"/>
        <v>link*</v>
      </c>
      <c r="L44" s="88" t="str">
        <f>HYPERLINK("https://www.bhphotovideo.com/c/product/1362557-REG/voigtlander_nokton_40mm_f_1_2_aspherical.html/BI/19619/KBID/12129/DFF/d10-v21-t1-x851241/SID/EZ","link*")</f>
        <v>link*</v>
      </c>
      <c r="M44" s="89" t="s">
        <v>33</v>
      </c>
      <c r="N44"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44" s="83">
        <v>35.0</v>
      </c>
      <c r="P44" s="84" t="s">
        <v>26</v>
      </c>
      <c r="Q44" s="81">
        <v>10.0</v>
      </c>
      <c r="R44" s="123">
        <v>43624.0</v>
      </c>
      <c r="S44" s="81" t="s">
        <v>28</v>
      </c>
      <c r="T44" s="81" t="s">
        <v>254</v>
      </c>
    </row>
    <row r="45" hidden="1">
      <c r="A45" s="152" t="str">
        <f>HYPERLINK("https://phillipreeve.net/blog/review-sigma-40mm-1-4-art/","Sigma Art 1.4/40")</f>
        <v>Sigma Art 1.4/40</v>
      </c>
      <c r="B45" s="76">
        <v>1200.0</v>
      </c>
      <c r="C45" s="122">
        <v>40.0</v>
      </c>
      <c r="D45" s="78">
        <v>1.4</v>
      </c>
      <c r="E45" s="144">
        <v>88.0</v>
      </c>
      <c r="F45" s="374">
        <v>157.0</v>
      </c>
      <c r="G45" s="81" t="s">
        <v>30</v>
      </c>
      <c r="H45" s="198" t="s">
        <v>51</v>
      </c>
      <c r="I45" s="81">
        <v>0.15</v>
      </c>
      <c r="J45" s="87">
        <v>1399.0</v>
      </c>
      <c r="K45" s="88" t="str">
        <f>HYPERLINK("https://amzn.to/2SYXFXq","link*")</f>
        <v>link*</v>
      </c>
      <c r="L45" s="88" t="str">
        <f>HYPERLINK("https://www.bhphotovideo.com/c/product/1436292-REG/sigma_40mm_f_1_4_dg_hsm.html/BI/19619/KBID/12129/DFF/d10-v21-t1-x925196/SID/EZ","link*")</f>
        <v>link*</v>
      </c>
      <c r="M45" s="89" t="s">
        <v>33</v>
      </c>
      <c r="N45"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45" s="83">
        <v>40.0</v>
      </c>
      <c r="P45" s="84" t="s">
        <v>26</v>
      </c>
      <c r="Q45" s="81">
        <v>9.0</v>
      </c>
      <c r="R45" s="123">
        <v>43815.0</v>
      </c>
      <c r="S45" s="81" t="s">
        <v>41</v>
      </c>
      <c r="T45" s="346"/>
      <c r="U45" s="68" t="s">
        <v>42</v>
      </c>
    </row>
    <row r="46" hidden="1">
      <c r="A46" s="152" t="str">
        <f>HYPERLINK("https://phillipreeve.net/blog/review-zeiss-batis-2-40-cf/","Zeiss Batis 2/40 CF T*")</f>
        <v>Zeiss Batis 2/40 CF T*</v>
      </c>
      <c r="B46" s="76">
        <v>361.0</v>
      </c>
      <c r="C46" s="122">
        <v>40.0</v>
      </c>
      <c r="D46" s="78">
        <v>2.0</v>
      </c>
      <c r="E46" s="144">
        <v>91.0</v>
      </c>
      <c r="F46" s="374">
        <v>93.0</v>
      </c>
      <c r="G46" s="81" t="s">
        <v>30</v>
      </c>
      <c r="H46" s="82" t="s">
        <v>53</v>
      </c>
      <c r="I46" s="185">
        <v>0.3</v>
      </c>
      <c r="J46" s="87">
        <v>1299.0</v>
      </c>
      <c r="K46" s="88" t="str">
        <f>HYPERLINK("https://amzn.to/2LUN0MF","link*")</f>
        <v>link*</v>
      </c>
      <c r="L46" s="88" t="str">
        <f>HYPERLINK("https://www.bhphotovideo.com/c/product/1436738-REG/zeiss_000000_2239_137_batis_40mm_f_2_cf.html/BI/19619/KBID/12129/DFF/d10-v21-t1-x915694/SID/EZ","link*")</f>
        <v>link*</v>
      </c>
      <c r="M46" s="89" t="s">
        <v>33</v>
      </c>
      <c r="N46"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46" s="83">
        <v>24.0</v>
      </c>
      <c r="P46" s="84" t="s">
        <v>26</v>
      </c>
      <c r="Q46" s="81">
        <v>9.0</v>
      </c>
      <c r="R46" s="123">
        <v>43686.0</v>
      </c>
      <c r="S46" s="81" t="s">
        <v>58</v>
      </c>
      <c r="T46" s="346"/>
      <c r="U46" s="68" t="s">
        <v>228</v>
      </c>
    </row>
    <row r="47" hidden="1">
      <c r="A47" s="402" t="s">
        <v>106</v>
      </c>
      <c r="B47" s="76">
        <v>162.0</v>
      </c>
      <c r="C47" s="122">
        <v>45.0</v>
      </c>
      <c r="D47" s="78">
        <v>1.8</v>
      </c>
      <c r="E47" s="144">
        <v>62.0</v>
      </c>
      <c r="F47" s="374">
        <v>56.0</v>
      </c>
      <c r="G47" s="81" t="s">
        <v>30</v>
      </c>
      <c r="H47" s="82" t="s">
        <v>74</v>
      </c>
      <c r="I47" s="81">
        <v>0.12</v>
      </c>
      <c r="J47" s="129">
        <v>399.0</v>
      </c>
      <c r="K47" s="88" t="str">
        <f>HYPERLINK("https://amzn.to/2YC6MST","link*")</f>
        <v>link*</v>
      </c>
      <c r="L47" s="88" t="str">
        <f>HYPERLINK("https://www.bhphotovideo.com/c/product/1478738-REG/samyang_af_45mm_f_1_8_fe.html/BI/19619/KBID/12129/DFF/d10-v21-t1-x964329/SID/EZ","link*")</f>
        <v>link*</v>
      </c>
      <c r="M47" s="89" t="s">
        <v>33</v>
      </c>
      <c r="N47"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47" s="83">
        <v>45.0</v>
      </c>
      <c r="P47" s="84" t="s">
        <v>26</v>
      </c>
      <c r="Q47" s="81">
        <v>9.0</v>
      </c>
      <c r="R47" s="123">
        <v>43623.0</v>
      </c>
      <c r="S47" s="81" t="s">
        <v>46</v>
      </c>
      <c r="T47" s="346"/>
    </row>
    <row r="48" hidden="1">
      <c r="A48" s="402" t="s">
        <v>107</v>
      </c>
      <c r="B48" s="76">
        <v>215.0</v>
      </c>
      <c r="C48" s="122">
        <v>45.0</v>
      </c>
      <c r="D48" s="78">
        <v>2.8</v>
      </c>
      <c r="E48" s="144">
        <v>64.0</v>
      </c>
      <c r="F48" s="373">
        <v>46.0</v>
      </c>
      <c r="G48" s="81" t="s">
        <v>30</v>
      </c>
      <c r="H48" s="82" t="s">
        <v>90</v>
      </c>
      <c r="I48" s="140">
        <v>0.25</v>
      </c>
      <c r="J48" s="87">
        <v>549.0</v>
      </c>
      <c r="K48" s="88" t="str">
        <f>HYPERLINK("https://amzn.to/2SYEvAX","link*")</f>
        <v>link*</v>
      </c>
      <c r="L48" s="88" t="str">
        <f>HYPERLINK("https://www.bhphotovideo.com/c/product/1492966-REG/sigma_360965_45mm_f_2_8_dg_dn.html/BI/19619/KBID/12129/DFF/d10-v21-t1-x976020/SID/EZ","link*")</f>
        <v>link*</v>
      </c>
      <c r="M48" s="89" t="s">
        <v>33</v>
      </c>
      <c r="N48" s="88"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48" s="83">
        <v>24.0</v>
      </c>
      <c r="P48" s="84" t="s">
        <v>26</v>
      </c>
      <c r="Q48" s="81">
        <v>7.0</v>
      </c>
      <c r="R48" s="123">
        <v>43654.0</v>
      </c>
      <c r="S48" s="81" t="s">
        <v>41</v>
      </c>
      <c r="T48" s="81" t="s">
        <v>243</v>
      </c>
    </row>
    <row r="49" hidden="1">
      <c r="A49" s="152" t="str">
        <f>HYPERLINK("https://phillipreeve.net/blog/review-voigtlander-50mm-1-2-nokton-e/","Voigtlander 50mm F1.2 Nokton")</f>
        <v>Voigtlander 50mm F1.2 Nokton</v>
      </c>
      <c r="B49" s="76">
        <v>440.0</v>
      </c>
      <c r="C49" s="122">
        <v>50.0</v>
      </c>
      <c r="D49" s="392">
        <v>1.2</v>
      </c>
      <c r="E49" s="144">
        <v>70.0</v>
      </c>
      <c r="F49" s="373">
        <v>58.0</v>
      </c>
      <c r="G49" s="400" t="s">
        <v>24</v>
      </c>
      <c r="H49" s="82" t="s">
        <v>47</v>
      </c>
      <c r="I49" s="346"/>
      <c r="J49" s="87">
        <v>1099.0</v>
      </c>
      <c r="K49" s="88" t="str">
        <f>HYPERLINK("https://amzn.to/2OAfE7N","link*")</f>
        <v>link*</v>
      </c>
      <c r="L49" s="88" t="str">
        <f>HYPERLINK("https://www.bhphotovideo.com/c/product/1433349-REG/voigtlander_ba348a_nokton_50mm_f_1_2_aspherical.html/BI/19619/KBID/12129/DFF/d10-v21-t1-x915623/SID/EZ","link*")</f>
        <v>link*</v>
      </c>
      <c r="M49" s="89" t="s">
        <v>33</v>
      </c>
      <c r="N49"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49" s="83">
        <v>45.0</v>
      </c>
      <c r="P49" s="84" t="s">
        <v>26</v>
      </c>
      <c r="Q49" s="81">
        <v>12.0</v>
      </c>
      <c r="R49" s="123">
        <v>43624.0</v>
      </c>
      <c r="S49" s="81" t="s">
        <v>28</v>
      </c>
      <c r="T49" s="81" t="s">
        <v>255</v>
      </c>
    </row>
    <row r="50" hidden="1">
      <c r="A50" s="395" t="s">
        <v>109</v>
      </c>
      <c r="B50" s="76">
        <v>778.0</v>
      </c>
      <c r="C50" s="122">
        <v>50.0</v>
      </c>
      <c r="D50" s="78">
        <v>1.4</v>
      </c>
      <c r="E50" s="144">
        <v>84.0</v>
      </c>
      <c r="F50" s="373">
        <v>108.0</v>
      </c>
      <c r="G50" s="81" t="s">
        <v>30</v>
      </c>
      <c r="H50" s="82" t="s">
        <v>48</v>
      </c>
      <c r="I50" s="81">
        <v>0.15</v>
      </c>
      <c r="J50" s="87">
        <v>1499.0</v>
      </c>
      <c r="K50" s="88" t="str">
        <f>HYPERLINK("https://amzn.to/2K88EL7","link*")</f>
        <v>link*</v>
      </c>
      <c r="L50" s="89" t="s">
        <v>33</v>
      </c>
      <c r="M50" s="89" t="s">
        <v>33</v>
      </c>
      <c r="N50"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50" s="83">
        <v>45.0</v>
      </c>
      <c r="P50" s="84" t="s">
        <v>26</v>
      </c>
      <c r="Q50" s="81">
        <v>11.0</v>
      </c>
      <c r="R50" s="123">
        <v>43720.0</v>
      </c>
      <c r="S50" s="81" t="s">
        <v>32</v>
      </c>
      <c r="T50" s="346"/>
    </row>
    <row r="51" hidden="1">
      <c r="A51" s="395" t="s">
        <v>110</v>
      </c>
      <c r="B51" s="76">
        <v>815.0</v>
      </c>
      <c r="C51" s="122">
        <v>50.0</v>
      </c>
      <c r="D51" s="78">
        <v>1.4</v>
      </c>
      <c r="E51" s="144">
        <v>85.0</v>
      </c>
      <c r="F51" s="373">
        <v>100.0</v>
      </c>
      <c r="G51" s="81" t="s">
        <v>30</v>
      </c>
      <c r="H51" s="82" t="s">
        <v>56</v>
      </c>
      <c r="I51" s="81">
        <v>0.18</v>
      </c>
      <c r="J51" s="87">
        <v>949.0</v>
      </c>
      <c r="K51" s="88" t="str">
        <f>HYPERLINK("https://amzn.to/2K4JmyT","link*")</f>
        <v>link*</v>
      </c>
      <c r="L51" s="88" t="str">
        <f>HYPERLINK("https://www.bhphotovideo.com/c/product/1393493-REG/sigma_50mm_f_1_4_dg_hsm.html/BI/19619/KBID/12129/kw/SI5014SO/DFF/d10-v2-t1-xSI5014SO","link*")</f>
        <v>link*</v>
      </c>
      <c r="M51" s="88" t="str">
        <f>HYPERLINK("https://amzn.to/2Wpdoz5","link*")</f>
        <v>link*</v>
      </c>
      <c r="N51" s="88"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51" s="83">
        <v>40.0</v>
      </c>
      <c r="P51" s="84" t="s">
        <v>26</v>
      </c>
      <c r="Q51" s="81">
        <v>9.0</v>
      </c>
      <c r="R51" s="403"/>
      <c r="S51" s="81" t="s">
        <v>41</v>
      </c>
      <c r="T51" s="346"/>
      <c r="U51" s="68" t="s">
        <v>42</v>
      </c>
    </row>
    <row r="52" hidden="1">
      <c r="A52" s="395" t="s">
        <v>111</v>
      </c>
      <c r="B52" s="76">
        <v>585.0</v>
      </c>
      <c r="C52" s="122">
        <v>50.0</v>
      </c>
      <c r="D52" s="78">
        <v>1.4</v>
      </c>
      <c r="E52" s="144">
        <v>74.0</v>
      </c>
      <c r="F52" s="373">
        <v>98.0</v>
      </c>
      <c r="G52" s="81" t="s">
        <v>30</v>
      </c>
      <c r="H52" s="82" t="s">
        <v>53</v>
      </c>
      <c r="I52" s="81">
        <v>0.15</v>
      </c>
      <c r="J52" s="87">
        <v>699.0</v>
      </c>
      <c r="K52" s="88" t="str">
        <f>HYPERLINK("https://amzn.to/2SY1Pyr","link*")</f>
        <v>link*</v>
      </c>
      <c r="L52" s="88" t="str">
        <f>HYPERLINK("https://www.bhphotovideo.com/c/product/1352862-REG/samyang_syio50af_e_50mm_f_1_4_auto_focus.html/BI/19619/KBID/12129/DFF/d10-v21-t1-x837927/SID/EZ","link*")</f>
        <v>link*</v>
      </c>
      <c r="M52" s="89" t="s">
        <v>33</v>
      </c>
      <c r="N52"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52" s="83">
        <v>45.0</v>
      </c>
      <c r="P52" s="84" t="s">
        <v>26</v>
      </c>
      <c r="Q52" s="81">
        <v>9.0</v>
      </c>
      <c r="R52" s="123">
        <v>43686.0</v>
      </c>
      <c r="S52" s="81" t="s">
        <v>46</v>
      </c>
      <c r="T52" s="346"/>
    </row>
    <row r="53" hidden="1">
      <c r="A53" s="152" t="str">
        <f>HYPERLINK("https://phillipreeve.net/blog/review-sony-fe-1-850/","Sony 50mm F1.8")</f>
        <v>Sony 50mm F1.8</v>
      </c>
      <c r="B53" s="76">
        <v>186.0</v>
      </c>
      <c r="C53" s="122">
        <v>50.0</v>
      </c>
      <c r="D53" s="78">
        <v>1.8</v>
      </c>
      <c r="E53" s="144">
        <v>69.0</v>
      </c>
      <c r="F53" s="373">
        <v>60.0</v>
      </c>
      <c r="G53" s="81" t="s">
        <v>30</v>
      </c>
      <c r="H53" s="82" t="s">
        <v>74</v>
      </c>
      <c r="I53" s="81">
        <v>0.14</v>
      </c>
      <c r="J53" s="153">
        <v>249.0</v>
      </c>
      <c r="K53" s="88" t="str">
        <f>HYPERLINK("http://amzn.to/2v2F5Se","link*")</f>
        <v>link*</v>
      </c>
      <c r="L53" s="88" t="str">
        <f>HYPERLINK("https://www.bhphotovideo.com/c/product/1242613-REG/sony_sel50f18f_fe_50mm_f_1_8_lens.html/BI/19619/KBID/12129/kw/SO5018F/DFF/d10-v2-t1-xSO5018F","link*")</f>
        <v>link*</v>
      </c>
      <c r="M53" s="88" t="str">
        <f>HYPERLINK("http://amzn.to/2wyHB25","link*")</f>
        <v>link*</v>
      </c>
      <c r="N53"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53" s="83">
        <v>45.0</v>
      </c>
      <c r="P53" s="84" t="s">
        <v>26</v>
      </c>
      <c r="Q53" s="81">
        <v>7.0</v>
      </c>
      <c r="R53" s="123">
        <v>43591.0</v>
      </c>
      <c r="S53" s="81" t="s">
        <v>32</v>
      </c>
      <c r="T53" s="81" t="s">
        <v>256</v>
      </c>
    </row>
    <row r="54" hidden="1">
      <c r="A54" s="152" t="str">
        <f>HYPERLINK("https://phillipreeve.net/blog/review-zeiss-loxia-planar-250-t/","Zeiss Loxia 50mm F2")</f>
        <v>Zeiss Loxia 50mm F2</v>
      </c>
      <c r="B54" s="76">
        <v>320.0</v>
      </c>
      <c r="C54" s="122">
        <v>50.0</v>
      </c>
      <c r="D54" s="78">
        <v>2.0</v>
      </c>
      <c r="E54" s="144">
        <v>62.0</v>
      </c>
      <c r="F54" s="373">
        <v>60.0</v>
      </c>
      <c r="G54" s="400" t="s">
        <v>24</v>
      </c>
      <c r="H54" s="82" t="s">
        <v>71</v>
      </c>
      <c r="I54" s="81">
        <v>0.15</v>
      </c>
      <c r="J54" s="87">
        <v>949.0</v>
      </c>
      <c r="K54" s="88" t="str">
        <f>HYPERLINK("http://amzn.to/2faVsIu","link*")</f>
        <v>link*</v>
      </c>
      <c r="L54" s="88" t="str">
        <f>HYPERLINK("https://www.bhphotovideo.com/c/product/1080387-REG/zeiss_2103_748_loxia_50mm_f_2_planar.html/BI/19619/KBID/12129/kw/ZE502LFE/DFF/d10-v2-t1-xZE502LFE","link*")</f>
        <v>link*</v>
      </c>
      <c r="M54" s="88" t="str">
        <f>HYPERLINK("http://amzn.to/2wyJAU4","link*")</f>
        <v>link*</v>
      </c>
      <c r="N54"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54" s="83">
        <v>45.0</v>
      </c>
      <c r="P54" s="84" t="s">
        <v>26</v>
      </c>
      <c r="Q54" s="81">
        <v>10.0</v>
      </c>
      <c r="R54" s="123">
        <v>43561.0</v>
      </c>
      <c r="S54" s="81" t="s">
        <v>58</v>
      </c>
      <c r="T54" s="346"/>
      <c r="U54" s="68" t="s">
        <v>101</v>
      </c>
    </row>
    <row r="55" hidden="1">
      <c r="A55" s="234" t="str">
        <f>HYPERLINK("https://phillipreeve.net/blog/review-voigtlander-10mm-5-6-e-hyper-wide-heliar/","Voigtlander 10mm F5.6 Hyper Wide ")</f>
        <v>Voigtlander 10mm F5.6 Hyper Wide </v>
      </c>
      <c r="B55" s="187">
        <v>375.0</v>
      </c>
      <c r="C55" s="404">
        <v>10.0</v>
      </c>
      <c r="D55" s="405">
        <v>5.6</v>
      </c>
      <c r="E55" s="406">
        <v>67.0</v>
      </c>
      <c r="F55" s="407" t="s">
        <v>23</v>
      </c>
      <c r="G55" s="408" t="s">
        <v>24</v>
      </c>
      <c r="H55" s="164" t="s">
        <v>25</v>
      </c>
      <c r="I55" s="164">
        <v>0.067</v>
      </c>
      <c r="J55" s="239">
        <v>1099.0</v>
      </c>
      <c r="K55" s="172" t="str">
        <f>HYPERLINK("https://amzn.to/2jJ8WxH","link*")</f>
        <v>link*</v>
      </c>
      <c r="L55" s="172" t="str">
        <f>HYPERLINK("https://www.bhphotovideo.com/c/product/1219550-REG/voigtlander_ba334b_heliar_hyper_wide_10mm_f_5_6.html/BI/19619/KBID/12129/DFF/d10-v21-t1-x732282/SID/EZ","link*")</f>
        <v>link*</v>
      </c>
      <c r="M55" s="172" t="str">
        <f>HYPERLINK("https://amzn.to/2jG72hr","link*")</f>
        <v>link*</v>
      </c>
      <c r="N55" s="172"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55" s="166">
        <v>30.0</v>
      </c>
      <c r="P55" s="163" t="s">
        <v>26</v>
      </c>
      <c r="Q55" s="164">
        <v>10.0</v>
      </c>
      <c r="R55" s="409" t="s">
        <v>27</v>
      </c>
      <c r="S55" s="168" t="s">
        <v>28</v>
      </c>
      <c r="T55" s="410">
        <v>42552.0</v>
      </c>
      <c r="U55" s="411" t="s">
        <v>225</v>
      </c>
    </row>
    <row r="56" hidden="1">
      <c r="A56" s="152" t="str">
        <f>HYPERLINK("https://phillipreeve.net/blog/sony-fe-1-855-za-sonnar-t-review/","Sony ZA 55mm F1.8 Sonnar")</f>
        <v>Sony ZA 55mm F1.8 Sonnar</v>
      </c>
      <c r="B56" s="76">
        <v>281.0</v>
      </c>
      <c r="C56" s="122">
        <v>55.0</v>
      </c>
      <c r="D56" s="78">
        <v>1.8</v>
      </c>
      <c r="E56" s="144">
        <v>64.0</v>
      </c>
      <c r="F56" s="373">
        <v>71.0</v>
      </c>
      <c r="G56" s="81" t="s">
        <v>30</v>
      </c>
      <c r="H56" s="82" t="s">
        <v>74</v>
      </c>
      <c r="I56" s="81">
        <v>0.14</v>
      </c>
      <c r="J56" s="87">
        <v>999.0</v>
      </c>
      <c r="K56" s="88" t="str">
        <f>HYPERLINK("https://amzn.to/2ywdgEk","link*")</f>
        <v>link*</v>
      </c>
      <c r="L56" s="88" t="str">
        <f>HYPERLINK("https://www.bhphotovideo.com/c/product/1008124-REG/sony_sel55f18z_sonnar_t_fe_55mm.html/BI/19619/KBID/12129/DFF/d10-v21-t1-x466841/SID/EZ","link*")</f>
        <v>link*</v>
      </c>
      <c r="M56" s="89" t="s">
        <v>33</v>
      </c>
      <c r="N56"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56" s="83">
        <v>50.0</v>
      </c>
      <c r="P56" s="84" t="s">
        <v>26</v>
      </c>
      <c r="Q56" s="81">
        <v>9.0</v>
      </c>
      <c r="R56" s="123">
        <v>43592.0</v>
      </c>
      <c r="S56" s="81" t="s">
        <v>32</v>
      </c>
      <c r="T56" s="81" t="s">
        <v>249</v>
      </c>
    </row>
    <row r="57" hidden="1">
      <c r="A57" s="412" t="s">
        <v>29</v>
      </c>
      <c r="B57" s="413">
        <v>565.0</v>
      </c>
      <c r="C57" s="414">
        <v>12.0</v>
      </c>
      <c r="D57" s="415">
        <v>4.0</v>
      </c>
      <c r="E57" s="416">
        <v>87.0</v>
      </c>
      <c r="F57" s="417">
        <v>117.0</v>
      </c>
      <c r="G57" s="418" t="s">
        <v>30</v>
      </c>
      <c r="H57" s="419" t="s">
        <v>25</v>
      </c>
      <c r="I57" s="419">
        <v>0.14</v>
      </c>
      <c r="J57" s="420">
        <v>1699.0</v>
      </c>
      <c r="K57" s="421" t="str">
        <f>HYPERLINK("https://amzn.to/2SSzKc4","link*")</f>
        <v>link*</v>
      </c>
      <c r="L57" s="421" t="str">
        <f>HYPERLINK("https://www.bhphotovideo.com/c/product/1338517-REG/sony_sel1224g_fe_12_24mm_f_4_g.html/BI/19619/KBID/12129/DFF/d10-v21-t1-x822838/SID/EZ","link*")</f>
        <v>link*</v>
      </c>
      <c r="M57" s="421" t="str">
        <f>HYPERLINK("https://amzn.to/2Kg94zb","link*")</f>
        <v>link*</v>
      </c>
      <c r="N57" s="421"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57" s="422">
        <v>24.0</v>
      </c>
      <c r="P57" s="418" t="s">
        <v>26</v>
      </c>
      <c r="Q57" s="419">
        <v>7.0</v>
      </c>
      <c r="R57" s="423" t="s">
        <v>31</v>
      </c>
      <c r="S57" s="424" t="s">
        <v>32</v>
      </c>
      <c r="T57" s="425">
        <v>42856.0</v>
      </c>
      <c r="U57" s="173"/>
    </row>
    <row r="58" hidden="1">
      <c r="A58" s="426" t="str">
        <f>HYPERLINK("https://phillipreeve.net/blog/review-voigtlander-12mm-5-6-aspherical-ultra-wide-heliar/","Voigtlander 12mm F5.6 Ultra Wide-Heliar Aspherical")</f>
        <v>Voigtlander 12mm F5.6 Ultra Wide-Heliar Aspherical</v>
      </c>
      <c r="B58" s="427">
        <v>350.0</v>
      </c>
      <c r="C58" s="414">
        <v>12.0</v>
      </c>
      <c r="D58" s="415">
        <v>5.6</v>
      </c>
      <c r="E58" s="428">
        <v>67.0</v>
      </c>
      <c r="F58" s="429">
        <v>68.0</v>
      </c>
      <c r="G58" s="430" t="s">
        <v>24</v>
      </c>
      <c r="H58" s="419" t="s">
        <v>25</v>
      </c>
      <c r="I58" s="424"/>
      <c r="J58" s="420">
        <v>749.0</v>
      </c>
      <c r="K58" s="424"/>
      <c r="L58" s="424"/>
      <c r="M58" s="424"/>
      <c r="N58" s="421"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58" s="422">
        <v>30.0</v>
      </c>
      <c r="P58" s="418" t="s">
        <v>26</v>
      </c>
      <c r="Q58" s="419">
        <v>10.0</v>
      </c>
      <c r="R58" s="423" t="s">
        <v>38</v>
      </c>
      <c r="S58" s="424" t="s">
        <v>28</v>
      </c>
      <c r="T58" s="425">
        <v>42583.0</v>
      </c>
      <c r="U58" s="431" t="s">
        <v>39</v>
      </c>
    </row>
    <row r="59" hidden="1">
      <c r="A59" s="395" t="s">
        <v>113</v>
      </c>
      <c r="B59" s="76">
        <v>1480.0</v>
      </c>
      <c r="C59" s="122">
        <v>70.0</v>
      </c>
      <c r="D59" s="78">
        <v>2.8</v>
      </c>
      <c r="E59" s="144">
        <v>88.0</v>
      </c>
      <c r="F59" s="373">
        <v>200.0</v>
      </c>
      <c r="G59" s="81" t="s">
        <v>30</v>
      </c>
      <c r="H59" s="82" t="s">
        <v>56</v>
      </c>
      <c r="I59" s="185">
        <v>0.25</v>
      </c>
      <c r="J59" s="87">
        <v>2599.0</v>
      </c>
      <c r="K59" s="88" t="str">
        <f>HYPERLINK("https://amzn.to/2KbaJGn","link*")</f>
        <v>link*</v>
      </c>
      <c r="L59" s="88" t="str">
        <f>HYPERLINK("https://www.bhphotovideo.com/c/product/1222776-REG/sony_sel70200gm_fe_70_200mm_f_2_8_gm.html/BI/19619/KBID/12129/DFF/d10-v21-t1-x746807/SID/EZ","link*")</f>
        <v>link*</v>
      </c>
      <c r="M59" s="89" t="s">
        <v>33</v>
      </c>
      <c r="N59"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59" s="83">
        <v>96.0</v>
      </c>
      <c r="P59" s="154" t="s">
        <v>49</v>
      </c>
      <c r="Q59" s="81">
        <v>11.0</v>
      </c>
      <c r="R59" s="85" t="s">
        <v>114</v>
      </c>
      <c r="S59" s="81" t="s">
        <v>32</v>
      </c>
      <c r="T59" s="81" t="s">
        <v>257</v>
      </c>
    </row>
    <row r="60" hidden="1">
      <c r="A60" s="395" t="s">
        <v>117</v>
      </c>
      <c r="B60" s="76">
        <v>854.0</v>
      </c>
      <c r="C60" s="122">
        <v>70.0</v>
      </c>
      <c r="D60" s="78" t="s">
        <v>118</v>
      </c>
      <c r="E60" s="144">
        <v>84.0</v>
      </c>
      <c r="F60" s="373">
        <v>144.0</v>
      </c>
      <c r="G60" s="81" t="s">
        <v>30</v>
      </c>
      <c r="H60" s="82" t="s">
        <v>48</v>
      </c>
      <c r="I60" s="140">
        <v>0.31</v>
      </c>
      <c r="J60" s="87">
        <v>1198.0</v>
      </c>
      <c r="K60" s="88" t="str">
        <f>HYPERLINK("https://amzn.to/2SVN1Ao","link*")</f>
        <v>link*</v>
      </c>
      <c r="L60" s="88" t="str">
        <f>HYPERLINK("https://www.bhphotovideo.com/c/product/1242614-REG/sony_sel70300g_fe_70_300mm_f_4_5_5_6_g.html/BI/19619/KBID/12129/DFF/d10-v21-t1-x722726/SID/EZ","link*")</f>
        <v>link*</v>
      </c>
      <c r="M60" s="89" t="s">
        <v>33</v>
      </c>
      <c r="N60"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60" s="83">
        <v>90.0</v>
      </c>
      <c r="P60" s="154" t="s">
        <v>49</v>
      </c>
      <c r="Q60" s="81">
        <v>9.0</v>
      </c>
      <c r="R60" s="403"/>
      <c r="S60" s="81" t="s">
        <v>32</v>
      </c>
      <c r="T60" s="81" t="s">
        <v>241</v>
      </c>
    </row>
    <row r="61" hidden="1">
      <c r="A61" s="152" t="str">
        <f>HYPERLINK("https://phillipreeve.net/blog/review-sony-fe-470-200-g-oss/https://phillipreeve.net/blog/review-sony-fe-470-200-g-oss/","Sony G 4/70-200 OSS")</f>
        <v>Sony G 4/70-200 OSS</v>
      </c>
      <c r="B61" s="76">
        <v>840.0</v>
      </c>
      <c r="C61" s="122">
        <v>70.0</v>
      </c>
      <c r="D61" s="78">
        <v>4.0</v>
      </c>
      <c r="E61" s="144">
        <v>80.0</v>
      </c>
      <c r="F61" s="373">
        <v>175.0</v>
      </c>
      <c r="G61" s="81" t="s">
        <v>30</v>
      </c>
      <c r="H61" s="82" t="s">
        <v>48</v>
      </c>
      <c r="I61" s="81">
        <v>0.18</v>
      </c>
      <c r="J61" s="87">
        <v>1498.0</v>
      </c>
      <c r="K61" s="88" t="str">
        <f>HYPERLINK("http://amzn.to/2fbeX3x","link*")</f>
        <v>link*</v>
      </c>
      <c r="L61" s="88" t="str">
        <f>HYPERLINK("https://www.bhphotovideo.com/c/product/1380865-REG/sony_fe_70_200mm_f_4_g.html/BI/19619/KBID/12129/kw/SO702004F/DFF/d10-v2-t1-xSO702004F","link*")</f>
        <v>link*</v>
      </c>
      <c r="M61" s="88" t="str">
        <f>HYPERLINK("http://amzn.to/2vbFQKj","link*")</f>
        <v>link*</v>
      </c>
      <c r="N61"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61" s="83">
        <v>100.0</v>
      </c>
      <c r="P61" s="154" t="s">
        <v>49</v>
      </c>
      <c r="Q61" s="81">
        <v>9.0</v>
      </c>
      <c r="R61" s="85" t="s">
        <v>121</v>
      </c>
      <c r="S61" s="81" t="s">
        <v>32</v>
      </c>
      <c r="T61" s="81" t="s">
        <v>253</v>
      </c>
    </row>
    <row r="62" hidden="1">
      <c r="A62" s="152" t="str">
        <f>HYPERLINK("https://phillipreeve.net/blog/review-sony-fe-85mm-1-4-gm/","Sony GM 1.4/85")</f>
        <v>Sony GM 1.4/85</v>
      </c>
      <c r="B62" s="76">
        <v>854.0</v>
      </c>
      <c r="C62" s="122">
        <v>85.0</v>
      </c>
      <c r="D62" s="78">
        <v>1.4</v>
      </c>
      <c r="E62" s="144">
        <v>84.0</v>
      </c>
      <c r="F62" s="373">
        <v>108.0</v>
      </c>
      <c r="G62" s="81" t="s">
        <v>30</v>
      </c>
      <c r="H62" s="82" t="s">
        <v>56</v>
      </c>
      <c r="I62" s="81">
        <v>0.12</v>
      </c>
      <c r="J62" s="87">
        <v>1799.0</v>
      </c>
      <c r="K62" s="88" t="str">
        <f>HYPERLINK("https://amzn.to/2SZeKAh","link*")</f>
        <v>link*</v>
      </c>
      <c r="L62" s="88" t="str">
        <f>HYPERLINK("https://www.bhphotovideo.com/c/product/1222775-REG/sony_sel85f14gm_fe_85mm_f_1_4_gm.html/BI/19619/KBID/12129/DFF/d10-v21-t1-x707644/SID/EZ","link*")</f>
        <v>link*</v>
      </c>
      <c r="M62" s="89" t="s">
        <v>33</v>
      </c>
      <c r="N62"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62" s="83">
        <v>80.0</v>
      </c>
      <c r="P62" s="84" t="s">
        <v>26</v>
      </c>
      <c r="Q62" s="81">
        <v>11.0</v>
      </c>
      <c r="R62" s="123">
        <v>43688.0</v>
      </c>
      <c r="S62" s="81" t="s">
        <v>32</v>
      </c>
      <c r="T62" s="81" t="s">
        <v>253</v>
      </c>
    </row>
    <row r="63" hidden="1">
      <c r="A63" s="395" t="s">
        <v>123</v>
      </c>
      <c r="B63" s="76">
        <v>1130.0</v>
      </c>
      <c r="C63" s="122">
        <v>85.0</v>
      </c>
      <c r="D63" s="78">
        <v>1.4</v>
      </c>
      <c r="E63" s="144">
        <v>95.0</v>
      </c>
      <c r="F63" s="373">
        <v>152.0</v>
      </c>
      <c r="G63" s="81" t="s">
        <v>30</v>
      </c>
      <c r="H63" s="232" t="s">
        <v>124</v>
      </c>
      <c r="I63" s="81">
        <v>0.12</v>
      </c>
      <c r="J63" s="87">
        <v>1199.0</v>
      </c>
      <c r="K63" s="88" t="str">
        <f>HYPERLINK("https://amzn.to/2MBd68k","link*")</f>
        <v>link*</v>
      </c>
      <c r="L63" s="88" t="str">
        <f>HYPERLINK("https://www.bhphotovideo.com/c/product/1393494-REG/sigma_85mm_f_1_4_dg_hsm.html/BI/19619/KBID/12129/kw/SI8514SO/DFF/d10-v2-t1-xSI8514SO","link*")</f>
        <v>link*</v>
      </c>
      <c r="M63" s="88" t="str">
        <f>HYPERLINK("https://amzn.to/2Wto6JH","link*")</f>
        <v>link*</v>
      </c>
      <c r="N63"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63" s="83">
        <v>85.0</v>
      </c>
      <c r="P63" s="84" t="s">
        <v>26</v>
      </c>
      <c r="Q63" s="81">
        <v>9.0</v>
      </c>
      <c r="R63" s="403"/>
      <c r="S63" s="81" t="s">
        <v>41</v>
      </c>
      <c r="T63" s="346"/>
      <c r="U63" s="68" t="s">
        <v>42</v>
      </c>
    </row>
    <row r="64" hidden="1">
      <c r="A64" s="395" t="s">
        <v>125</v>
      </c>
      <c r="B64" s="76">
        <v>568.0</v>
      </c>
      <c r="C64" s="122">
        <v>85.0</v>
      </c>
      <c r="D64" s="78">
        <v>1.4</v>
      </c>
      <c r="E64" s="144">
        <v>88.0</v>
      </c>
      <c r="F64" s="373">
        <v>100.0</v>
      </c>
      <c r="G64" s="81" t="s">
        <v>30</v>
      </c>
      <c r="H64" s="82" t="s">
        <v>56</v>
      </c>
      <c r="I64" s="81">
        <v>0.11</v>
      </c>
      <c r="J64" s="153">
        <v>699.0</v>
      </c>
      <c r="K64" s="88" t="str">
        <f>HYPERLINK("https://amzn.to/2T0yJ1A","link*")</f>
        <v>link*</v>
      </c>
      <c r="L64" s="88" t="str">
        <f>HYPERLINK("https://www.bhphotovideo.com/c/product/1470654-REG/samyang_syio85af_e_af_85mm_f_1_4_lens.html/BI/19619/KBID/12129/DFF/d10-v21-t1-x955078/SID/EZ","link*")</f>
        <v>link*</v>
      </c>
      <c r="M64" s="89" t="s">
        <v>33</v>
      </c>
      <c r="N64"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64" s="83">
        <v>90.0</v>
      </c>
      <c r="P64" s="84" t="s">
        <v>26</v>
      </c>
      <c r="Q64" s="81">
        <v>9.0</v>
      </c>
      <c r="R64" s="123">
        <v>43688.0</v>
      </c>
      <c r="S64" s="81" t="s">
        <v>32</v>
      </c>
      <c r="T64" s="346"/>
    </row>
    <row r="65" hidden="1">
      <c r="A65" s="152" t="str">
        <f>HYPERLINK("https://phillipreeve.net/blog/review-sony-fe-85-mm-1-8/","Sony FE 85mm f/1.8")</f>
        <v>Sony FE 85mm f/1.8</v>
      </c>
      <c r="B65" s="76">
        <v>371.0</v>
      </c>
      <c r="C65" s="122">
        <v>85.0</v>
      </c>
      <c r="D65" s="78">
        <v>1.8</v>
      </c>
      <c r="E65" s="144">
        <v>77.0</v>
      </c>
      <c r="F65" s="373">
        <v>82.0</v>
      </c>
      <c r="G65" s="81" t="s">
        <v>30</v>
      </c>
      <c r="H65" s="82" t="s">
        <v>53</v>
      </c>
      <c r="I65" s="81">
        <v>0.13</v>
      </c>
      <c r="J65" s="153">
        <v>599.0</v>
      </c>
      <c r="K65" s="88" t="str">
        <f>HYPERLINK("https://amzn.to/2YB4RxU","link*")</f>
        <v>link*</v>
      </c>
      <c r="L65" s="88" t="str">
        <f t="shared" ref="L65:L66" si="3">HYPERLINK("https://www.bhphotovideo.com/c/product/1140833-REG/zeiss_2103_751_85mm_f_1_8_batis_short.html/BI/19619/KBID/12129/DFF/d10-v21-t1-x627139/SID/EZ","link*")</f>
        <v>link*</v>
      </c>
      <c r="M65" s="89" t="s">
        <v>33</v>
      </c>
      <c r="N65"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65" s="83">
        <v>80.0</v>
      </c>
      <c r="P65" s="84" t="s">
        <v>26</v>
      </c>
      <c r="Q65" s="81">
        <v>9.0</v>
      </c>
      <c r="R65" s="123">
        <v>43686.0</v>
      </c>
      <c r="S65" s="81" t="s">
        <v>32</v>
      </c>
      <c r="T65" s="81" t="s">
        <v>258</v>
      </c>
    </row>
    <row r="66" hidden="1">
      <c r="A66" s="152" t="str">
        <f>HYPERLINK("https://phillipreeve.net/blog/zeiss-batis-sonnar-t-85mm-f1-8-a-review/","Zeiss Batis 1.8/85")</f>
        <v>Zeiss Batis 1.8/85</v>
      </c>
      <c r="B66" s="76">
        <v>475.0</v>
      </c>
      <c r="C66" s="122">
        <v>85.0</v>
      </c>
      <c r="D66" s="78">
        <v>1.8</v>
      </c>
      <c r="E66" s="144">
        <v>92.0</v>
      </c>
      <c r="F66" s="373">
        <v>81.0</v>
      </c>
      <c r="G66" s="81" t="s">
        <v>30</v>
      </c>
      <c r="H66" s="82" t="s">
        <v>53</v>
      </c>
      <c r="I66" s="81">
        <v>0.13</v>
      </c>
      <c r="J66" s="87">
        <v>1199.0</v>
      </c>
      <c r="K66" s="88" t="str">
        <f>HYPERLINK("https://amzn.to/2T8oWqt","link*")</f>
        <v>link*</v>
      </c>
      <c r="L66" s="88" t="str">
        <f t="shared" si="3"/>
        <v>link*</v>
      </c>
      <c r="M66" s="89" t="s">
        <v>33</v>
      </c>
      <c r="N66"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66" s="83">
        <v>80.0</v>
      </c>
      <c r="P66" s="154" t="s">
        <v>49</v>
      </c>
      <c r="Q66" s="81">
        <v>9.0</v>
      </c>
      <c r="R66" s="123">
        <v>43688.0</v>
      </c>
      <c r="S66" s="81" t="s">
        <v>58</v>
      </c>
      <c r="T66" s="346"/>
    </row>
    <row r="67" hidden="1">
      <c r="A67" s="395" t="s">
        <v>129</v>
      </c>
      <c r="B67" s="76">
        <v>665.0</v>
      </c>
      <c r="C67" s="122">
        <v>85.0</v>
      </c>
      <c r="D67" s="78">
        <v>1.8</v>
      </c>
      <c r="E67" s="144">
        <v>79.0</v>
      </c>
      <c r="F67" s="373">
        <v>92.0</v>
      </c>
      <c r="G67" s="400" t="s">
        <v>24</v>
      </c>
      <c r="H67" s="82" t="s">
        <v>48</v>
      </c>
      <c r="I67" s="81">
        <v>0.13</v>
      </c>
      <c r="J67" s="87">
        <v>299.0</v>
      </c>
      <c r="K67" s="88" t="str">
        <f>HYPERLINK("https://amzn.to/2LVVOBV","link*")</f>
        <v>link*</v>
      </c>
      <c r="L67" s="88" t="str">
        <f>HYPERLINK("https://www.bhphotovideo.com/c/product/1469189-REG/viltrox_pfu_rbmh_85mm_f1_8_e_mount_85mm_f_1_8_for_sony.html/BI/19619/KBID/12129/DFF/d10-v21-t1-x954301/SID/EZ","link*")</f>
        <v>link*</v>
      </c>
      <c r="M67" s="89" t="s">
        <v>33</v>
      </c>
      <c r="N67"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67" s="83">
        <v>80.0</v>
      </c>
      <c r="P67" s="84" t="s">
        <v>26</v>
      </c>
      <c r="Q67" s="81">
        <v>9.0</v>
      </c>
      <c r="R67" s="123">
        <v>43656.0</v>
      </c>
      <c r="S67" s="81" t="s">
        <v>63</v>
      </c>
      <c r="T67" s="346"/>
      <c r="U67" s="68" t="s">
        <v>236</v>
      </c>
    </row>
    <row r="68" hidden="1">
      <c r="A68" s="395" t="s">
        <v>229</v>
      </c>
      <c r="B68" s="76">
        <v>636.0</v>
      </c>
      <c r="C68" s="122">
        <v>85.0</v>
      </c>
      <c r="D68" s="78">
        <v>1.8</v>
      </c>
      <c r="E68" s="144">
        <v>79.0</v>
      </c>
      <c r="F68" s="373">
        <v>92.0</v>
      </c>
      <c r="G68" s="81" t="s">
        <v>30</v>
      </c>
      <c r="H68" s="82" t="s">
        <v>48</v>
      </c>
      <c r="I68" s="81">
        <v>0.13</v>
      </c>
      <c r="J68" s="87">
        <v>379.0</v>
      </c>
      <c r="K68" s="88" t="str">
        <f>HYPERLINK("https://amzn.to/2SZfd5v","link*")</f>
        <v>link*</v>
      </c>
      <c r="L68" s="88" t="str">
        <f>HYPERLINK("https://www.bhphotovideo.com/c/product/1470585-REG/viltrox_pfu_rbmh_85mm_f1_8_stm_e_mount_85mm_f_1_8_lens_for.html/BI/19619/KBID/12129/DFF/d10-v21-t1-x955239/SID/EZ","link*")</f>
        <v>link*</v>
      </c>
      <c r="M68" s="89" t="s">
        <v>33</v>
      </c>
      <c r="N68"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68" s="83">
        <v>80.0</v>
      </c>
      <c r="P68" s="84" t="s">
        <v>26</v>
      </c>
      <c r="Q68" s="81">
        <v>9.0</v>
      </c>
      <c r="R68" s="123">
        <v>43656.0</v>
      </c>
      <c r="S68" s="81" t="s">
        <v>63</v>
      </c>
      <c r="T68" s="346"/>
    </row>
    <row r="69" hidden="1">
      <c r="A69" s="152" t="str">
        <f>HYPERLINK("https://phillipreeve.net/blog/rolling-review-zeiss-loxia-85mm-2-4/","Zeiss Loxia 2.4/85")</f>
        <v>Zeiss Loxia 2.4/85</v>
      </c>
      <c r="B69" s="76">
        <v>594.0</v>
      </c>
      <c r="C69" s="122">
        <v>85.0</v>
      </c>
      <c r="D69" s="78">
        <v>2.4</v>
      </c>
      <c r="E69" s="144">
        <v>63.0</v>
      </c>
      <c r="F69" s="373">
        <v>95.0</v>
      </c>
      <c r="G69" s="400" t="s">
        <v>24</v>
      </c>
      <c r="H69" s="82" t="s">
        <v>71</v>
      </c>
      <c r="I69" s="81">
        <v>0.14</v>
      </c>
      <c r="J69" s="87">
        <v>1399.0</v>
      </c>
      <c r="K69" s="88" t="str">
        <f>HYPERLINK("https://amzn.to/2SY4PLd","link*")</f>
        <v>link*</v>
      </c>
      <c r="L69" s="88" t="str">
        <f>HYPERLINK("https://www.bhphotovideo.com/c/product/1282150-REG/zeiss_2162_636_loxia_85mm_f_2_4_lens.html/BI/19619/KBID/12129/DFF/d10-v21-t1-x762761/SID/EZ","link*")</f>
        <v>link*</v>
      </c>
      <c r="M69" s="89" t="s">
        <v>33</v>
      </c>
      <c r="N69"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69" s="83">
        <v>80.0</v>
      </c>
      <c r="P69" s="84" t="s">
        <v>26</v>
      </c>
      <c r="Q69" s="81">
        <v>10.0</v>
      </c>
      <c r="R69" s="123">
        <v>43653.0</v>
      </c>
      <c r="S69" s="81" t="s">
        <v>58</v>
      </c>
      <c r="T69" s="346"/>
    </row>
    <row r="70" hidden="1">
      <c r="A70" s="412" t="s">
        <v>40</v>
      </c>
      <c r="B70" s="432">
        <v>1170.0</v>
      </c>
      <c r="C70" s="433">
        <v>14.0</v>
      </c>
      <c r="D70" s="434">
        <v>1.8</v>
      </c>
      <c r="E70" s="435">
        <v>95.0</v>
      </c>
      <c r="F70" s="436">
        <v>126.0</v>
      </c>
      <c r="G70" s="424" t="s">
        <v>30</v>
      </c>
      <c r="H70" s="419" t="s">
        <v>25</v>
      </c>
      <c r="I70" s="419">
        <v>0.1</v>
      </c>
      <c r="J70" s="420">
        <v>1599.0</v>
      </c>
      <c r="K70" s="421" t="str">
        <f>HYPERLINK("https://amzn.to/2SOWTvV","link*")</f>
        <v>link*</v>
      </c>
      <c r="L70" s="421" t="str">
        <f>HYPERLINK("https://www.bhphotovideo.com/c/product/1393489-REG/sigma_14mm_f_1_8_dg_hsm.html/BI/19619/KBID/12129/DFF/d10-v21-t1-x881154/SID/EZ","link*")</f>
        <v>link*</v>
      </c>
      <c r="M70" s="421" t="str">
        <f>HYPERLINK("https://amzn.to/2ZDl4QJ","link*")</f>
        <v>link*</v>
      </c>
      <c r="N70" s="421"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70" s="422">
        <v>27.0</v>
      </c>
      <c r="P70" s="418" t="s">
        <v>26</v>
      </c>
      <c r="Q70" s="419">
        <v>9.0</v>
      </c>
      <c r="R70" s="437">
        <v>43785.0</v>
      </c>
      <c r="S70" s="424" t="s">
        <v>41</v>
      </c>
      <c r="T70" s="425">
        <v>43221.0</v>
      </c>
      <c r="U70" s="173" t="s">
        <v>42</v>
      </c>
    </row>
    <row r="71" hidden="1">
      <c r="A71" s="152" t="str">
        <f>HYPERLINK("https://phillipreeve.net/blog/review-sony-fe-100-f-2-8-stf-gm-oss-lens/","Sony GM 2.8/100 STF OSS")</f>
        <v>Sony GM 2.8/100 STF OSS</v>
      </c>
      <c r="B71" s="76">
        <v>700.0</v>
      </c>
      <c r="C71" s="122">
        <v>100.0</v>
      </c>
      <c r="D71" s="78">
        <v>2.8</v>
      </c>
      <c r="E71" s="144">
        <v>85.0</v>
      </c>
      <c r="F71" s="373">
        <v>118.0</v>
      </c>
      <c r="G71" s="81" t="s">
        <v>30</v>
      </c>
      <c r="H71" s="82" t="s">
        <v>48</v>
      </c>
      <c r="I71" s="185">
        <v>0.25</v>
      </c>
      <c r="J71" s="87">
        <v>1499.0</v>
      </c>
      <c r="K71" s="88" t="str">
        <f>HYPERLINK("https://amzn.to/2YD8rn4","link*")</f>
        <v>link*</v>
      </c>
      <c r="L71" s="88" t="str">
        <f>HYPERLINK("https://www.bhphotovideo.com/c/product/1317561-REG/sony_sel100f28gm_fe_100mm_f_2_8_stf.html/BI/19619/KBID/12129/DFF/d10-v21-t1-x795192/SID/EZ","link*")</f>
        <v>link*</v>
      </c>
      <c r="M71" s="89" t="s">
        <v>33</v>
      </c>
      <c r="N71"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71" s="83">
        <v>57.0</v>
      </c>
      <c r="P71" s="154" t="s">
        <v>49</v>
      </c>
      <c r="Q71" s="81">
        <v>11.0</v>
      </c>
      <c r="R71" s="123">
        <v>43752.0</v>
      </c>
      <c r="S71" s="81" t="s">
        <v>32</v>
      </c>
      <c r="T71" s="81" t="s">
        <v>258</v>
      </c>
      <c r="U71" s="68" t="s">
        <v>132</v>
      </c>
    </row>
    <row r="72" hidden="1">
      <c r="A72" s="438" t="s">
        <v>43</v>
      </c>
      <c r="B72" s="439">
        <v>795.0</v>
      </c>
      <c r="C72" s="433">
        <v>14.0</v>
      </c>
      <c r="D72" s="440">
        <v>2.8</v>
      </c>
      <c r="E72" s="441">
        <v>85.0</v>
      </c>
      <c r="F72" s="442">
        <v>131.0</v>
      </c>
      <c r="G72" s="424" t="s">
        <v>30</v>
      </c>
      <c r="H72" s="419" t="s">
        <v>25</v>
      </c>
      <c r="I72" s="419">
        <v>0.14</v>
      </c>
      <c r="J72" s="420">
        <v>1399.0</v>
      </c>
      <c r="K72" s="421" t="str">
        <f>HYPERLINK("https://amzn.to/2zt8rMC","link*")</f>
        <v>link*</v>
      </c>
      <c r="L72" s="421" t="str">
        <f>HYPERLINK("https://www.bhphotovideo.com/c/product/1492972-REG/sigma_213965_14_24mm_f_2_8_dg_dn.html/BI/19619/KBID/12129/DFF/d10-v21-t1-x976041/SID/EZ","link*")</f>
        <v>link*</v>
      </c>
      <c r="M72" s="424" t="s">
        <v>33</v>
      </c>
      <c r="N72" s="421"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72" s="422">
        <v>28.0</v>
      </c>
      <c r="P72" s="418" t="s">
        <v>26</v>
      </c>
      <c r="Q72" s="419">
        <v>11.0</v>
      </c>
      <c r="R72" s="437" t="s">
        <v>44</v>
      </c>
      <c r="S72" s="424" t="s">
        <v>41</v>
      </c>
      <c r="T72" s="425">
        <v>43739.0</v>
      </c>
      <c r="U72" s="431" t="s">
        <v>37</v>
      </c>
    </row>
    <row r="73" hidden="1">
      <c r="A73" s="395" t="s">
        <v>135</v>
      </c>
      <c r="B73" s="76">
        <v>1395.0</v>
      </c>
      <c r="C73" s="122">
        <v>100.0</v>
      </c>
      <c r="D73" s="78" t="s">
        <v>118</v>
      </c>
      <c r="E73" s="144">
        <v>94.0</v>
      </c>
      <c r="F73" s="374">
        <v>205.0</v>
      </c>
      <c r="G73" s="81" t="s">
        <v>30</v>
      </c>
      <c r="H73" s="82" t="s">
        <v>56</v>
      </c>
      <c r="I73" s="185">
        <v>0.35</v>
      </c>
      <c r="J73" s="87">
        <v>2499.0</v>
      </c>
      <c r="K73" s="88" t="str">
        <f>HYPERLINK("https://amzn.to/2SZ0aZO","link*")</f>
        <v>link*</v>
      </c>
      <c r="L73" s="88" t="str">
        <f>HYPERLINK("https://www.bhphotovideo.com/c/product/1333230-REG/sony_sel100400gm_fe_100_400mm_f_4_5_5_6_gm.html/BI/19619/KBID/12129/DFF/d10-v21-t1-x817745/SID/EZ","link*")</f>
        <v>link*</v>
      </c>
      <c r="M73" s="89" t="s">
        <v>33</v>
      </c>
      <c r="N73"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73" s="83">
        <v>98.0</v>
      </c>
      <c r="P73" s="154" t="s">
        <v>49</v>
      </c>
      <c r="Q73" s="81">
        <v>11.0</v>
      </c>
      <c r="R73" s="85" t="s">
        <v>134</v>
      </c>
      <c r="S73" s="81" t="s">
        <v>32</v>
      </c>
      <c r="T73" s="81" t="s">
        <v>259</v>
      </c>
    </row>
    <row r="74" hidden="1" customHeight="1">
      <c r="A74" s="395" t="s">
        <v>136</v>
      </c>
      <c r="B74" s="76">
        <v>1600.0</v>
      </c>
      <c r="C74" s="122">
        <v>105.0</v>
      </c>
      <c r="D74" s="78">
        <v>1.4</v>
      </c>
      <c r="E74" s="144">
        <v>116.0</v>
      </c>
      <c r="F74" s="374">
        <v>132.0</v>
      </c>
      <c r="G74" s="81" t="s">
        <v>30</v>
      </c>
      <c r="H74" s="384" t="s">
        <v>137</v>
      </c>
      <c r="I74" s="81">
        <v>0.12</v>
      </c>
      <c r="J74" s="87">
        <v>1599.0</v>
      </c>
      <c r="K74" s="88" t="str">
        <f>HYPERLINK("https://amzn.to/2EWeThZ","link*")</f>
        <v>link*</v>
      </c>
      <c r="L74" s="88" t="str">
        <f>HYPERLINK("https://www.bhphotovideo.com/c/product/1393488-REG/sigma_105mm_f_1_4_dg_hsm.html/BI/19619/KBID/12129/kw/SI10514SO/DFF/d10-v2-t1-xSI10514SO","link*")</f>
        <v>link*</v>
      </c>
      <c r="M74" s="88" t="str">
        <f>HYPERLINK("https://amzn.to/2WpOvTy","link*")</f>
        <v>link*</v>
      </c>
      <c r="N74"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74" s="83">
        <v>100.0</v>
      </c>
      <c r="P74" s="84" t="s">
        <v>26</v>
      </c>
      <c r="Q74" s="81">
        <v>9.0</v>
      </c>
      <c r="R74" s="123">
        <v>43816.0</v>
      </c>
      <c r="S74" s="81" t="s">
        <v>138</v>
      </c>
      <c r="T74" s="346"/>
      <c r="U74" s="68" t="s">
        <v>42</v>
      </c>
    </row>
    <row r="75" hidden="1">
      <c r="A75" s="412" t="s">
        <v>45</v>
      </c>
      <c r="B75" s="413">
        <v>505.0</v>
      </c>
      <c r="C75" s="433">
        <v>14.0</v>
      </c>
      <c r="D75" s="440">
        <v>2.8</v>
      </c>
      <c r="E75" s="443">
        <v>86.0</v>
      </c>
      <c r="F75" s="444">
        <v>98.0</v>
      </c>
      <c r="G75" s="424" t="s">
        <v>30</v>
      </c>
      <c r="H75" s="419" t="s">
        <v>25</v>
      </c>
      <c r="I75" s="419">
        <v>0.12</v>
      </c>
      <c r="J75" s="420">
        <v>799.0</v>
      </c>
      <c r="K75" s="421" t="str">
        <f>HYPERLINK("https://amzn.to/2SX2HUi","link*")</f>
        <v>link*</v>
      </c>
      <c r="L75" s="421" t="str">
        <f>HYPERLINK("https://www.bhphotovideo.com/c/product/1352863-REG/samyang_syio14af_e_14mm_f_2_8_f_f_wide.html/BI/19619/KBID/12129/DFF/d10-v21-t1-x837928/SID/EZ","link*")</f>
        <v>link*</v>
      </c>
      <c r="M75" s="421" t="str">
        <f>HYPERLINK("https://amzn.to/31hwSIL","link*")</f>
        <v>link*</v>
      </c>
      <c r="N75" s="421"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75" s="422">
        <v>20.0</v>
      </c>
      <c r="P75" s="418" t="s">
        <v>26</v>
      </c>
      <c r="Q75" s="419">
        <v>7.0</v>
      </c>
      <c r="R75" s="437">
        <v>43752.0</v>
      </c>
      <c r="S75" s="424" t="s">
        <v>46</v>
      </c>
      <c r="T75" s="425">
        <v>43221.0</v>
      </c>
      <c r="U75" s="173"/>
    </row>
    <row r="76" hidden="1">
      <c r="A76" s="152" t="str">
        <f>HYPERLINK("https://phillipreeve.net/blog/review-sony-fe-135mm-f1-8-gm/","Sony 1.8/135 GM")</f>
        <v>Sony 1.8/135 GM</v>
      </c>
      <c r="B76" s="76">
        <v>950.0</v>
      </c>
      <c r="C76" s="122">
        <v>135.0</v>
      </c>
      <c r="D76" s="78">
        <v>1.8</v>
      </c>
      <c r="E76" s="144">
        <v>90.0</v>
      </c>
      <c r="F76" s="373">
        <v>127.0</v>
      </c>
      <c r="G76" s="81" t="s">
        <v>30</v>
      </c>
      <c r="H76" s="270" t="s">
        <v>51</v>
      </c>
      <c r="I76" s="185">
        <v>0.25</v>
      </c>
      <c r="J76" s="87">
        <v>1899.0</v>
      </c>
      <c r="K76" s="88" t="str">
        <f>HYPERLINK("https://amzn.to/2WtonMJ","link*")</f>
        <v>link*</v>
      </c>
      <c r="L76" s="88" t="str">
        <f>HYPERLINK("https://www.bhphotovideo.com/c/product/1393495-REG/sigma_135mm_f_1_8_dg_hsm.html/BI/19619/KBID/12129/kw/SI13518SO/DFF/d10-v2-t1-xSI13518SO","link*")</f>
        <v>link*</v>
      </c>
      <c r="M76" s="88" t="str">
        <f>HYPERLINK("https://amzn.to/2Z9KKDE","link*")</f>
        <v>link*</v>
      </c>
      <c r="N76"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76" s="83">
        <v>70.0</v>
      </c>
      <c r="P76" s="84" t="s">
        <v>26</v>
      </c>
      <c r="Q76" s="81">
        <v>11.0</v>
      </c>
      <c r="R76" s="123">
        <v>43751.0</v>
      </c>
      <c r="S76" s="81" t="s">
        <v>32</v>
      </c>
      <c r="T76" s="346"/>
    </row>
    <row r="77" hidden="1">
      <c r="A77" s="395" t="s">
        <v>142</v>
      </c>
      <c r="B77" s="76">
        <v>1130.0</v>
      </c>
      <c r="C77" s="122">
        <v>135.0</v>
      </c>
      <c r="D77" s="78">
        <v>1.8</v>
      </c>
      <c r="E77" s="144">
        <v>91.0</v>
      </c>
      <c r="F77" s="373">
        <v>115.0</v>
      </c>
      <c r="G77" s="81" t="s">
        <v>30</v>
      </c>
      <c r="H77" s="270" t="s">
        <v>51</v>
      </c>
      <c r="I77" s="81">
        <v>0.2</v>
      </c>
      <c r="J77" s="129">
        <v>1399.0</v>
      </c>
      <c r="K77" s="88" t="str">
        <f>HYPERLINK("https://amzn.to/2yxIM4R","link*")</f>
        <v>link*</v>
      </c>
      <c r="L77" s="88" t="str">
        <f>HYPERLINK("https://www.bhphotovideo.com/c/product/1393495-REG/sigma_135mm_f_1_8_dg_hsm.html/BI/19619/KBID/12129/DFF/d10-v21-t1-x881160/SID/EZ","link*")</f>
        <v>link*</v>
      </c>
      <c r="M77" s="89" t="s">
        <v>33</v>
      </c>
      <c r="N77"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77" s="83">
        <v>87.0</v>
      </c>
      <c r="P77" s="84" t="s">
        <v>26</v>
      </c>
      <c r="Q77" s="81">
        <v>9.0</v>
      </c>
      <c r="R77" s="123">
        <v>43751.0</v>
      </c>
      <c r="S77" s="81" t="s">
        <v>41</v>
      </c>
      <c r="T77" s="346"/>
      <c r="U77" s="68" t="s">
        <v>42</v>
      </c>
    </row>
    <row r="78" hidden="1">
      <c r="A78" s="152" t="str">
        <f>HYPERLINK("https://phillipreeve.net/blog/zeiss-batis-apo-sonnar-t-135mm-f2-8/","Zeiss 2.8/135 APO")</f>
        <v>Zeiss 2.8/135 APO</v>
      </c>
      <c r="B78" s="76">
        <v>614.0</v>
      </c>
      <c r="C78" s="122">
        <v>135.0</v>
      </c>
      <c r="D78" s="78">
        <v>2.8</v>
      </c>
      <c r="E78" s="144">
        <v>99.0</v>
      </c>
      <c r="F78" s="373">
        <v>120.0</v>
      </c>
      <c r="G78" s="81" t="s">
        <v>30</v>
      </c>
      <c r="H78" s="82" t="s">
        <v>53</v>
      </c>
      <c r="I78" s="81">
        <v>0.19</v>
      </c>
      <c r="J78" s="87">
        <v>1699.0</v>
      </c>
      <c r="K78" s="88" t="str">
        <f>HYPERLINK("https://amzn.to/319GJA4","link*")</f>
        <v>link*</v>
      </c>
      <c r="L78" s="88" t="str">
        <f>HYPERLINK("https://www.bhphotovideo.com/c/product/1330083-REG/zeiss_2136_695_batis_135mm_f_2_8_lens.html/BI/19619/KBID/12129/DFF/d10-v21-t1-x814884/SID/EZ","link*")</f>
        <v>link*</v>
      </c>
      <c r="M78" s="89" t="s">
        <v>33</v>
      </c>
      <c r="N78"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78" s="83">
        <v>87.0</v>
      </c>
      <c r="P78" s="154" t="s">
        <v>49</v>
      </c>
      <c r="Q78" s="81">
        <v>9.0</v>
      </c>
      <c r="R78" s="123">
        <v>43783.0</v>
      </c>
      <c r="S78" s="81" t="s">
        <v>58</v>
      </c>
      <c r="T78" s="346"/>
    </row>
    <row r="79" hidden="1">
      <c r="A79" s="426" t="str">
        <f>HYPERLINK("https://phillipreeve.net/blog/review-voigtlander-15mm-4-5-e-super-wide-heliar/","Voigtlander 15mm F4.5 Super Wide Heliar")</f>
        <v>Voigtlander 15mm F4.5 Super Wide Heliar</v>
      </c>
      <c r="B79" s="427">
        <v>298.0</v>
      </c>
      <c r="C79" s="445">
        <v>15.0</v>
      </c>
      <c r="D79" s="415">
        <v>4.5</v>
      </c>
      <c r="E79" s="428">
        <v>67.0</v>
      </c>
      <c r="F79" s="446">
        <v>62.0</v>
      </c>
      <c r="G79" s="430" t="s">
        <v>24</v>
      </c>
      <c r="H79" s="419" t="s">
        <v>47</v>
      </c>
      <c r="I79" s="419">
        <v>0.083</v>
      </c>
      <c r="J79" s="420">
        <v>799.0</v>
      </c>
      <c r="K79" s="421" t="str">
        <f>HYPERLINK("https://amzn.to/2YwplrQ","link*")</f>
        <v>link*</v>
      </c>
      <c r="L79" s="421" t="str">
        <f>HYPERLINK("https://www.bhphotovideo.com/c/product/1219549-REG/voigtlander_ba329b_super_wide_heliar_15mm_f_4_5.html/BI/19619/KBID/12129/DFF/d10-v21-t1-x618202/SID/EZ","link*")</f>
        <v>link*</v>
      </c>
      <c r="M79" s="421" t="str">
        <f>HYPERLINK("https://amzn.to/2ZpTKt5","link*")</f>
        <v>link*</v>
      </c>
      <c r="N79" s="421"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79" s="422">
        <v>30.0</v>
      </c>
      <c r="P79" s="418" t="s">
        <v>26</v>
      </c>
      <c r="Q79" s="419">
        <v>10.0</v>
      </c>
      <c r="R79" s="423" t="s">
        <v>38</v>
      </c>
      <c r="S79" s="424" t="s">
        <v>28</v>
      </c>
      <c r="T79" s="425">
        <v>42401.0</v>
      </c>
      <c r="U79" s="173"/>
    </row>
    <row r="80" hidden="1">
      <c r="A80" s="426" t="str">
        <f>HYPERLINK("https://phillipreeve.net/blog/sony-fe-16-35mm-f4-za-t-review/","Sony ZA 4/16-35 OSS ")</f>
        <v>Sony ZA 4/16-35 OSS </v>
      </c>
      <c r="B80" s="413">
        <v>523.0</v>
      </c>
      <c r="C80" s="447">
        <v>16.0</v>
      </c>
      <c r="D80" s="415">
        <v>4.0</v>
      </c>
      <c r="E80" s="448">
        <v>78.0</v>
      </c>
      <c r="F80" s="444">
        <v>98.0</v>
      </c>
      <c r="G80" s="418" t="s">
        <v>30</v>
      </c>
      <c r="H80" s="419" t="s">
        <v>48</v>
      </c>
      <c r="I80" s="419">
        <v>0.19</v>
      </c>
      <c r="J80" s="420">
        <v>1349.0</v>
      </c>
      <c r="K80" s="421" t="str">
        <f>HYPERLINK("http://amzn.to/2v2sY7q","link*")</f>
        <v>link*</v>
      </c>
      <c r="L80" s="421" t="str">
        <f>HYPERLINK("https://www.bhphotovideo.com/c/product/1380866-REG/sony_16_35mm_f_4_vario_tsr.html/BI/19619/KBID/12129/kw/SO16354F/DFF/d10-v2-t1-xSO16354F","link*")</f>
        <v>link*</v>
      </c>
      <c r="M80" s="421" t="str">
        <f>HYPERLINK("http://amzn.to/2wyMLuP","link*")</f>
        <v>link*</v>
      </c>
      <c r="N80" s="421"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80" s="422">
        <v>28.0</v>
      </c>
      <c r="P80" s="449" t="s">
        <v>49</v>
      </c>
      <c r="Q80" s="419">
        <v>7.0</v>
      </c>
      <c r="R80" s="423" t="s">
        <v>38</v>
      </c>
      <c r="S80" s="424" t="s">
        <v>32</v>
      </c>
      <c r="T80" s="425">
        <v>41883.0</v>
      </c>
      <c r="U80" s="173"/>
    </row>
    <row r="81" hidden="1">
      <c r="A81" s="450" t="s">
        <v>150</v>
      </c>
      <c r="B81" s="213">
        <v>3040.0</v>
      </c>
      <c r="C81" s="451">
        <v>600.0</v>
      </c>
      <c r="D81" s="215">
        <v>4.0</v>
      </c>
      <c r="E81" s="144">
        <v>164.0</v>
      </c>
      <c r="F81" s="373">
        <v>449.0</v>
      </c>
      <c r="G81" s="218" t="s">
        <v>30</v>
      </c>
      <c r="H81" s="219" t="s">
        <v>25</v>
      </c>
      <c r="I81" s="218">
        <v>0.14</v>
      </c>
      <c r="J81" s="141" t="s">
        <v>230</v>
      </c>
      <c r="K81" s="89"/>
      <c r="L81" s="88" t="str">
        <f>HYPERLINK("https://www.bhphotovideo.com/c/product/1485539-REG/sony_sel600f40gm_fe_600mm_f_4_gm.html/BI/19619/KBID/12129/DFF/d10-v21-t1-x968881/SID/EZ","link*")</f>
        <v>link*</v>
      </c>
      <c r="M81" s="89" t="s">
        <v>33</v>
      </c>
      <c r="N81"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81" s="221">
        <v>451.0</v>
      </c>
      <c r="P81" s="154" t="s">
        <v>49</v>
      </c>
      <c r="Q81" s="218">
        <v>11.0</v>
      </c>
      <c r="R81" s="262" t="s">
        <v>151</v>
      </c>
      <c r="S81" s="218" t="s">
        <v>32</v>
      </c>
      <c r="T81" s="218" t="s">
        <v>260</v>
      </c>
    </row>
    <row r="82" hidden="1">
      <c r="A82" s="412" t="s">
        <v>50</v>
      </c>
      <c r="B82" s="439">
        <v>680.0</v>
      </c>
      <c r="C82" s="447">
        <v>16.0</v>
      </c>
      <c r="D82" s="440">
        <v>2.8</v>
      </c>
      <c r="E82" s="452">
        <v>89.0</v>
      </c>
      <c r="F82" s="453">
        <v>122.0</v>
      </c>
      <c r="G82" s="418" t="s">
        <v>30</v>
      </c>
      <c r="H82" s="419" t="s">
        <v>51</v>
      </c>
      <c r="I82" s="419">
        <v>0.19</v>
      </c>
      <c r="J82" s="420">
        <v>2199.0</v>
      </c>
      <c r="K82" s="454" t="str">
        <f>HYPERLINK("https://amzn.to/2SR0IRl","link*")</f>
        <v>link*</v>
      </c>
      <c r="L82" s="454" t="str">
        <f>HYPERLINK("https://www.bhphotovideo.com/c/product/1338516-REG/sony_sel1635gm_fe_16_35mm_f_2_8_gm.html/BI/19619/KBID/12129/DFF/d10-v21-t1-x822837/SID/EZ","link*")</f>
        <v>link*</v>
      </c>
      <c r="M82" s="454" t="str">
        <f>HYPERLINK("https://amzn.to/2T1ZxOU","link*")</f>
        <v>link*</v>
      </c>
      <c r="N82" s="454"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82" s="422">
        <v>28.0</v>
      </c>
      <c r="P82" s="418" t="s">
        <v>26</v>
      </c>
      <c r="Q82" s="419">
        <v>11.0</v>
      </c>
      <c r="R82" s="423" t="s">
        <v>52</v>
      </c>
      <c r="S82" s="424" t="s">
        <v>32</v>
      </c>
      <c r="T82" s="425">
        <v>42856.0</v>
      </c>
      <c r="U82" s="173"/>
    </row>
    <row r="83" hidden="1">
      <c r="A83" s="455" t="str">
        <f>HYPERLINK("https://phillipreeve.net/blog/review-tamron-17-28mm-f-2-8-di-iii-rxd/","Tamron 17-28mm f/2.8 Di III RXD")</f>
        <v>Tamron 17-28mm f/2.8 Di III RXD</v>
      </c>
      <c r="B83" s="413">
        <v>420.0</v>
      </c>
      <c r="C83" s="456">
        <v>17.0</v>
      </c>
      <c r="D83" s="440">
        <v>2.8</v>
      </c>
      <c r="E83" s="457">
        <v>73.0</v>
      </c>
      <c r="F83" s="458">
        <v>99.0</v>
      </c>
      <c r="G83" s="418" t="s">
        <v>30</v>
      </c>
      <c r="H83" s="419" t="s">
        <v>53</v>
      </c>
      <c r="I83" s="419">
        <v>0.19</v>
      </c>
      <c r="J83" s="459">
        <v>899.0</v>
      </c>
      <c r="K83" s="454" t="str">
        <f>HYPERLINK("https://amzn.to/2Hv3AyB","link*")</f>
        <v>link*</v>
      </c>
      <c r="L83" s="454" t="str">
        <f>HYPERLINK("https://www.bhphotovideo.com/c/product/1461529-REG/tamron_a046_17_28mm_f_2_8_di_iii.html/BI/19619/KBID/12129/DFF/d10-v21-t1-x946694/SID/EZ","link*")</f>
        <v>link*</v>
      </c>
      <c r="M83" s="454" t="str">
        <f>HYPERLINK("https://amzn.to/2YkrkQB","link*")</f>
        <v>link*</v>
      </c>
      <c r="N83" s="454"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83" s="422">
        <v>19.0</v>
      </c>
      <c r="P83" s="418" t="s">
        <v>26</v>
      </c>
      <c r="Q83" s="419">
        <v>9.0</v>
      </c>
      <c r="R83" s="423" t="s">
        <v>54</v>
      </c>
      <c r="S83" s="424" t="s">
        <v>55</v>
      </c>
      <c r="T83" s="425">
        <v>43647.0</v>
      </c>
      <c r="U83" s="173"/>
    </row>
    <row r="84" hidden="1">
      <c r="A84" s="426" t="str">
        <f>HYPERLINK("https://phillipreeve.net/blog/review-zeiss-batis-18mm-2-8/","Zeiss Batis 2.8/18")</f>
        <v>Zeiss Batis 2.8/18</v>
      </c>
      <c r="B84" s="427">
        <v>330.0</v>
      </c>
      <c r="C84" s="460">
        <v>18.0</v>
      </c>
      <c r="D84" s="440">
        <v>2.8</v>
      </c>
      <c r="E84" s="461">
        <v>100.0</v>
      </c>
      <c r="F84" s="462">
        <v>80.0</v>
      </c>
      <c r="G84" s="418" t="s">
        <v>30</v>
      </c>
      <c r="H84" s="419" t="s">
        <v>56</v>
      </c>
      <c r="I84" s="419">
        <v>0.1</v>
      </c>
      <c r="J84" s="420">
        <v>1499.0</v>
      </c>
      <c r="K84" s="454" t="str">
        <f>HYPERLINK("https://amzn.to/2SRFBhL","link*")</f>
        <v>link*</v>
      </c>
      <c r="L84" s="454" t="str">
        <f>HYPERLINK("https://www.bhphotovideo.com/c/product/1243591-REG/zeiss_2136_691_batis_18mm_f_2_8_lens.html/BI/19619/KBID/12129/DFF/d10-v21-t1-x727488/SID/EZ","link*")</f>
        <v>link*</v>
      </c>
      <c r="M84" s="454" t="str">
        <f>HYPERLINK("https://amzn.to/334PqNT","link*")</f>
        <v>link*</v>
      </c>
      <c r="N84" s="454"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84" s="422">
        <v>25.0</v>
      </c>
      <c r="P84" s="418" t="s">
        <v>26</v>
      </c>
      <c r="Q84" s="419">
        <v>9.0</v>
      </c>
      <c r="R84" s="423" t="s">
        <v>57</v>
      </c>
      <c r="S84" s="424" t="s">
        <v>58</v>
      </c>
      <c r="T84" s="425">
        <v>42491.0</v>
      </c>
      <c r="U84" s="173"/>
    </row>
    <row r="85" hidden="1">
      <c r="A85" s="438" t="s">
        <v>59</v>
      </c>
      <c r="B85" s="463">
        <v>145.0</v>
      </c>
      <c r="C85" s="460">
        <v>18.0</v>
      </c>
      <c r="D85" s="440">
        <v>2.8</v>
      </c>
      <c r="E85" s="464">
        <v>63.5</v>
      </c>
      <c r="F85" s="465">
        <v>60.5</v>
      </c>
      <c r="G85" s="418" t="s">
        <v>30</v>
      </c>
      <c r="H85" s="419" t="s">
        <v>47</v>
      </c>
      <c r="I85" s="419">
        <v>0.09</v>
      </c>
      <c r="J85" s="420">
        <v>399.0</v>
      </c>
      <c r="K85" s="466"/>
      <c r="L85" s="454" t="str">
        <f>HYPERLINK("https://www.bhphotovideo.com/c/product/1503295-REG/samyang_syio18af_e_af_18mm_f_2_8_fe.html/BI/19619/KBID/12129/DFF/d10-v21-t1-x985623/SID/EZ","link*")</f>
        <v>link*</v>
      </c>
      <c r="M85" s="466"/>
      <c r="N85" s="466"/>
      <c r="O85" s="422">
        <v>25.0</v>
      </c>
      <c r="P85" s="418" t="s">
        <v>26</v>
      </c>
      <c r="Q85" s="419">
        <v>7.0</v>
      </c>
      <c r="R85" s="423" t="s">
        <v>60</v>
      </c>
      <c r="S85" s="424" t="s">
        <v>46</v>
      </c>
      <c r="T85" s="425">
        <v>43723.0</v>
      </c>
      <c r="U85" s="173"/>
    </row>
    <row r="86" hidden="1">
      <c r="A86" s="412" t="s">
        <v>61</v>
      </c>
      <c r="B86" s="432">
        <v>950.0</v>
      </c>
      <c r="C86" s="467">
        <v>20.0</v>
      </c>
      <c r="D86" s="468">
        <v>1.4</v>
      </c>
      <c r="E86" s="469">
        <v>91.0</v>
      </c>
      <c r="F86" s="470">
        <v>130.0</v>
      </c>
      <c r="G86" s="424" t="s">
        <v>30</v>
      </c>
      <c r="H86" s="419" t="s">
        <v>25</v>
      </c>
      <c r="I86" s="419">
        <v>0.14</v>
      </c>
      <c r="J86" s="420">
        <v>899.0</v>
      </c>
      <c r="K86" s="454" t="str">
        <f>HYPERLINK("https://amzn.to/2K4J7nh","link*")</f>
        <v>link*</v>
      </c>
      <c r="L86" s="454" t="str">
        <f>HYPERLINK("https://amzn.to/31hxv55","link*")</f>
        <v>link*</v>
      </c>
      <c r="M86" s="454" t="str">
        <f>HYPERLINK("https://amzn.to/2Wy0d3F","link*")</f>
        <v>link*</v>
      </c>
      <c r="N86" s="454"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86" s="422">
        <v>28.0</v>
      </c>
      <c r="P86" s="418" t="s">
        <v>26</v>
      </c>
      <c r="Q86" s="419">
        <v>9.0</v>
      </c>
      <c r="R86" s="437">
        <v>43784.0</v>
      </c>
      <c r="S86" s="424" t="s">
        <v>41</v>
      </c>
      <c r="T86" s="425">
        <v>43221.0</v>
      </c>
      <c r="U86" s="173" t="s">
        <v>42</v>
      </c>
    </row>
    <row r="87" hidden="1">
      <c r="A87" s="471" t="s">
        <v>62</v>
      </c>
      <c r="B87" s="439">
        <v>775.0</v>
      </c>
      <c r="C87" s="467">
        <v>20.0</v>
      </c>
      <c r="D87" s="434">
        <v>1.8</v>
      </c>
      <c r="E87" s="472">
        <v>77.0</v>
      </c>
      <c r="F87" s="473">
        <v>102.0</v>
      </c>
      <c r="G87" s="474" t="s">
        <v>24</v>
      </c>
      <c r="H87" s="419" t="s">
        <v>51</v>
      </c>
      <c r="I87" s="419">
        <v>0.12</v>
      </c>
      <c r="J87" s="420">
        <v>486.0</v>
      </c>
      <c r="K87" s="454" t="str">
        <f>HYPERLINK("https://amzn.to/2LRRbJ5","link*")</f>
        <v>link*</v>
      </c>
      <c r="L87" s="454" t="str">
        <f>HYPERLINK("https://www.bhphotovideo.com/c/product/1469187-REG/viltrox_pfu_rbmh_20mm_f1_8_asph_e_mount_20mm_f_1_8_for_sony.html/BI/19619/KBID/12129/DFF/d10-v21-t1-x954299/SID/EZ","link*")</f>
        <v>link*</v>
      </c>
      <c r="M87" s="454" t="str">
        <f>HYPERLINK("https://amzn.to/2GL8iYV","link*")</f>
        <v>link*</v>
      </c>
      <c r="N87" s="454"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87" s="422">
        <v>25.0</v>
      </c>
      <c r="P87" s="418" t="s">
        <v>26</v>
      </c>
      <c r="Q87" s="419">
        <v>14.0</v>
      </c>
      <c r="R87" s="437">
        <v>43720.0</v>
      </c>
      <c r="S87" s="424" t="s">
        <v>63</v>
      </c>
      <c r="T87" s="425">
        <v>43586.0</v>
      </c>
      <c r="U87" s="173"/>
    </row>
    <row r="88" hidden="1">
      <c r="A88" s="426" t="str">
        <f>HYPERLINK("https://phillipreeve.net/blog/tokina-firin-20mm-f2-fe-review-a-good-deal/","Tokina Firin 2/20")</f>
        <v>Tokina Firin 2/20</v>
      </c>
      <c r="B88" s="413">
        <v>492.0</v>
      </c>
      <c r="C88" s="467">
        <v>20.0</v>
      </c>
      <c r="D88" s="475">
        <v>2.0</v>
      </c>
      <c r="E88" s="476">
        <v>69.0</v>
      </c>
      <c r="F88" s="477">
        <v>82.0</v>
      </c>
      <c r="G88" s="430" t="s">
        <v>24</v>
      </c>
      <c r="H88" s="419" t="s">
        <v>66</v>
      </c>
      <c r="I88" s="419">
        <v>0.1</v>
      </c>
      <c r="J88" s="478">
        <v>799.0</v>
      </c>
      <c r="K88" s="454" t="str">
        <f>HYPERLINK("http://amzn.to/2vlG2Yq","link*")</f>
        <v>link*</v>
      </c>
      <c r="L88" s="454" t="str">
        <f>HYPERLINK("https://www.bhphotovideo.com/c/product/1281299-REG/tokina_firin_20mm_f_2_fe.html/BI/19619/KBID/12129/kw/TO202E/DFF/d10-v2-t1-xTO202E","link*")</f>
        <v>link*</v>
      </c>
      <c r="M88" s="454" t="str">
        <f>HYPERLINK("http://amzn.to/2vvtDkM","link*")</f>
        <v>link*</v>
      </c>
      <c r="N88" s="454"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88" s="422">
        <v>30.0</v>
      </c>
      <c r="P88" s="418" t="s">
        <v>26</v>
      </c>
      <c r="Q88" s="419">
        <v>9.0</v>
      </c>
      <c r="R88" s="423" t="s">
        <v>54</v>
      </c>
      <c r="S88" s="424" t="s">
        <v>67</v>
      </c>
      <c r="T88" s="425">
        <v>42856.0</v>
      </c>
      <c r="U88" s="173"/>
    </row>
    <row r="89" hidden="1">
      <c r="A89" s="412" t="s">
        <v>68</v>
      </c>
      <c r="B89" s="413">
        <v>464.0</v>
      </c>
      <c r="C89" s="467">
        <v>20.0</v>
      </c>
      <c r="D89" s="475">
        <v>2.0</v>
      </c>
      <c r="E89" s="479">
        <v>73.0</v>
      </c>
      <c r="F89" s="477">
        <v>82.0</v>
      </c>
      <c r="G89" s="418" t="s">
        <v>30</v>
      </c>
      <c r="H89" s="419" t="s">
        <v>66</v>
      </c>
      <c r="I89" s="419">
        <v>0.1</v>
      </c>
      <c r="J89" s="420">
        <v>949.0</v>
      </c>
      <c r="K89" s="454" t="str">
        <f>HYPERLINK("https://amzn.to/2GDurZb","link*")</f>
        <v>link*</v>
      </c>
      <c r="L89" s="454" t="str">
        <f>HYPERLINK("https://www.bhphotovideo.com/c/product/1393327-REG/tokina_firin_20mm_f_2_fe.html/BI/19619/KBID/12129/DFF/d10-v21-t1-x880327/SID/EZ","link*")</f>
        <v>link*</v>
      </c>
      <c r="M89" s="454" t="str">
        <f>HYPERLINK("https://amzn.to/2GJYCxw","link*")</f>
        <v>link*</v>
      </c>
      <c r="N89" s="454"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89" s="422">
        <v>30.0</v>
      </c>
      <c r="P89" s="418" t="s">
        <v>26</v>
      </c>
      <c r="Q89" s="419">
        <v>9.0</v>
      </c>
      <c r="R89" s="423" t="s">
        <v>54</v>
      </c>
      <c r="S89" s="424" t="s">
        <v>67</v>
      </c>
      <c r="T89" s="425">
        <v>43221.0</v>
      </c>
      <c r="U89" s="173"/>
    </row>
    <row r="90" hidden="1">
      <c r="A90" s="455" t="str">
        <f>HYPERLINK("https://phillipreeve.net/blog/review_voigtlander_21mm_f14_e/","Voigtlander 21mm F1.4 Nokton")</f>
        <v>Voigtlander 21mm F1.4 Nokton</v>
      </c>
      <c r="B90" s="413">
        <v>540.0</v>
      </c>
      <c r="C90" s="480">
        <v>21.0</v>
      </c>
      <c r="D90" s="468">
        <v>1.4</v>
      </c>
      <c r="E90" s="481">
        <v>70.0</v>
      </c>
      <c r="F90" s="462">
        <v>80.0</v>
      </c>
      <c r="G90" s="430" t="s">
        <v>24</v>
      </c>
      <c r="H90" s="419" t="s">
        <v>66</v>
      </c>
      <c r="I90" s="424"/>
      <c r="J90" s="420">
        <v>1199.0</v>
      </c>
      <c r="K90" s="454" t="str">
        <f>HYPERLINK("https://amzn.to/2K7gHrC","link*")</f>
        <v>link*</v>
      </c>
      <c r="L90" s="454" t="str">
        <f>HYPERLINK("https://www.bhphotovideo.com/c/product/1480269-REG/voigtlander_ba352a_nokton_21mm_f_1_4_aspherical.html/BI/19619/KBID/12129/DFF/d10-v21-t1-x963269/SID/EZ","link*")</f>
        <v>link*</v>
      </c>
      <c r="M90" s="466"/>
      <c r="N90" s="454"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90" s="422">
        <v>25.0</v>
      </c>
      <c r="P90" s="418" t="s">
        <v>26</v>
      </c>
      <c r="Q90" s="419">
        <v>12.0</v>
      </c>
      <c r="R90" s="423" t="s">
        <v>54</v>
      </c>
      <c r="S90" s="424" t="s">
        <v>28</v>
      </c>
      <c r="T90" s="425">
        <v>43617.0</v>
      </c>
      <c r="U90" s="173"/>
    </row>
    <row r="91" hidden="1">
      <c r="A91" s="426" t="str">
        <f>HYPERLINK("https://phillipreeve.net/blog/rolling-review-zeiss-loxia-distagon-2-821mm-t/https://phillipreeve.net/blog/rolling-review-zeiss-loxia-distagon-2-821mm-t/","Zeiss Loxia 2.8/21 Distagon T*")</f>
        <v>Zeiss Loxia 2.8/21 Distagon T*</v>
      </c>
      <c r="B91" s="427">
        <v>394.0</v>
      </c>
      <c r="C91" s="480">
        <v>21.0</v>
      </c>
      <c r="D91" s="440">
        <v>2.8</v>
      </c>
      <c r="E91" s="482">
        <v>62.0</v>
      </c>
      <c r="F91" s="483">
        <v>72.0</v>
      </c>
      <c r="G91" s="430" t="s">
        <v>24</v>
      </c>
      <c r="H91" s="419" t="s">
        <v>71</v>
      </c>
      <c r="I91" s="419">
        <v>0.13</v>
      </c>
      <c r="J91" s="420">
        <v>1499.0</v>
      </c>
      <c r="K91" s="454" t="str">
        <f>HYPERLINK("https://amzn.to/2yspzBm","link*")</f>
        <v>link*</v>
      </c>
      <c r="L91" s="454" t="str">
        <f>HYPERLINK("https://www.bhphotovideo.com/c/product/1189220-REG/zeiss_2131_999_loxia_21mm_f_2_8_lens.html/BI/19619/KBID/12129/DFF/d10-v21-t1-x677077/SID/EZ","link*")</f>
        <v>link*</v>
      </c>
      <c r="M91" s="454" t="str">
        <f>HYPERLINK("https://amzn.to/2GHSOoA","link*")</f>
        <v>link*</v>
      </c>
      <c r="N91" s="454"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91" s="422">
        <v>25.0</v>
      </c>
      <c r="P91" s="418" t="s">
        <v>26</v>
      </c>
      <c r="Q91" s="419">
        <v>10.0</v>
      </c>
      <c r="R91" s="423" t="s">
        <v>72</v>
      </c>
      <c r="S91" s="424" t="s">
        <v>58</v>
      </c>
      <c r="T91" s="425">
        <v>42339.0</v>
      </c>
      <c r="U91" s="173"/>
    </row>
    <row r="92" hidden="1">
      <c r="A92" s="426" t="str">
        <f>HYPERLINK("https://phillipreeve.net/blog/voigtlander-21mm-f35-review/","Voigtlander 21mm F3.5 Color-Skopar")</f>
        <v>Voigtlander 21mm F3.5 Color-Skopar</v>
      </c>
      <c r="B92" s="427">
        <v>230.0</v>
      </c>
      <c r="C92" s="480">
        <v>21.0</v>
      </c>
      <c r="D92" s="484">
        <v>3.5</v>
      </c>
      <c r="E92" s="482">
        <v>63.0</v>
      </c>
      <c r="F92" s="485">
        <v>40.0</v>
      </c>
      <c r="G92" s="430" t="s">
        <v>24</v>
      </c>
      <c r="H92" s="419" t="s">
        <v>71</v>
      </c>
      <c r="I92" s="424"/>
      <c r="J92" s="420">
        <v>699.0</v>
      </c>
      <c r="K92" s="454" t="str">
        <f>HYPERLINK("https://amzn.to/2JCie75","link*")</f>
        <v>link*</v>
      </c>
      <c r="L92" s="454" t="str">
        <f>HYPERLINK("https://www.bhphotovideo.com/c/product/1437613-REG/voigtlander_color_skopar_21mm_f_3_5_aspherical.html/BI/19619/KBID/12129/kw/VO2135E/DFF/d10-v2-t1-xVO2135E","link*")</f>
        <v>link*</v>
      </c>
      <c r="M92" s="454" t="str">
        <f>HYPERLINK("https://amzn.to/2ZoERan","link*")</f>
        <v>link*</v>
      </c>
      <c r="N92" s="454"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92" s="422">
        <v>20.0</v>
      </c>
      <c r="P92" s="418" t="s">
        <v>26</v>
      </c>
      <c r="Q92" s="419">
        <v>10.0</v>
      </c>
      <c r="R92" s="423" t="s">
        <v>60</v>
      </c>
      <c r="S92" s="424" t="s">
        <v>28</v>
      </c>
      <c r="T92" s="425">
        <v>43374.0</v>
      </c>
      <c r="U92" s="173"/>
    </row>
    <row r="93" hidden="1">
      <c r="A93" s="426" t="str">
        <f>HYPERLINK("https://phillipreeve.net/blog/review-sony-fe-24mm-1-4-gm/","Sony GM 1.4/24")</f>
        <v>Sony GM 1.4/24</v>
      </c>
      <c r="B93" s="413">
        <v>445.0</v>
      </c>
      <c r="C93" s="486">
        <v>24.0</v>
      </c>
      <c r="D93" s="468">
        <v>1.4</v>
      </c>
      <c r="E93" s="487">
        <v>75.0</v>
      </c>
      <c r="F93" s="488">
        <v>92.0</v>
      </c>
      <c r="G93" s="418" t="s">
        <v>30</v>
      </c>
      <c r="H93" s="419" t="s">
        <v>53</v>
      </c>
      <c r="I93" s="419">
        <v>0.17</v>
      </c>
      <c r="J93" s="420">
        <v>1399.0</v>
      </c>
      <c r="K93" s="454" t="str">
        <f>HYPERLINK("https://amzn.to/2ywcbw1","link*")</f>
        <v>link*</v>
      </c>
      <c r="L93" s="454" t="str">
        <f>HYPERLINK("https://www.bhphotovideo.com/c/product/1435887-REG/sony_fe_24mm_f_1_4_gm.html/BI/19619/KBID/12129/DFF/d10-v21-t1-x915647/SID/EZ","link*")</f>
        <v>link*</v>
      </c>
      <c r="M93" s="454" t="str">
        <f>HYPERLINK("https://amzn.to/2L2tV9y","link*")</f>
        <v>link*</v>
      </c>
      <c r="N93" s="454" t="str">
        <f>HYPERLINK("https://amzn.to/338yg28","link*")</f>
        <v>link*</v>
      </c>
      <c r="O93" s="422">
        <v>25.0</v>
      </c>
      <c r="P93" s="418" t="s">
        <v>26</v>
      </c>
      <c r="Q93" s="419">
        <v>11.0</v>
      </c>
      <c r="R93" s="423" t="s">
        <v>27</v>
      </c>
      <c r="S93" s="424" t="s">
        <v>32</v>
      </c>
      <c r="T93" s="425">
        <v>43374.0</v>
      </c>
      <c r="U93" s="173"/>
    </row>
    <row r="94" hidden="1">
      <c r="A94" s="412" t="s">
        <v>73</v>
      </c>
      <c r="B94" s="439">
        <v>665.0</v>
      </c>
      <c r="C94" s="486">
        <v>24.0</v>
      </c>
      <c r="D94" s="468">
        <v>1.4</v>
      </c>
      <c r="E94" s="489">
        <v>85.0</v>
      </c>
      <c r="F94" s="490">
        <v>90.0</v>
      </c>
      <c r="G94" s="424" t="s">
        <v>30</v>
      </c>
      <c r="H94" s="419" t="s">
        <v>56</v>
      </c>
      <c r="I94" s="419">
        <v>0.19</v>
      </c>
      <c r="J94" s="420">
        <v>849.0</v>
      </c>
      <c r="K94" s="454" t="str">
        <f>HYPERLINK("https://amzn.to/2Isw2Rv","link*")</f>
        <v>link*</v>
      </c>
      <c r="L94" s="454" t="str">
        <f>HYPERLINK("https://www.bhphotovideo.com/c/product/1393491-REG/sigma_24mm_f_1_4_dg_hsm.html/BI/19619/KBID/12129/kw/SI2414SO/DFF/d10-v2-t1-xSI2414SO","link*")</f>
        <v>link*</v>
      </c>
      <c r="M94" s="454" t="str">
        <f>HYPERLINK("https://amzn.to/2K7sIP4","link*")</f>
        <v>link*</v>
      </c>
      <c r="N94" s="454"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94" s="422">
        <v>25.0</v>
      </c>
      <c r="P94" s="418" t="s">
        <v>26</v>
      </c>
      <c r="Q94" s="419">
        <v>9.0</v>
      </c>
      <c r="R94" s="437">
        <v>43784.0</v>
      </c>
      <c r="S94" s="424" t="s">
        <v>41</v>
      </c>
      <c r="T94" s="425">
        <v>43221.0</v>
      </c>
      <c r="U94" s="173" t="s">
        <v>42</v>
      </c>
    </row>
    <row r="95" hidden="1">
      <c r="A95" s="426" t="str">
        <f>HYPERLINK("https://phillipreeve.net/blog/review-samyang-af-2-4-28-fe-at-least-its-small/","Samyang AF 24mm F/2.8")</f>
        <v>Samyang AF 24mm F/2.8</v>
      </c>
      <c r="B95" s="463">
        <v>93.0</v>
      </c>
      <c r="C95" s="486">
        <v>24.0</v>
      </c>
      <c r="D95" s="440">
        <v>2.8</v>
      </c>
      <c r="E95" s="482">
        <v>61.0</v>
      </c>
      <c r="F95" s="491">
        <v>37.0</v>
      </c>
      <c r="G95" s="418" t="s">
        <v>30</v>
      </c>
      <c r="H95" s="419" t="s">
        <v>74</v>
      </c>
      <c r="I95" s="419">
        <v>0.15</v>
      </c>
      <c r="J95" s="478">
        <v>279.0</v>
      </c>
      <c r="K95" s="454" t="str">
        <f>HYPERLINK("https://amzn.to/2NEHZ7c","link*")</f>
        <v>link*</v>
      </c>
      <c r="L95" s="454" t="str">
        <f>HYPERLINK("https://www.bhphotovideo.com/c/product/1413350-REG/samyang_syio24af_e_af_24mm_f_2_8_fe.html/BI/19619/KBID/12129/kw/SASYIO24AFE/DFF/d10-v2-t1-xSASYIO24AFE","link*")</f>
        <v>link*</v>
      </c>
      <c r="M95" s="454" t="str">
        <f>HYPERLINK("https://amzn.to/2Onv1QE","link*")</f>
        <v>link*</v>
      </c>
      <c r="N95" s="454"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95" s="422">
        <v>20.0</v>
      </c>
      <c r="P95" s="418" t="s">
        <v>26</v>
      </c>
      <c r="Q95" s="419">
        <v>9.0</v>
      </c>
      <c r="R95" s="423" t="s">
        <v>75</v>
      </c>
      <c r="S95" s="424" t="s">
        <v>46</v>
      </c>
      <c r="T95" s="425">
        <v>43282.0</v>
      </c>
      <c r="U95" s="173"/>
    </row>
    <row r="96" hidden="1">
      <c r="A96" s="492" t="str">
        <f>HYPERLINK("https://phillipreeve.net/blog/review-sony-fe-2-824-70mm-gm/","Sony GM 2.8/24-70")</f>
        <v>Sony GM 2.8/24-70</v>
      </c>
      <c r="B96" s="439">
        <v>886.0</v>
      </c>
      <c r="C96" s="486">
        <v>24.0</v>
      </c>
      <c r="D96" s="440">
        <v>2.8</v>
      </c>
      <c r="E96" s="493">
        <v>88.0</v>
      </c>
      <c r="F96" s="494">
        <v>136.0</v>
      </c>
      <c r="G96" s="418" t="s">
        <v>30</v>
      </c>
      <c r="H96" s="419" t="s">
        <v>51</v>
      </c>
      <c r="I96" s="495">
        <v>0.25</v>
      </c>
      <c r="J96" s="420">
        <v>2199.0</v>
      </c>
      <c r="K96" s="454" t="str">
        <f>HYPERLINK("https://amzn.to/2STHavK","link*")</f>
        <v>link*</v>
      </c>
      <c r="L96" s="454" t="str">
        <f>HYPERLINK("https://www.bhphotovideo.com/c/search?Ntt=gm%2024-70&amp;N=0&amp;InitialSearch=yes&amp;sts=ma&amp;Top+Nav-Search=&amp;BI=19619&amp;KBID=12129&amp;KWID=EZ","link*")</f>
        <v>link*</v>
      </c>
      <c r="M96" s="454" t="str">
        <f>HYPERLINK("https://amzn.to/2ZwoyU7","link*")</f>
        <v>link*</v>
      </c>
      <c r="N96" s="454"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96" s="422">
        <v>38.0</v>
      </c>
      <c r="P96" s="418" t="s">
        <v>26</v>
      </c>
      <c r="Q96" s="419">
        <v>11.0</v>
      </c>
      <c r="R96" s="423" t="s">
        <v>44</v>
      </c>
      <c r="S96" s="424" t="s">
        <v>32</v>
      </c>
      <c r="T96" s="425">
        <v>42401.0</v>
      </c>
      <c r="U96" s="173"/>
    </row>
    <row r="97" hidden="1">
      <c r="A97" s="412" t="s">
        <v>79</v>
      </c>
      <c r="B97" s="439">
        <v>780.0</v>
      </c>
      <c r="C97" s="486">
        <v>24.0</v>
      </c>
      <c r="D97" s="496" t="s">
        <v>80</v>
      </c>
      <c r="E97" s="497">
        <v>80.0</v>
      </c>
      <c r="F97" s="498">
        <v>119.0</v>
      </c>
      <c r="G97" s="418" t="s">
        <v>30</v>
      </c>
      <c r="H97" s="419" t="s">
        <v>48</v>
      </c>
      <c r="I97" s="495">
        <v>0.27</v>
      </c>
      <c r="J97" s="420">
        <v>998.0</v>
      </c>
      <c r="K97" s="454" t="str">
        <f>HYPERLINK("http://amzn.to/2fbX5FU","link*")</f>
        <v>link*</v>
      </c>
      <c r="L97" s="454" t="str">
        <f>HYPERLINK("https://www.bhphotovideo.com/c/search?Ntt=sony%2024-240&amp;N=0&amp;InitialSearch=yes&amp;sts=ma&amp;Top+Nav-Search=&amp;BI=19619&amp;KBID=12129&amp;KWID=EZ","link*")</f>
        <v>link*</v>
      </c>
      <c r="M97" s="454" t="str">
        <f>HYPERLINK("http://amzn.to/2wyrL7A","link*")</f>
        <v>link*</v>
      </c>
      <c r="N97" s="454"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97" s="422">
        <v>50.0</v>
      </c>
      <c r="P97" s="449" t="s">
        <v>49</v>
      </c>
      <c r="Q97" s="419">
        <v>7.0</v>
      </c>
      <c r="R97" s="423" t="s">
        <v>81</v>
      </c>
      <c r="S97" s="424" t="s">
        <v>32</v>
      </c>
      <c r="T97" s="425">
        <v>42064.0</v>
      </c>
      <c r="U97" s="173"/>
    </row>
    <row r="98" hidden="1">
      <c r="A98" s="412" t="s">
        <v>82</v>
      </c>
      <c r="B98" s="439">
        <v>663.0</v>
      </c>
      <c r="C98" s="486">
        <v>24.0</v>
      </c>
      <c r="D98" s="415">
        <v>4.0</v>
      </c>
      <c r="E98" s="499">
        <v>83.0</v>
      </c>
      <c r="F98" s="500">
        <v>113.0</v>
      </c>
      <c r="G98" s="418" t="s">
        <v>30</v>
      </c>
      <c r="H98" s="419" t="s">
        <v>56</v>
      </c>
      <c r="I98" s="495">
        <v>0.31</v>
      </c>
      <c r="J98" s="420">
        <v>1398.0</v>
      </c>
      <c r="K98" s="454" t="str">
        <f>HYPERLINK("https://amzn.to/2K7LwMR","link*")</f>
        <v>link*</v>
      </c>
      <c r="L98" s="454" t="str">
        <f>HYPERLINK("https://www.bhphotovideo.com/c/search?Ntt=sony%2024-105&amp;N=0&amp;InitialSearch=yes&amp;sts=ma&amp;Top+Nav-Search=&amp;BI=19619&amp;KBID=12129&amp;KWID=EZ","link*")</f>
        <v>link*</v>
      </c>
      <c r="M98" s="454" t="str">
        <f>HYPERLINK("https://amzn.to/2Ld8hOS","link*")</f>
        <v>link*</v>
      </c>
      <c r="N98" s="454"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98" s="422">
        <v>38.0</v>
      </c>
      <c r="P98" s="449" t="s">
        <v>49</v>
      </c>
      <c r="Q98" s="419">
        <v>9.0</v>
      </c>
      <c r="R98" s="423" t="s">
        <v>35</v>
      </c>
      <c r="S98" s="424" t="s">
        <v>32</v>
      </c>
      <c r="T98" s="425">
        <v>43009.0</v>
      </c>
      <c r="U98" s="173"/>
    </row>
    <row r="99" hidden="1">
      <c r="A99" s="426" t="str">
        <f>HYPERLINK("https://phillipreeve.net/blog/rolling-review-carl-zeiss-vario-tessar-t-fe-424-70-za/","Sony ZA 4/24-70 OSS")</f>
        <v>Sony ZA 4/24-70 OSS</v>
      </c>
      <c r="B99" s="413">
        <v>426.0</v>
      </c>
      <c r="C99" s="486">
        <v>24.0</v>
      </c>
      <c r="D99" s="415">
        <v>4.0</v>
      </c>
      <c r="E99" s="501">
        <v>73.0</v>
      </c>
      <c r="F99" s="502">
        <v>95.0</v>
      </c>
      <c r="G99" s="418" t="s">
        <v>30</v>
      </c>
      <c r="H99" s="419" t="s">
        <v>53</v>
      </c>
      <c r="I99" s="419">
        <v>0.2</v>
      </c>
      <c r="J99" s="420">
        <v>898.0</v>
      </c>
      <c r="K99" s="454" t="str">
        <f>HYPERLINK("http://amzn.to/2vlG2Yq","link*")</f>
        <v>link*</v>
      </c>
      <c r="L99" s="454" t="str">
        <f>HYPERLINK("https://www.bhphotovideo.com/c/product/1008126-REG/sony_sel2470z_vario_tessar_t_fe_24_70mm.html/BI/19619/KBID/12129/DFF/d10-v21-t1-x466842/SID/EZ","link*")</f>
        <v>link*</v>
      </c>
      <c r="M99" s="454" t="str">
        <f>HYPERLINK("http://amzn.to/2fl1XZk","link*")</f>
        <v>link*</v>
      </c>
      <c r="N99" s="454"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99" s="422">
        <v>40.0</v>
      </c>
      <c r="P99" s="449" t="s">
        <v>49</v>
      </c>
      <c r="Q99" s="419">
        <v>7.0</v>
      </c>
      <c r="R99" s="423" t="s">
        <v>38</v>
      </c>
      <c r="S99" s="424" t="s">
        <v>32</v>
      </c>
      <c r="T99" s="425">
        <v>41640.0</v>
      </c>
      <c r="U99" s="173"/>
    </row>
    <row r="100" hidden="1">
      <c r="A100" s="426" t="str">
        <f>HYPERLINK("https://phillipreeve.net/blog/review-zeiss-batis-distagon-t-25mm-f2/","Zeiss Batis 2/25")</f>
        <v>Zeiss Batis 2/25</v>
      </c>
      <c r="B100" s="427">
        <v>335.0</v>
      </c>
      <c r="C100" s="503">
        <v>25.0</v>
      </c>
      <c r="D100" s="475">
        <v>2.0</v>
      </c>
      <c r="E100" s="504">
        <v>92.0</v>
      </c>
      <c r="F100" s="505">
        <v>78.0</v>
      </c>
      <c r="G100" s="418" t="s">
        <v>30</v>
      </c>
      <c r="H100" s="419" t="s">
        <v>53</v>
      </c>
      <c r="I100" s="419">
        <v>0.19</v>
      </c>
      <c r="J100" s="420">
        <v>1299.0</v>
      </c>
      <c r="K100" s="454" t="str">
        <f>HYPERLINK("https://amzn.to/2ypHQiT","link*")</f>
        <v>link*</v>
      </c>
      <c r="L100" s="454" t="str">
        <f>HYPERLINK("https://www.bhphotovideo.com/c/product/1140832-REG/zeiss_2103_750_25mm_f_2_0_batis_wide.html/BI/19619/KBID/12129/DFF/d10-v21-t1-x627141/SID/EZ","link*")</f>
        <v>link*</v>
      </c>
      <c r="M100" s="454" t="str">
        <f>HYPERLINK("https://amzn.to/2L20DIj","link*")</f>
        <v>link*</v>
      </c>
      <c r="N100" s="454"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100" s="422">
        <v>20.0</v>
      </c>
      <c r="P100" s="418" t="s">
        <v>26</v>
      </c>
      <c r="Q100" s="419">
        <v>9.0</v>
      </c>
      <c r="R100" s="423" t="s">
        <v>83</v>
      </c>
      <c r="S100" s="424" t="s">
        <v>58</v>
      </c>
      <c r="T100" s="425">
        <v>42125.0</v>
      </c>
      <c r="U100" s="173"/>
    </row>
    <row r="101" hidden="1">
      <c r="A101" s="426" t="str">
        <f>HYPERLINK("https://phillipreeve.net/blog/review-zeiss-loxia-2-4-25mm-distagon/","Zeiss Loxia 2.4/25")</f>
        <v>Zeiss Loxia 2.4/25</v>
      </c>
      <c r="B101" s="427">
        <v>393.0</v>
      </c>
      <c r="C101" s="503">
        <v>25.0</v>
      </c>
      <c r="D101" s="506">
        <v>2.4</v>
      </c>
      <c r="E101" s="482">
        <v>62.0</v>
      </c>
      <c r="F101" s="507">
        <v>75.0</v>
      </c>
      <c r="G101" s="430" t="s">
        <v>24</v>
      </c>
      <c r="H101" s="419" t="s">
        <v>71</v>
      </c>
      <c r="I101" s="508">
        <v>0.16</v>
      </c>
      <c r="J101" s="420">
        <v>1299.0</v>
      </c>
      <c r="K101" s="454" t="str">
        <f>HYPERLINK("https://amzn.to/2OlyeAf","link*")</f>
        <v>link*</v>
      </c>
      <c r="L101" s="454" t="str">
        <f>HYPERLINK("https://www.bhphotovideo.com/c/product/1389169-REG/zeiss_000000_2218_783_loxia_25mm_f_2_4_lens.html/BI/19619/KBID/12129/kw/ZE2524L/DFF/d10-v2-t1-xZE2524L","link*")</f>
        <v>link*</v>
      </c>
      <c r="M101" s="454" t="str">
        <f>HYPERLINK("https://amzn.to/2OlyeAf","link*")</f>
        <v>link*</v>
      </c>
      <c r="N101" s="454"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101" s="422">
        <v>25.0</v>
      </c>
      <c r="P101" s="418" t="s">
        <v>26</v>
      </c>
      <c r="Q101" s="508">
        <v>10.0</v>
      </c>
      <c r="R101" s="423" t="s">
        <v>83</v>
      </c>
      <c r="S101" s="466" t="s">
        <v>58</v>
      </c>
      <c r="T101" s="425">
        <v>43160.0</v>
      </c>
      <c r="U101" s="173"/>
    </row>
    <row r="102" hidden="1">
      <c r="A102" s="412" t="s">
        <v>84</v>
      </c>
      <c r="B102" s="432">
        <v>965.0</v>
      </c>
      <c r="C102" s="509">
        <v>28.0</v>
      </c>
      <c r="D102" s="468">
        <v>1.4</v>
      </c>
      <c r="E102" s="499">
        <v>83.0</v>
      </c>
      <c r="F102" s="510">
        <v>134.0</v>
      </c>
      <c r="G102" s="418" t="s">
        <v>30</v>
      </c>
      <c r="H102" s="419" t="s">
        <v>56</v>
      </c>
      <c r="I102" s="508">
        <v>0.19</v>
      </c>
      <c r="J102" s="420">
        <v>1399.0</v>
      </c>
      <c r="K102" s="454" t="str">
        <f>HYPERLINK("https://amzn.to/2Wn0pxO","link*")</f>
        <v>link*</v>
      </c>
      <c r="L102" s="454" t="str">
        <f>HYPERLINK("https://www.bhphotovideo.com/c/product/1436285-REG/sigma_28mm_f_1_4_dg_hsm.html/BI/19619/KBID/12129/kw/SI2814DGSE/DFF/d10-v2-t1-xSI2814DGSE","link*")</f>
        <v>link*</v>
      </c>
      <c r="M102" s="454" t="str">
        <f>HYPERLINK("https://amzn.to/2WzVkHd","link*")</f>
        <v>link*</v>
      </c>
      <c r="N102" s="454"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102" s="422">
        <v>28.0</v>
      </c>
      <c r="P102" s="418" t="s">
        <v>26</v>
      </c>
      <c r="Q102" s="508">
        <v>9.0</v>
      </c>
      <c r="R102" s="423" t="s">
        <v>81</v>
      </c>
      <c r="S102" s="466" t="s">
        <v>41</v>
      </c>
      <c r="T102" s="425">
        <v>43435.0</v>
      </c>
      <c r="U102" s="173"/>
    </row>
    <row r="103" hidden="1">
      <c r="A103" s="426" t="str">
        <f>HYPERLINK("https://www.systemkamera-forum.de/blog/2015/05/sony-fe-28mm-f2-test-und-erfahrungsbericht/","Sony FE 2/28")</f>
        <v>Sony FE 2/28</v>
      </c>
      <c r="B103" s="463">
        <v>200.0</v>
      </c>
      <c r="C103" s="509">
        <v>28.0</v>
      </c>
      <c r="D103" s="475">
        <v>2.0</v>
      </c>
      <c r="E103" s="482">
        <v>60.0</v>
      </c>
      <c r="F103" s="511">
        <v>60.0</v>
      </c>
      <c r="G103" s="418" t="s">
        <v>30</v>
      </c>
      <c r="H103" s="508" t="s">
        <v>74</v>
      </c>
      <c r="I103" s="508">
        <v>0.13</v>
      </c>
      <c r="J103" s="459">
        <v>448.0</v>
      </c>
      <c r="K103" s="454" t="str">
        <f>HYPERLINK("https://amzn.to/2GXJWdo","link*")</f>
        <v>link*</v>
      </c>
      <c r="L103" s="454" t="str">
        <f>HYPERLINK("https://www.bhphotovideo.com/c/product/1402637-REG/sony_fe_28mm_f_2_lens.html/BI/19619/KBID/12129/kw/SO2820F/DFF/d10-v2-t1-xSO2820F","link*")</f>
        <v>link*</v>
      </c>
      <c r="M103" s="454" t="str">
        <f>HYPERLINK("http://amzn.to/2wyLOCO","link*")</f>
        <v>link*</v>
      </c>
      <c r="N103" s="454"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103" s="422">
        <v>29.0</v>
      </c>
      <c r="P103" s="418" t="s">
        <v>26</v>
      </c>
      <c r="Q103" s="508">
        <v>9.0</v>
      </c>
      <c r="R103" s="423" t="s">
        <v>60</v>
      </c>
      <c r="S103" s="466" t="s">
        <v>32</v>
      </c>
      <c r="T103" s="425">
        <v>42064.0</v>
      </c>
      <c r="U103" s="173"/>
    </row>
    <row r="104" hidden="1">
      <c r="A104" s="426" t="str">
        <f>HYPERLINK("https://phillipreeve.net/blog/review-tamron-28-75mm-f-2-8-di-iii-rxd-sony-e-mount/","Tamron 2.8/28-75")</f>
        <v>Tamron 2.8/28-75</v>
      </c>
      <c r="B104" s="413">
        <v>550.0</v>
      </c>
      <c r="C104" s="509">
        <v>28.0</v>
      </c>
      <c r="D104" s="440">
        <v>2.8</v>
      </c>
      <c r="E104" s="501">
        <v>73.0</v>
      </c>
      <c r="F104" s="512">
        <v>118.0</v>
      </c>
      <c r="G104" s="418" t="s">
        <v>30</v>
      </c>
      <c r="H104" s="419" t="s">
        <v>53</v>
      </c>
      <c r="I104" s="513">
        <v>0.34</v>
      </c>
      <c r="J104" s="459">
        <v>879.0</v>
      </c>
      <c r="K104" s="454" t="str">
        <f>HYPERLINK("https://amzn.to/2ST5uxq","link*")</f>
        <v>link*</v>
      </c>
      <c r="L104" s="454" t="str">
        <f>HYPERLINK("https://www.bhphotovideo.com/c/product/1393332-REG/tamron_a036_28_75mm_f_2_8_di_iii.html/BI/19619/KBID/12129/DFF/d10-v21-t1-x892059/SID/EZ","link*")</f>
        <v>link*</v>
      </c>
      <c r="M104" s="454" t="str">
        <f>HYPERLINK("https://amzn.to/2ZmSzdU","link*")</f>
        <v>link*</v>
      </c>
      <c r="N104" s="454"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104" s="422">
        <v>19.0</v>
      </c>
      <c r="P104" s="418" t="s">
        <v>26</v>
      </c>
      <c r="Q104" s="508">
        <v>9.0</v>
      </c>
      <c r="R104" s="423" t="s">
        <v>85</v>
      </c>
      <c r="S104" s="466" t="s">
        <v>55</v>
      </c>
      <c r="T104" s="425">
        <v>43252.0</v>
      </c>
      <c r="U104" s="173"/>
    </row>
    <row r="105" hidden="1">
      <c r="A105" s="412" t="s">
        <v>88</v>
      </c>
      <c r="B105" s="427">
        <v>295.0</v>
      </c>
      <c r="C105" s="509">
        <v>28.0</v>
      </c>
      <c r="D105" s="496" t="s">
        <v>89</v>
      </c>
      <c r="E105" s="501">
        <v>73.0</v>
      </c>
      <c r="F105" s="514">
        <v>83.0</v>
      </c>
      <c r="G105" s="418" t="s">
        <v>30</v>
      </c>
      <c r="H105" s="508" t="s">
        <v>90</v>
      </c>
      <c r="I105" s="508">
        <v>0.19</v>
      </c>
      <c r="J105" s="420">
        <v>398.0</v>
      </c>
      <c r="K105" s="454" t="str">
        <f>HYPERLINK("https://www.amazon.com/gp/product/B00FYOFADE/ref=as_li_tl?ie=UTF8&amp;tag=wwwphillipree-20&amp;camp=1789&amp;creative=9325&amp;linkCode=as2&amp;creativeASIN=B00FYOFADE&amp;linkId=96720b245156eae53bb1a672d4453d3f","link*")</f>
        <v>link*</v>
      </c>
      <c r="L105" s="454" t="str">
        <f>HYPERLINK("https://www.bhphotovideo.com/c/product/1015472-REG/sony_sel2870_fe_28_70mm_f_3_5_5_6_oss.html/BI/19619/KBID/12129/DFF/d10-v21-t1-x473993/SID/EZ","link*")</f>
        <v>link*</v>
      </c>
      <c r="M105" s="454" t="str">
        <f>HYPERLINK("https://www.amazon.de/gp/product/B00HSHFPD0/ref=as_li_tl?ie=UTF8&amp;tag=wwwphillipree-21&amp;camp=1638&amp;creative=6742&amp;linkCode=as2&amp;creativeASIN=B00HSHFPD0&amp;linkId=6701f30673f8a4071232ca85e1953506","link*")</f>
        <v>link*</v>
      </c>
      <c r="N105" s="454"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105" s="422">
        <v>30.0</v>
      </c>
      <c r="P105" s="515" t="s">
        <v>49</v>
      </c>
      <c r="Q105" s="508">
        <v>7.0</v>
      </c>
      <c r="R105" s="423" t="s">
        <v>60</v>
      </c>
      <c r="S105" s="466" t="s">
        <v>32</v>
      </c>
      <c r="T105" s="425">
        <v>41548.0</v>
      </c>
      <c r="U105" s="173"/>
    </row>
    <row r="106" hidden="1">
      <c r="A106" s="516" t="s">
        <v>91</v>
      </c>
      <c r="B106" s="432">
        <v>1215.0</v>
      </c>
      <c r="C106" s="509">
        <v>28.0</v>
      </c>
      <c r="D106" s="415">
        <v>4.0</v>
      </c>
      <c r="E106" s="517">
        <v>105.0</v>
      </c>
      <c r="F106" s="518">
        <v>165.0</v>
      </c>
      <c r="G106" s="418" t="s">
        <v>30</v>
      </c>
      <c r="H106" s="519" t="s">
        <v>92</v>
      </c>
      <c r="I106" s="466"/>
      <c r="J106" s="420">
        <v>249.0</v>
      </c>
      <c r="K106" s="454" t="str">
        <f>HYPERLINK("http://amzn.to/2v2kiy9","link*")</f>
        <v>link*</v>
      </c>
      <c r="L106" s="454" t="str">
        <f>HYPERLINK("https://www.bhphotovideo.com/c/product/1082051-REG/sony_selp28135g_e_pz_28_135mm_f_4.html/BI/19619/KBID/12129/DFF/d10-v21-t1-x556056/SID/EZ","link*")</f>
        <v>link*</v>
      </c>
      <c r="M106" s="454" t="str">
        <f>HYPERLINK("http://amzn.to/2wlpg9b","link*")</f>
        <v>link*</v>
      </c>
      <c r="N106" s="454"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106" s="422">
        <v>40.0</v>
      </c>
      <c r="P106" s="515" t="s">
        <v>49</v>
      </c>
      <c r="Q106" s="508">
        <v>9.0</v>
      </c>
      <c r="R106" s="423" t="s">
        <v>93</v>
      </c>
      <c r="S106" s="466" t="s">
        <v>32</v>
      </c>
      <c r="T106" s="425">
        <v>41883.0</v>
      </c>
      <c r="U106" s="411" t="s">
        <v>94</v>
      </c>
    </row>
    <row r="107" hidden="1">
      <c r="A107" s="455" t="str">
        <f>HYPERLINK("https://phillipreeve.net/blog/review-sigma-35mm-1-2-art-dg-dn/","Sigma Art 1.2/35")</f>
        <v>Sigma Art 1.2/35</v>
      </c>
      <c r="B107" s="432">
        <v>1090.0</v>
      </c>
      <c r="C107" s="520">
        <v>35.0</v>
      </c>
      <c r="D107" s="521">
        <v>1.2</v>
      </c>
      <c r="E107" s="493">
        <v>88.0</v>
      </c>
      <c r="F107" s="494">
        <v>136.0</v>
      </c>
      <c r="G107" s="466" t="s">
        <v>30</v>
      </c>
      <c r="H107" s="522" t="s">
        <v>51</v>
      </c>
      <c r="I107" s="508">
        <v>0.19</v>
      </c>
      <c r="J107" s="420">
        <v>1499.0</v>
      </c>
      <c r="K107" s="454" t="str">
        <f>HYPERLINK("https://amzn.to/2LiHhxc","link*")</f>
        <v>link*</v>
      </c>
      <c r="L107" s="454" t="str">
        <f>HYPERLINK("https://www.bhphotovideo.com/c/product/1492967-REG/sigma_341969_35mm_f_1_2_dg_dn.html/BI/19619/KBID/12129/DFF/d10-v21-t1-x976038/SID/EZ","link*")</f>
        <v>link*</v>
      </c>
      <c r="M107" s="466"/>
      <c r="N107" s="454"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107" s="422">
        <v>30.0</v>
      </c>
      <c r="P107" s="418" t="s">
        <v>26</v>
      </c>
      <c r="Q107" s="508">
        <v>11.0</v>
      </c>
      <c r="R107" s="437">
        <v>43816.0</v>
      </c>
      <c r="S107" s="466" t="s">
        <v>41</v>
      </c>
      <c r="T107" s="425">
        <v>43647.0</v>
      </c>
      <c r="U107" s="173"/>
    </row>
    <row r="108" hidden="1">
      <c r="A108" s="426" t="str">
        <f>HYPERLINK("https://phillipreeve.net/blog/review-sony-fe-35mm-1-4-za/","Sony ZA 1.4/35")</f>
        <v>Sony ZA 1.4/35</v>
      </c>
      <c r="B108" s="413">
        <v>630.0</v>
      </c>
      <c r="C108" s="520">
        <v>35.0</v>
      </c>
      <c r="D108" s="468">
        <v>1.4</v>
      </c>
      <c r="E108" s="523">
        <v>79.0</v>
      </c>
      <c r="F108" s="524">
        <v>112.0</v>
      </c>
      <c r="G108" s="466" t="s">
        <v>30</v>
      </c>
      <c r="H108" s="508" t="s">
        <v>48</v>
      </c>
      <c r="I108" s="508">
        <v>0.18</v>
      </c>
      <c r="J108" s="420">
        <v>1599.0</v>
      </c>
      <c r="K108" s="454" t="str">
        <f>HYPERLINK("https://amzn.to/2LRSMOS","link*")</f>
        <v>link*</v>
      </c>
      <c r="L108" s="454" t="str">
        <f>HYPERLINK("https://www.bhphotovideo.com/c/product/1126137-REG/sony_sel35f14z_distagon_t_fe_35mm.html/BI/19619/KBID/12129/DFF/d10-v21-t1-x612725/SID/EZ","link*")</f>
        <v>link*</v>
      </c>
      <c r="M108" s="454" t="str">
        <f>HYPERLINK("https://amzn.to/2ZmfSnX","link*")</f>
        <v>link*</v>
      </c>
      <c r="N108" s="454"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108" s="422">
        <v>30.0</v>
      </c>
      <c r="P108" s="418" t="s">
        <v>26</v>
      </c>
      <c r="Q108" s="508">
        <v>9.0</v>
      </c>
      <c r="R108" s="437">
        <v>43689.0</v>
      </c>
      <c r="S108" s="466" t="s">
        <v>32</v>
      </c>
      <c r="T108" s="425">
        <v>42064.0</v>
      </c>
      <c r="U108" s="173"/>
    </row>
    <row r="109" hidden="1">
      <c r="A109" s="412" t="s">
        <v>226</v>
      </c>
      <c r="B109" s="413">
        <v>645.0</v>
      </c>
      <c r="C109" s="520">
        <v>35.0</v>
      </c>
      <c r="D109" s="468">
        <v>1.4</v>
      </c>
      <c r="E109" s="525">
        <v>76.0</v>
      </c>
      <c r="F109" s="526">
        <v>115.0</v>
      </c>
      <c r="G109" s="466" t="s">
        <v>30</v>
      </c>
      <c r="H109" s="508" t="s">
        <v>53</v>
      </c>
      <c r="I109" s="508">
        <v>0.17</v>
      </c>
      <c r="J109" s="420">
        <v>799.0</v>
      </c>
      <c r="K109" s="454" t="str">
        <f>HYPERLINK("https://amzn.to/2K8DDXH","link*")</f>
        <v>link*</v>
      </c>
      <c r="L109" s="454" t="str">
        <f t="shared" ref="L109:L110" si="4">HYPERLINK("https://www.bhphotovideo.com/c/product/1381712-REG/voigtlander_nokton_classic_35mm_f_1_4.html/BI/19619/KBID/12129/DFF/d10-v21-t1-x877353/SID/EZ","link*")</f>
        <v>link*</v>
      </c>
      <c r="M109" s="454" t="str">
        <f>HYPERLINK("https://amzn.to/2Zhl3FI","link*")</f>
        <v>link*</v>
      </c>
      <c r="N109" s="454"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109" s="422">
        <v>30.0</v>
      </c>
      <c r="P109" s="418" t="s">
        <v>26</v>
      </c>
      <c r="Q109" s="508">
        <v>9.0</v>
      </c>
      <c r="R109" s="437">
        <v>43719.0</v>
      </c>
      <c r="S109" s="466" t="s">
        <v>46</v>
      </c>
      <c r="T109" s="425">
        <v>43009.0</v>
      </c>
      <c r="U109" s="411" t="s">
        <v>99</v>
      </c>
    </row>
    <row r="110" hidden="1">
      <c r="A110" s="426" t="str">
        <f>HYPERLINK("https://phillipreeve.net/blog/review-voigtlander-35mm-1-4-nokton-e-classic/","Voigtlander 35mm F1.4 Nokton Classic")</f>
        <v>Voigtlander 35mm F1.4 Nokton Classic</v>
      </c>
      <c r="B110" s="427">
        <v>262.0</v>
      </c>
      <c r="C110" s="520">
        <v>35.0</v>
      </c>
      <c r="D110" s="468">
        <v>1.4</v>
      </c>
      <c r="E110" s="527">
        <v>67.0</v>
      </c>
      <c r="F110" s="485">
        <v>40.0</v>
      </c>
      <c r="G110" s="528" t="s">
        <v>24</v>
      </c>
      <c r="H110" s="508" t="s">
        <v>47</v>
      </c>
      <c r="I110" s="508">
        <v>0.16</v>
      </c>
      <c r="J110" s="420">
        <v>799.0</v>
      </c>
      <c r="K110" s="454" t="str">
        <f>HYPERLINK("https://amzn.to/2M1M8WH","link*")</f>
        <v>link*</v>
      </c>
      <c r="L110" s="454" t="str">
        <f t="shared" si="4"/>
        <v>link*</v>
      </c>
      <c r="M110" s="454" t="str">
        <f>HYPERLINK("https://amzn.to/2ZswTZ3","link*")</f>
        <v>link*</v>
      </c>
      <c r="N110" s="454"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110" s="422">
        <v>30.0</v>
      </c>
      <c r="P110" s="418" t="s">
        <v>26</v>
      </c>
      <c r="Q110" s="508">
        <v>10.0</v>
      </c>
      <c r="R110" s="437">
        <v>43624.0</v>
      </c>
      <c r="S110" s="466" t="s">
        <v>28</v>
      </c>
      <c r="T110" s="425">
        <v>43132.0</v>
      </c>
      <c r="U110" s="173"/>
    </row>
    <row r="111" hidden="1">
      <c r="A111" s="426" t="str">
        <f>HYPERLINK("https://phillipreeve.net/blog/review-sigma-35mm-1-4-art/","Sigma Art 1.4/35")</f>
        <v>Sigma Art 1.4/35</v>
      </c>
      <c r="B111" s="439">
        <v>740.0</v>
      </c>
      <c r="C111" s="520">
        <v>35.0</v>
      </c>
      <c r="D111" s="468">
        <v>1.4</v>
      </c>
      <c r="E111" s="529">
        <v>77.0</v>
      </c>
      <c r="F111" s="530">
        <v>94.0</v>
      </c>
      <c r="G111" s="466" t="s">
        <v>30</v>
      </c>
      <c r="H111" s="508" t="s">
        <v>53</v>
      </c>
      <c r="I111" s="508">
        <v>0.19</v>
      </c>
      <c r="J111" s="459">
        <v>899.0</v>
      </c>
      <c r="K111" s="454" t="str">
        <f>HYPERLINK("https://amzn.to/2LOaQcZ","link*")</f>
        <v>link*</v>
      </c>
      <c r="L111" s="454" t="str">
        <f>HYPERLINK("https://www.bhphotovideo.com/c/product/1393492-REG/sigma_35mm_f_1_4_dg_hsm.html/BI/19619/KBID/12129/DFF/d10-v21-t1-x881157/SID/EZ","link*")</f>
        <v>link*</v>
      </c>
      <c r="M111" s="454" t="str">
        <f>HYPERLINK("https://amzn.to/2ZrfakE","link*")</f>
        <v>link*</v>
      </c>
      <c r="N111" s="454"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111" s="422">
        <v>30.0</v>
      </c>
      <c r="P111" s="418" t="s">
        <v>26</v>
      </c>
      <c r="Q111" s="508">
        <v>9.0</v>
      </c>
      <c r="R111" s="437">
        <v>43782.0</v>
      </c>
      <c r="S111" s="466" t="s">
        <v>41</v>
      </c>
      <c r="T111" s="425">
        <v>43221.0</v>
      </c>
      <c r="U111" s="173" t="s">
        <v>42</v>
      </c>
    </row>
    <row r="112" hidden="1">
      <c r="A112" s="471" t="s">
        <v>227</v>
      </c>
      <c r="B112" s="427">
        <v>280.0</v>
      </c>
      <c r="C112" s="520">
        <v>35.0</v>
      </c>
      <c r="D112" s="434">
        <v>1.8</v>
      </c>
      <c r="E112" s="531">
        <v>66.0</v>
      </c>
      <c r="F112" s="532">
        <v>73.0</v>
      </c>
      <c r="G112" s="466" t="s">
        <v>30</v>
      </c>
      <c r="H112" s="508" t="s">
        <v>90</v>
      </c>
      <c r="I112" s="513">
        <v>0.24</v>
      </c>
      <c r="J112" s="420">
        <v>749.0</v>
      </c>
      <c r="K112" s="466"/>
      <c r="L112" s="454" t="str">
        <f>HYPERLINK("https://www.bhphotovideo.com/c/product/1492866-REG/sony_sel35f18f_35mm_f_1_8_fe_lens.html/BI/19619/KBID/12129/DFF/d10-v21-t1-x975763/SID/EZ","link*")</f>
        <v>link*</v>
      </c>
      <c r="M112" s="454" t="str">
        <f>HYPERLINK("https://amzn.to/2PiATLC","link*")</f>
        <v>link*</v>
      </c>
      <c r="N112" s="454"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112" s="422">
        <v>22.0</v>
      </c>
      <c r="P112" s="418" t="s">
        <v>26</v>
      </c>
      <c r="Q112" s="508">
        <v>9.0</v>
      </c>
      <c r="R112" s="437">
        <v>43719.0</v>
      </c>
      <c r="S112" s="466" t="s">
        <v>32</v>
      </c>
      <c r="T112" s="425">
        <v>43647.0</v>
      </c>
      <c r="U112" s="173"/>
    </row>
    <row r="113" hidden="1">
      <c r="A113" s="426" t="str">
        <f>HYPERLINK("https://phillipreeve.net/blog/review-zeiss-loxia-35mm-2-0/","Zeiss Loxia 2/35 Biogon T*")</f>
        <v>Zeiss Loxia 2/35 Biogon T*</v>
      </c>
      <c r="B113" s="427">
        <v>340.0</v>
      </c>
      <c r="C113" s="520">
        <v>35.0</v>
      </c>
      <c r="D113" s="475">
        <v>2.0</v>
      </c>
      <c r="E113" s="482">
        <v>62.0</v>
      </c>
      <c r="F113" s="533">
        <v>66.0</v>
      </c>
      <c r="G113" s="528" t="s">
        <v>24</v>
      </c>
      <c r="H113" s="508" t="s">
        <v>71</v>
      </c>
      <c r="I113" s="508">
        <v>0.17</v>
      </c>
      <c r="J113" s="420">
        <v>1299.0</v>
      </c>
      <c r="K113" s="454" t="str">
        <f>HYPERLINK("https://amzn.to/2T2sJWe","link*")</f>
        <v>link*</v>
      </c>
      <c r="L113" s="454" t="str">
        <f>HYPERLINK("https://www.bhphotovideo.com/c/product/1080388-REG/zeiss_2103_749_loxia_35mm_f_2_biogon.html/BI/19619/KBID/12129/DFF/d10-v21-t1-x553792/SID/EZ","link*")</f>
        <v>link*</v>
      </c>
      <c r="M113" s="466" t="s">
        <v>33</v>
      </c>
      <c r="N113" s="454"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113" s="422">
        <v>30.0</v>
      </c>
      <c r="P113" s="418" t="s">
        <v>26</v>
      </c>
      <c r="Q113" s="508">
        <v>10.0</v>
      </c>
      <c r="R113" s="437">
        <v>43625.0</v>
      </c>
      <c r="S113" s="466" t="s">
        <v>58</v>
      </c>
      <c r="T113" s="425">
        <v>41974.0</v>
      </c>
      <c r="U113" s="411" t="s">
        <v>101</v>
      </c>
    </row>
    <row r="114" hidden="1">
      <c r="A114" s="426" t="str">
        <f>HYPERLINK("http://www.photozone.de/sonyalphaff/865-zeiss35f28ff","Sony ZA 2.8/35")</f>
        <v>Sony ZA 2.8/35</v>
      </c>
      <c r="B114" s="463">
        <v>120.0</v>
      </c>
      <c r="C114" s="520">
        <v>35.0</v>
      </c>
      <c r="D114" s="440">
        <v>2.8</v>
      </c>
      <c r="E114" s="482">
        <v>62.0</v>
      </c>
      <c r="F114" s="491">
        <v>37.0</v>
      </c>
      <c r="G114" s="466" t="s">
        <v>30</v>
      </c>
      <c r="H114" s="508" t="s">
        <v>74</v>
      </c>
      <c r="I114" s="508">
        <v>0.12</v>
      </c>
      <c r="J114" s="420">
        <v>798.0</v>
      </c>
      <c r="K114" s="454" t="str">
        <f>HYPERLINK("https://amzn.to/2yvhL24","link*")</f>
        <v>link*</v>
      </c>
      <c r="L114" s="454" t="str">
        <f>HYPERLINK("https://www.bhphotovideo.com/c/product/1008123-REG/sony_sel35f28z_sonnar_t_fe_35mm.html/BI/19619/KBID/12129/DFF/d10-v21-t1-x466840/SID/EZ","link*")</f>
        <v>link*</v>
      </c>
      <c r="M114" s="466" t="s">
        <v>33</v>
      </c>
      <c r="N114" s="454"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114" s="422">
        <v>35.0</v>
      </c>
      <c r="P114" s="418" t="s">
        <v>26</v>
      </c>
      <c r="Q114" s="508">
        <v>9.0</v>
      </c>
      <c r="R114" s="437">
        <v>43592.0</v>
      </c>
      <c r="S114" s="466" t="s">
        <v>32</v>
      </c>
      <c r="T114" s="425">
        <v>41487.0</v>
      </c>
      <c r="U114" s="173"/>
    </row>
    <row r="115" hidden="1">
      <c r="A115" s="516" t="s">
        <v>102</v>
      </c>
      <c r="B115" s="463">
        <v>86.0</v>
      </c>
      <c r="C115" s="520">
        <v>35.0</v>
      </c>
      <c r="D115" s="440">
        <v>2.8</v>
      </c>
      <c r="E115" s="482">
        <v>62.0</v>
      </c>
      <c r="F115" s="534">
        <v>33.0</v>
      </c>
      <c r="G115" s="466" t="s">
        <v>30</v>
      </c>
      <c r="H115" s="508" t="s">
        <v>74</v>
      </c>
      <c r="I115" s="508">
        <v>0.12</v>
      </c>
      <c r="J115" s="535">
        <v>399.0</v>
      </c>
      <c r="K115" s="454" t="str">
        <f t="shared" ref="K115:K116" si="5">HYPERLINK("https://amzn.to/2MGKrxp","link*")</f>
        <v>link*</v>
      </c>
      <c r="L115" s="454" t="str">
        <f>HYPERLINK("https://www.bhphotovideo.com/c/product/1348365-REG/samyang_syio35af_e_35mm_f2_8_compact_wide.html/BI/19619/KBID/12129/DFF/d10-v21-t1-x832776/SID/EZ","link*")</f>
        <v>link*</v>
      </c>
      <c r="M115" s="466" t="s">
        <v>33</v>
      </c>
      <c r="N115" s="454"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115" s="422">
        <v>35.0</v>
      </c>
      <c r="P115" s="418" t="s">
        <v>26</v>
      </c>
      <c r="Q115" s="508">
        <v>9.0</v>
      </c>
      <c r="R115" s="437">
        <v>43623.0</v>
      </c>
      <c r="S115" s="466" t="s">
        <v>46</v>
      </c>
      <c r="T115" s="425">
        <v>42917.0</v>
      </c>
      <c r="U115" s="173"/>
    </row>
    <row r="116" hidden="1">
      <c r="A116" s="426" t="str">
        <f>HYPERLINK("https://phillipreeve.net/blog/voigtlander-40mm-f1-2-nokton-aspherical-rolling-review/","Voigtlander 40mm F1.2 Nokton")</f>
        <v>Voigtlander 40mm F1.2 Nokton</v>
      </c>
      <c r="B116" s="413">
        <v>420.0</v>
      </c>
      <c r="C116" s="536">
        <v>40.0</v>
      </c>
      <c r="D116" s="521">
        <v>1.2</v>
      </c>
      <c r="E116" s="481">
        <v>70.0</v>
      </c>
      <c r="F116" s="537">
        <v>59.0</v>
      </c>
      <c r="G116" s="528" t="s">
        <v>24</v>
      </c>
      <c r="H116" s="508" t="s">
        <v>47</v>
      </c>
      <c r="I116" s="508">
        <v>0.16</v>
      </c>
      <c r="J116" s="420">
        <v>1099.0</v>
      </c>
      <c r="K116" s="454" t="str">
        <f t="shared" si="5"/>
        <v>link*</v>
      </c>
      <c r="L116" s="454" t="str">
        <f>HYPERLINK("https://www.bhphotovideo.com/c/product/1362557-REG/voigtlander_nokton_40mm_f_1_2_aspherical.html/BI/19619/KBID/12129/DFF/d10-v21-t1-x851241/SID/EZ","link*")</f>
        <v>link*</v>
      </c>
      <c r="M116" s="466" t="s">
        <v>33</v>
      </c>
      <c r="N116" s="454"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116" s="422">
        <v>35.0</v>
      </c>
      <c r="P116" s="418" t="s">
        <v>26</v>
      </c>
      <c r="Q116" s="508">
        <v>10.0</v>
      </c>
      <c r="R116" s="437">
        <v>43624.0</v>
      </c>
      <c r="S116" s="466" t="s">
        <v>28</v>
      </c>
      <c r="T116" s="425">
        <v>43040.0</v>
      </c>
      <c r="U116" s="173"/>
    </row>
    <row r="117" hidden="1">
      <c r="A117" s="538" t="str">
        <f>HYPERLINK("https://phillipreeve.net/blog/review-sigma-40mm-1-4-art/","Sigma Art 1.4/40")</f>
        <v>Sigma Art 1.4/40</v>
      </c>
      <c r="B117" s="432">
        <v>1200.0</v>
      </c>
      <c r="C117" s="536">
        <v>40.0</v>
      </c>
      <c r="D117" s="468">
        <v>1.4</v>
      </c>
      <c r="E117" s="493">
        <v>88.0</v>
      </c>
      <c r="F117" s="518">
        <v>157.0</v>
      </c>
      <c r="G117" s="466" t="s">
        <v>30</v>
      </c>
      <c r="H117" s="539" t="s">
        <v>51</v>
      </c>
      <c r="I117" s="508">
        <v>0.15</v>
      </c>
      <c r="J117" s="420">
        <v>1399.0</v>
      </c>
      <c r="K117" s="454" t="str">
        <f>HYPERLINK("https://amzn.to/2SYXFXq","link*")</f>
        <v>link*</v>
      </c>
      <c r="L117" s="454" t="str">
        <f>HYPERLINK("https://www.bhphotovideo.com/c/product/1436292-REG/sigma_40mm_f_1_4_dg_hsm.html/BI/19619/KBID/12129/DFF/d10-v21-t1-x925196/SID/EZ","link*")</f>
        <v>link*</v>
      </c>
      <c r="M117" s="466" t="s">
        <v>33</v>
      </c>
      <c r="N117" s="454"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117" s="422">
        <v>40.0</v>
      </c>
      <c r="P117" s="418" t="s">
        <v>26</v>
      </c>
      <c r="Q117" s="508">
        <v>9.0</v>
      </c>
      <c r="R117" s="437">
        <v>43815.0</v>
      </c>
      <c r="S117" s="466" t="s">
        <v>41</v>
      </c>
      <c r="T117" s="425">
        <v>43435.0</v>
      </c>
      <c r="U117" s="173" t="s">
        <v>42</v>
      </c>
    </row>
    <row r="118" hidden="1">
      <c r="A118" s="538" t="str">
        <f>HYPERLINK("https://phillipreeve.net/blog/review-zeiss-batis-2-40-cf/","Zeiss Batis 2/40 CF T*")</f>
        <v>Zeiss Batis 2/40 CF T*</v>
      </c>
      <c r="B118" s="427">
        <v>361.0</v>
      </c>
      <c r="C118" s="536">
        <v>40.0</v>
      </c>
      <c r="D118" s="475">
        <v>2.0</v>
      </c>
      <c r="E118" s="540">
        <v>91.0</v>
      </c>
      <c r="F118" s="541">
        <v>93.0</v>
      </c>
      <c r="G118" s="466" t="s">
        <v>30</v>
      </c>
      <c r="H118" s="508" t="s">
        <v>53</v>
      </c>
      <c r="I118" s="513">
        <v>0.3</v>
      </c>
      <c r="J118" s="420">
        <v>1299.0</v>
      </c>
      <c r="K118" s="454" t="str">
        <f>HYPERLINK("https://amzn.to/2LUN0MF","link*")</f>
        <v>link*</v>
      </c>
      <c r="L118" s="454" t="str">
        <f>HYPERLINK("https://www.bhphotovideo.com/c/product/1436738-REG/zeiss_000000_2239_137_batis_40mm_f_2_cf.html/BI/19619/KBID/12129/DFF/d10-v21-t1-x915694/SID/EZ","link*")</f>
        <v>link*</v>
      </c>
      <c r="M118" s="466" t="s">
        <v>33</v>
      </c>
      <c r="N118" s="454"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118" s="422">
        <v>24.0</v>
      </c>
      <c r="P118" s="418" t="s">
        <v>26</v>
      </c>
      <c r="Q118" s="508">
        <v>9.0</v>
      </c>
      <c r="R118" s="437">
        <v>43686.0</v>
      </c>
      <c r="S118" s="466" t="s">
        <v>58</v>
      </c>
      <c r="T118" s="425">
        <v>43435.0</v>
      </c>
      <c r="U118" s="411" t="s">
        <v>228</v>
      </c>
    </row>
    <row r="119" hidden="1">
      <c r="A119" s="542" t="s">
        <v>106</v>
      </c>
      <c r="B119" s="463">
        <v>162.0</v>
      </c>
      <c r="C119" s="543">
        <v>45.0</v>
      </c>
      <c r="D119" s="434">
        <v>1.8</v>
      </c>
      <c r="E119" s="482">
        <v>62.0</v>
      </c>
      <c r="F119" s="544">
        <v>56.0</v>
      </c>
      <c r="G119" s="466" t="s">
        <v>30</v>
      </c>
      <c r="H119" s="508" t="s">
        <v>74</v>
      </c>
      <c r="I119" s="508">
        <v>0.12</v>
      </c>
      <c r="J119" s="478">
        <v>399.0</v>
      </c>
      <c r="K119" s="454" t="str">
        <f>HYPERLINK("https://amzn.to/2YC6MST","link*")</f>
        <v>link*</v>
      </c>
      <c r="L119" s="454" t="str">
        <f>HYPERLINK("https://www.bhphotovideo.com/c/product/1478738-REG/samyang_af_45mm_f_1_8_fe.html/BI/19619/KBID/12129/DFF/d10-v21-t1-x964329/SID/EZ","link*")</f>
        <v>link*</v>
      </c>
      <c r="M119" s="466" t="s">
        <v>33</v>
      </c>
      <c r="N119" s="454"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119" s="422">
        <v>45.0</v>
      </c>
      <c r="P119" s="418" t="s">
        <v>26</v>
      </c>
      <c r="Q119" s="508">
        <v>9.0</v>
      </c>
      <c r="R119" s="437">
        <v>43623.0</v>
      </c>
      <c r="S119" s="466" t="s">
        <v>46</v>
      </c>
      <c r="T119" s="425">
        <v>43647.0</v>
      </c>
      <c r="U119" s="173"/>
    </row>
    <row r="120" hidden="1">
      <c r="A120" s="542" t="s">
        <v>107</v>
      </c>
      <c r="B120" s="427">
        <v>215.0</v>
      </c>
      <c r="C120" s="543">
        <v>45.0</v>
      </c>
      <c r="D120" s="440">
        <v>2.8</v>
      </c>
      <c r="E120" s="482">
        <v>64.0</v>
      </c>
      <c r="F120" s="545">
        <v>46.0</v>
      </c>
      <c r="G120" s="466" t="s">
        <v>30</v>
      </c>
      <c r="H120" s="508" t="s">
        <v>90</v>
      </c>
      <c r="I120" s="513">
        <v>0.25</v>
      </c>
      <c r="J120" s="420">
        <v>549.0</v>
      </c>
      <c r="K120" s="454" t="str">
        <f>HYPERLINK("https://amzn.to/2SYEvAX","link*")</f>
        <v>link*</v>
      </c>
      <c r="L120" s="454" t="str">
        <f>HYPERLINK("https://www.bhphotovideo.com/c/product/1492966-REG/sigma_360965_45mm_f_2_8_dg_dn.html/BI/19619/KBID/12129/DFF/d10-v21-t1-x976020/SID/EZ","link*")</f>
        <v>link*</v>
      </c>
      <c r="M120" s="466" t="s">
        <v>33</v>
      </c>
      <c r="N120" s="454"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120" s="422">
        <v>24.0</v>
      </c>
      <c r="P120" s="418" t="s">
        <v>26</v>
      </c>
      <c r="Q120" s="508">
        <v>7.0</v>
      </c>
      <c r="R120" s="437">
        <v>43654.0</v>
      </c>
      <c r="S120" s="466" t="s">
        <v>41</v>
      </c>
      <c r="T120" s="425">
        <v>43647.0</v>
      </c>
      <c r="U120" s="411" t="s">
        <v>108</v>
      </c>
    </row>
    <row r="121" hidden="1">
      <c r="A121" s="546" t="str">
        <f>HYPERLINK("https://phillipreeve.net/blog/review-voigtlander-50mm-1-2-nokton-e/","Voigtlander 50mm F1.2 Nokton")</f>
        <v>Voigtlander 50mm F1.2 Nokton</v>
      </c>
      <c r="B121" s="413">
        <v>440.0</v>
      </c>
      <c r="C121" s="547">
        <v>50.0</v>
      </c>
      <c r="D121" s="521">
        <v>1.2</v>
      </c>
      <c r="E121" s="481">
        <v>70.0</v>
      </c>
      <c r="F121" s="548">
        <v>58.0</v>
      </c>
      <c r="G121" s="528" t="s">
        <v>24</v>
      </c>
      <c r="H121" s="508" t="s">
        <v>47</v>
      </c>
      <c r="I121" s="466"/>
      <c r="J121" s="420">
        <v>1099.0</v>
      </c>
      <c r="K121" s="454" t="str">
        <f>HYPERLINK("https://amzn.to/2OAfE7N","link*")</f>
        <v>link*</v>
      </c>
      <c r="L121" s="454" t="str">
        <f>HYPERLINK("https://www.bhphotovideo.com/c/product/1433349-REG/voigtlander_ba348a_nokton_50mm_f_1_2_aspherical.html/BI/19619/KBID/12129/DFF/d10-v21-t1-x915623/SID/EZ","link*")</f>
        <v>link*</v>
      </c>
      <c r="M121" s="466" t="s">
        <v>33</v>
      </c>
      <c r="N121" s="454"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121" s="422">
        <v>45.0</v>
      </c>
      <c r="P121" s="418" t="s">
        <v>26</v>
      </c>
      <c r="Q121" s="508">
        <v>12.0</v>
      </c>
      <c r="R121" s="437">
        <v>43624.0</v>
      </c>
      <c r="S121" s="466" t="s">
        <v>28</v>
      </c>
      <c r="T121" s="425">
        <v>43556.0</v>
      </c>
      <c r="U121" s="173"/>
    </row>
    <row r="122" hidden="1">
      <c r="A122" s="412" t="s">
        <v>109</v>
      </c>
      <c r="B122" s="439">
        <v>778.0</v>
      </c>
      <c r="C122" s="547">
        <v>50.0</v>
      </c>
      <c r="D122" s="468">
        <v>1.4</v>
      </c>
      <c r="E122" s="549">
        <v>84.0</v>
      </c>
      <c r="F122" s="550">
        <v>108.0</v>
      </c>
      <c r="G122" s="466" t="s">
        <v>30</v>
      </c>
      <c r="H122" s="508" t="s">
        <v>48</v>
      </c>
      <c r="I122" s="508">
        <v>0.15</v>
      </c>
      <c r="J122" s="420">
        <v>1499.0</v>
      </c>
      <c r="K122" s="454" t="str">
        <f>HYPERLINK("https://amzn.to/2K88EL7","link*")</f>
        <v>link*</v>
      </c>
      <c r="L122" s="466" t="s">
        <v>33</v>
      </c>
      <c r="M122" s="466" t="s">
        <v>33</v>
      </c>
      <c r="N122" s="454"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122" s="422">
        <v>45.0</v>
      </c>
      <c r="P122" s="418" t="s">
        <v>26</v>
      </c>
      <c r="Q122" s="508">
        <v>11.0</v>
      </c>
      <c r="R122" s="437">
        <v>43720.0</v>
      </c>
      <c r="S122" s="466" t="s">
        <v>32</v>
      </c>
      <c r="T122" s="425">
        <v>42583.0</v>
      </c>
      <c r="U122" s="173"/>
    </row>
    <row r="123" hidden="1">
      <c r="A123" s="516" t="s">
        <v>110</v>
      </c>
      <c r="B123" s="439">
        <v>815.0</v>
      </c>
      <c r="C123" s="547">
        <v>50.0</v>
      </c>
      <c r="D123" s="468">
        <v>1.4</v>
      </c>
      <c r="E123" s="489">
        <v>85.0</v>
      </c>
      <c r="F123" s="551">
        <v>100.0</v>
      </c>
      <c r="G123" s="466" t="s">
        <v>30</v>
      </c>
      <c r="H123" s="508" t="s">
        <v>56</v>
      </c>
      <c r="I123" s="508">
        <v>0.18</v>
      </c>
      <c r="J123" s="420">
        <v>949.0</v>
      </c>
      <c r="K123" s="454" t="str">
        <f>HYPERLINK("https://amzn.to/2K4JmyT","link*")</f>
        <v>link*</v>
      </c>
      <c r="L123" s="454" t="str">
        <f>HYPERLINK("https://www.bhphotovideo.com/c/product/1393493-REG/sigma_50mm_f_1_4_dg_hsm.html/BI/19619/KBID/12129/kw/SI5014SO/DFF/d10-v2-t1-xSI5014SO","link*")</f>
        <v>link*</v>
      </c>
      <c r="M123" s="454" t="str">
        <f>HYPERLINK("https://amzn.to/2Wpdoz5","link*")</f>
        <v>link*</v>
      </c>
      <c r="N123" s="454"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123" s="422">
        <v>40.0</v>
      </c>
      <c r="P123" s="418" t="s">
        <v>26</v>
      </c>
      <c r="Q123" s="508">
        <v>9.0</v>
      </c>
      <c r="R123" s="437">
        <v>43690.0</v>
      </c>
      <c r="S123" s="466" t="s">
        <v>41</v>
      </c>
      <c r="T123" s="425">
        <v>43221.0</v>
      </c>
      <c r="U123" s="173" t="s">
        <v>42</v>
      </c>
    </row>
    <row r="124" hidden="1">
      <c r="A124" s="412" t="s">
        <v>111</v>
      </c>
      <c r="B124" s="413">
        <v>585.0</v>
      </c>
      <c r="C124" s="547">
        <v>50.0</v>
      </c>
      <c r="D124" s="468">
        <v>1.4</v>
      </c>
      <c r="E124" s="552">
        <v>74.0</v>
      </c>
      <c r="F124" s="444">
        <v>98.0</v>
      </c>
      <c r="G124" s="466" t="s">
        <v>30</v>
      </c>
      <c r="H124" s="508" t="s">
        <v>53</v>
      </c>
      <c r="I124" s="508">
        <v>0.15</v>
      </c>
      <c r="J124" s="420">
        <v>699.0</v>
      </c>
      <c r="K124" s="454" t="str">
        <f>HYPERLINK("https://amzn.to/2SY1Pyr","link*")</f>
        <v>link*</v>
      </c>
      <c r="L124" s="454" t="str">
        <f>HYPERLINK("https://www.bhphotovideo.com/c/product/1352862-REG/samyang_syio50af_e_50mm_f_1_4_auto_focus.html/BI/19619/KBID/12129/DFF/d10-v21-t1-x837927/SID/EZ","link*")</f>
        <v>link*</v>
      </c>
      <c r="M124" s="466" t="s">
        <v>33</v>
      </c>
      <c r="N124" s="454"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124" s="422">
        <v>45.0</v>
      </c>
      <c r="P124" s="418" t="s">
        <v>26</v>
      </c>
      <c r="Q124" s="508">
        <v>9.0</v>
      </c>
      <c r="R124" s="437">
        <v>43686.0</v>
      </c>
      <c r="S124" s="466" t="s">
        <v>46</v>
      </c>
      <c r="T124" s="425">
        <v>42583.0</v>
      </c>
      <c r="U124" s="173"/>
    </row>
    <row r="125" hidden="1">
      <c r="A125" s="538" t="str">
        <f>HYPERLINK("https://phillipreeve.net/blog/review-sony-fe-1-850/","Sony 50mm F1.8")</f>
        <v>Sony 50mm F1.8</v>
      </c>
      <c r="B125" s="463">
        <v>186.0</v>
      </c>
      <c r="C125" s="547">
        <v>50.0</v>
      </c>
      <c r="D125" s="434">
        <v>1.8</v>
      </c>
      <c r="E125" s="476">
        <v>69.0</v>
      </c>
      <c r="F125" s="511">
        <v>60.0</v>
      </c>
      <c r="G125" s="466" t="s">
        <v>30</v>
      </c>
      <c r="H125" s="508" t="s">
        <v>74</v>
      </c>
      <c r="I125" s="508">
        <v>0.14</v>
      </c>
      <c r="J125" s="459">
        <v>249.0</v>
      </c>
      <c r="K125" s="454" t="str">
        <f>HYPERLINK("http://amzn.to/2v2F5Se","link*")</f>
        <v>link*</v>
      </c>
      <c r="L125" s="454" t="str">
        <f>HYPERLINK("https://www.bhphotovideo.com/c/product/1242613-REG/sony_sel50f18f_fe_50mm_f_1_8_lens.html/BI/19619/KBID/12129/kw/SO5018F/DFF/d10-v2-t1-xSO5018F","link*")</f>
        <v>link*</v>
      </c>
      <c r="M125" s="454" t="str">
        <f>HYPERLINK("http://amzn.to/2wyHB25","link*")</f>
        <v>link*</v>
      </c>
      <c r="N125" s="454"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125" s="422">
        <v>45.0</v>
      </c>
      <c r="P125" s="418" t="s">
        <v>26</v>
      </c>
      <c r="Q125" s="508">
        <v>7.0</v>
      </c>
      <c r="R125" s="437">
        <v>43591.0</v>
      </c>
      <c r="S125" s="466" t="s">
        <v>32</v>
      </c>
      <c r="T125" s="425">
        <v>42430.0</v>
      </c>
      <c r="U125" s="173"/>
    </row>
    <row r="126" hidden="1">
      <c r="A126" s="538" t="str">
        <f>HYPERLINK("https://phillipreeve.net/blog/review-zeiss-loxia-planar-250-t/","Zeiss Loxia 50mm F2")</f>
        <v>Zeiss Loxia 50mm F2</v>
      </c>
      <c r="B126" s="427">
        <v>320.0</v>
      </c>
      <c r="C126" s="547">
        <v>50.0</v>
      </c>
      <c r="D126" s="475">
        <v>2.0</v>
      </c>
      <c r="E126" s="482">
        <v>62.0</v>
      </c>
      <c r="F126" s="511">
        <v>60.0</v>
      </c>
      <c r="G126" s="528" t="s">
        <v>24</v>
      </c>
      <c r="H126" s="508" t="s">
        <v>71</v>
      </c>
      <c r="I126" s="508">
        <v>0.15</v>
      </c>
      <c r="J126" s="420">
        <v>949.0</v>
      </c>
      <c r="K126" s="454" t="str">
        <f>HYPERLINK("http://amzn.to/2faVsIu","link*")</f>
        <v>link*</v>
      </c>
      <c r="L126" s="454" t="str">
        <f>HYPERLINK("https://www.bhphotovideo.com/c/product/1080387-REG/zeiss_2103_748_loxia_50mm_f_2_planar.html/BI/19619/KBID/12129/kw/ZE502LFE/DFF/d10-v2-t1-xZE502LFE","link*")</f>
        <v>link*</v>
      </c>
      <c r="M126" s="454" t="str">
        <f>HYPERLINK("http://amzn.to/2wyJAU4","link*")</f>
        <v>link*</v>
      </c>
      <c r="N126" s="454"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126" s="422">
        <v>45.0</v>
      </c>
      <c r="P126" s="418" t="s">
        <v>26</v>
      </c>
      <c r="Q126" s="508">
        <v>10.0</v>
      </c>
      <c r="R126" s="437">
        <v>43561.0</v>
      </c>
      <c r="S126" s="466" t="s">
        <v>58</v>
      </c>
      <c r="T126" s="425">
        <v>41913.0</v>
      </c>
      <c r="U126" s="411" t="s">
        <v>101</v>
      </c>
    </row>
    <row r="127">
      <c r="A127" s="538" t="str">
        <f>HYPERLINK("https://phillipreeve.net/blog/rolling-review-sony-fe-2-850-macro/","Sony 50mm F/2.8 Macro")</f>
        <v>Sony 50mm F/2.8 Macro</v>
      </c>
      <c r="B127" s="427">
        <v>236.0</v>
      </c>
      <c r="C127" s="547">
        <v>50.0</v>
      </c>
      <c r="D127" s="434">
        <v>1.8</v>
      </c>
      <c r="E127" s="553">
        <v>72.0</v>
      </c>
      <c r="F127" s="554">
        <v>71.0</v>
      </c>
      <c r="G127" s="466" t="s">
        <v>30</v>
      </c>
      <c r="H127" s="508" t="s">
        <v>90</v>
      </c>
      <c r="I127" s="555">
        <v>1.0</v>
      </c>
      <c r="J127" s="478">
        <v>499.0</v>
      </c>
      <c r="K127" s="454" t="str">
        <f>HYPERLINK("http://amzn.to/2v2g0qz","link*")</f>
        <v>link*</v>
      </c>
      <c r="L127" s="454" t="str">
        <f>HYPERLINK("https://www.bhphotovideo.com/c/product/1277527-REG/sony_sel50m28_fe_50mm_f_2_8_macro.html/BI/19619/KBID/12129/kw/SO5028FF/DFF/d10-v2-t1-xSO5028FF","link*")</f>
        <v>link*</v>
      </c>
      <c r="M127" s="454" t="str">
        <f>HYPERLINK("http://amzn.to/2vbknRN","link*")</f>
        <v>link*</v>
      </c>
      <c r="N127" s="454"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127" s="422">
        <v>16.0</v>
      </c>
      <c r="P127" s="418" t="s">
        <v>26</v>
      </c>
      <c r="Q127" s="508">
        <v>7.0</v>
      </c>
      <c r="R127" s="437">
        <v>43654.0</v>
      </c>
      <c r="S127" s="466" t="s">
        <v>32</v>
      </c>
      <c r="T127" s="425">
        <v>42614.0</v>
      </c>
      <c r="U127" s="173"/>
    </row>
    <row r="128" hidden="1">
      <c r="A128" s="538" t="str">
        <f>HYPERLINK("https://phillipreeve.net/blog/sony-fe-1-855-za-sonnar-t-review/","Sony ZA 55mm F1.8 Sonnar")</f>
        <v>Sony ZA 55mm F1.8 Sonnar</v>
      </c>
      <c r="B128" s="427">
        <v>281.0</v>
      </c>
      <c r="C128" s="556">
        <v>55.0</v>
      </c>
      <c r="D128" s="434">
        <v>1.8</v>
      </c>
      <c r="E128" s="482">
        <v>64.0</v>
      </c>
      <c r="F128" s="554">
        <v>71.0</v>
      </c>
      <c r="G128" s="466" t="s">
        <v>30</v>
      </c>
      <c r="H128" s="508" t="s">
        <v>74</v>
      </c>
      <c r="I128" s="508">
        <v>0.14</v>
      </c>
      <c r="J128" s="420">
        <v>999.0</v>
      </c>
      <c r="K128" s="454" t="str">
        <f>HYPERLINK("https://amzn.to/2ywdgEk","link*")</f>
        <v>link*</v>
      </c>
      <c r="L128" s="454" t="str">
        <f>HYPERLINK("https://www.bhphotovideo.com/c/product/1008124-REG/sony_sel55f18z_sonnar_t_fe_55mm.html/BI/19619/KBID/12129/DFF/d10-v21-t1-x466841/SID/EZ","link*")</f>
        <v>link*</v>
      </c>
      <c r="M128" s="466" t="s">
        <v>33</v>
      </c>
      <c r="N128" s="454"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128" s="422">
        <v>50.0</v>
      </c>
      <c r="P128" s="418" t="s">
        <v>26</v>
      </c>
      <c r="Q128" s="508">
        <v>9.0</v>
      </c>
      <c r="R128" s="437">
        <v>43592.0</v>
      </c>
      <c r="S128" s="466" t="s">
        <v>32</v>
      </c>
      <c r="T128" s="425">
        <v>41548.0</v>
      </c>
      <c r="U128" s="173"/>
    </row>
    <row r="129">
      <c r="A129" s="538" t="str">
        <f>HYPERLINK("https://phillipreeve.net/blog/voigtlander-65-f2-apo-macro-review/","Voigtlander Macro 65mm F2 Apo Lanthar")</f>
        <v>Voigtlander Macro 65mm F2 Apo Lanthar</v>
      </c>
      <c r="B129" s="413">
        <v>635.0</v>
      </c>
      <c r="C129" s="557">
        <v>65.0</v>
      </c>
      <c r="D129" s="475">
        <v>2.0</v>
      </c>
      <c r="E129" s="558">
        <v>78.0</v>
      </c>
      <c r="F129" s="559">
        <v>91.0</v>
      </c>
      <c r="G129" s="528" t="s">
        <v>24</v>
      </c>
      <c r="H129" s="508" t="s">
        <v>53</v>
      </c>
      <c r="I129" s="560">
        <v>0.5</v>
      </c>
      <c r="J129" s="420">
        <v>999.0</v>
      </c>
      <c r="K129" s="454" t="str">
        <f>HYPERLINK("https://amzn.to/2LU48SI","link*")</f>
        <v>link*</v>
      </c>
      <c r="L129" s="454" t="str">
        <f>HYPERLINK("https://www.bhphotovideo.com/c/product/1350400-REG/voigtlander_macro_apo_lanthar_65mm_f2.html/BI/19619/KBID/12129/DFF/d10-v21-t1-x835677/SID/EZ","link*")</f>
        <v>link*</v>
      </c>
      <c r="M129" s="466" t="s">
        <v>33</v>
      </c>
      <c r="N129" s="454"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129" s="422">
        <v>31.0</v>
      </c>
      <c r="P129" s="418" t="s">
        <v>26</v>
      </c>
      <c r="Q129" s="508">
        <v>10.0</v>
      </c>
      <c r="R129" s="437">
        <v>43687.0</v>
      </c>
      <c r="S129" s="466" t="s">
        <v>28</v>
      </c>
      <c r="T129" s="561">
        <v>42917.0</v>
      </c>
      <c r="U129" s="173"/>
    </row>
    <row r="130">
      <c r="A130" s="516" t="s">
        <v>112</v>
      </c>
      <c r="B130" s="413">
        <v>562.0</v>
      </c>
      <c r="C130" s="562">
        <v>70.0</v>
      </c>
      <c r="D130" s="440">
        <v>2.8</v>
      </c>
      <c r="E130" s="563">
        <v>71.0</v>
      </c>
      <c r="F130" s="564">
        <v>106.0</v>
      </c>
      <c r="G130" s="466" t="s">
        <v>30</v>
      </c>
      <c r="H130" s="508" t="s">
        <v>74</v>
      </c>
      <c r="I130" s="555">
        <v>1.0</v>
      </c>
      <c r="J130" s="535">
        <v>569.0</v>
      </c>
      <c r="K130" s="454" t="str">
        <f>HYPERLINK("https://amzn.to/2YGO9te","link*")</f>
        <v>link*</v>
      </c>
      <c r="L130" s="454" t="str">
        <f>HYPERLINK("https://www.bhphotovideo.com/c/product/1393483-REG/sigma_70mm_f_2_8_dg_macro.html/BI/19619/KBID/12129/DFF/d10-v21-t1-x895111/SID/EZ","link*")</f>
        <v>link*</v>
      </c>
      <c r="M130" s="466" t="s">
        <v>33</v>
      </c>
      <c r="N130" s="454"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130" s="422">
        <v>26.0</v>
      </c>
      <c r="P130" s="418" t="s">
        <v>26</v>
      </c>
      <c r="Q130" s="508">
        <v>9.0</v>
      </c>
      <c r="R130" s="437">
        <v>43751.0</v>
      </c>
      <c r="S130" s="466" t="s">
        <v>41</v>
      </c>
      <c r="T130" s="425">
        <v>43221.0</v>
      </c>
      <c r="U130" s="173" t="s">
        <v>42</v>
      </c>
    </row>
    <row r="131" hidden="1">
      <c r="A131" s="516" t="s">
        <v>113</v>
      </c>
      <c r="B131" s="432">
        <v>1480.0</v>
      </c>
      <c r="C131" s="562">
        <v>70.0</v>
      </c>
      <c r="D131" s="440">
        <v>2.8</v>
      </c>
      <c r="E131" s="493">
        <v>88.0</v>
      </c>
      <c r="F131" s="518">
        <v>200.0</v>
      </c>
      <c r="G131" s="466" t="s">
        <v>30</v>
      </c>
      <c r="H131" s="508" t="s">
        <v>56</v>
      </c>
      <c r="I131" s="513">
        <v>0.25</v>
      </c>
      <c r="J131" s="420">
        <v>2599.0</v>
      </c>
      <c r="K131" s="454" t="str">
        <f>HYPERLINK("https://amzn.to/2KbaJGn","link*")</f>
        <v>link*</v>
      </c>
      <c r="L131" s="454" t="str">
        <f>HYPERLINK("https://www.bhphotovideo.com/c/product/1222776-REG/sony_sel70200gm_fe_70_200mm_f_2_8_gm.html/BI/19619/KBID/12129/DFF/d10-v21-t1-x746807/SID/EZ","link*")</f>
        <v>link*</v>
      </c>
      <c r="M131" s="466" t="s">
        <v>33</v>
      </c>
      <c r="N131" s="454"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131" s="422">
        <v>96.0</v>
      </c>
      <c r="P131" s="515" t="s">
        <v>49</v>
      </c>
      <c r="Q131" s="508">
        <v>11.0</v>
      </c>
      <c r="R131" s="565" t="s">
        <v>114</v>
      </c>
      <c r="S131" s="466" t="s">
        <v>32</v>
      </c>
      <c r="T131" s="425">
        <v>42401.0</v>
      </c>
      <c r="U131" s="173"/>
    </row>
    <row r="132" hidden="1">
      <c r="A132" s="412" t="s">
        <v>117</v>
      </c>
      <c r="B132" s="439">
        <v>854.0</v>
      </c>
      <c r="C132" s="562">
        <v>70.0</v>
      </c>
      <c r="D132" s="496" t="s">
        <v>118</v>
      </c>
      <c r="E132" s="549">
        <v>84.0</v>
      </c>
      <c r="F132" s="566">
        <v>144.0</v>
      </c>
      <c r="G132" s="466" t="s">
        <v>30</v>
      </c>
      <c r="H132" s="508" t="s">
        <v>48</v>
      </c>
      <c r="I132" s="513">
        <v>0.31</v>
      </c>
      <c r="J132" s="420">
        <v>1198.0</v>
      </c>
      <c r="K132" s="454" t="str">
        <f>HYPERLINK("https://amzn.to/2SVN1Ao","link*")</f>
        <v>link*</v>
      </c>
      <c r="L132" s="454" t="str">
        <f>HYPERLINK("https://www.bhphotovideo.com/c/product/1242614-REG/sony_sel70300g_fe_70_300mm_f_4_5_5_6_g.html/BI/19619/KBID/12129/DFF/d10-v21-t1-x722726/SID/EZ","link*")</f>
        <v>link*</v>
      </c>
      <c r="M132" s="466" t="s">
        <v>33</v>
      </c>
      <c r="N132" s="454"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132" s="422">
        <v>90.0</v>
      </c>
      <c r="P132" s="515" t="s">
        <v>49</v>
      </c>
      <c r="Q132" s="508">
        <v>9.0</v>
      </c>
      <c r="R132" s="565" t="s">
        <v>52</v>
      </c>
      <c r="S132" s="466" t="s">
        <v>32</v>
      </c>
      <c r="T132" s="425">
        <v>42430.0</v>
      </c>
      <c r="U132" s="173"/>
    </row>
    <row r="133" hidden="1">
      <c r="A133" s="426" t="str">
        <f>HYPERLINK("https://phillipreeve.net/blog/review-sony-fe-470-200-g-oss/https://phillipreeve.net/blog/review-sony-fe-470-200-g-oss/","Sony G 4/70-200 OSS")</f>
        <v>Sony G 4/70-200 OSS</v>
      </c>
      <c r="B133" s="439">
        <v>840.0</v>
      </c>
      <c r="C133" s="562">
        <v>70.0</v>
      </c>
      <c r="D133" s="415">
        <v>4.0</v>
      </c>
      <c r="E133" s="497">
        <v>80.0</v>
      </c>
      <c r="F133" s="518">
        <v>175.0</v>
      </c>
      <c r="G133" s="466" t="s">
        <v>30</v>
      </c>
      <c r="H133" s="508" t="s">
        <v>48</v>
      </c>
      <c r="I133" s="508">
        <v>0.18</v>
      </c>
      <c r="J133" s="420">
        <v>1498.0</v>
      </c>
      <c r="K133" s="454" t="str">
        <f>HYPERLINK("http://amzn.to/2fbeX3x","link*")</f>
        <v>link*</v>
      </c>
      <c r="L133" s="454" t="str">
        <f>HYPERLINK("https://www.bhphotovideo.com/c/product/1380865-REG/sony_fe_70_200mm_f_4_g.html/BI/19619/KBID/12129/kw/SO702004F/DFF/d10-v2-t1-xSO702004F","link*")</f>
        <v>link*</v>
      </c>
      <c r="M133" s="454" t="str">
        <f>HYPERLINK("http://amzn.to/2vbFQKj","link*")</f>
        <v>link*</v>
      </c>
      <c r="N133" s="454"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133" s="422">
        <v>100.0</v>
      </c>
      <c r="P133" s="515" t="s">
        <v>49</v>
      </c>
      <c r="Q133" s="508">
        <v>9.0</v>
      </c>
      <c r="R133" s="565" t="s">
        <v>121</v>
      </c>
      <c r="S133" s="466" t="s">
        <v>32</v>
      </c>
      <c r="T133" s="425">
        <v>41548.0</v>
      </c>
      <c r="U133" s="173"/>
    </row>
    <row r="134" hidden="1">
      <c r="A134" s="426" t="str">
        <f>HYPERLINK("https://phillipreeve.net/blog/review-sony-fe-85mm-1-4-gm/","Sony GM 1.4/85")</f>
        <v>Sony GM 1.4/85</v>
      </c>
      <c r="B134" s="439">
        <v>854.0</v>
      </c>
      <c r="C134" s="567">
        <v>85.0</v>
      </c>
      <c r="D134" s="468">
        <v>1.4</v>
      </c>
      <c r="E134" s="549">
        <v>84.0</v>
      </c>
      <c r="F134" s="550">
        <v>108.0</v>
      </c>
      <c r="G134" s="466" t="s">
        <v>30</v>
      </c>
      <c r="H134" s="508" t="s">
        <v>56</v>
      </c>
      <c r="I134" s="508">
        <v>0.12</v>
      </c>
      <c r="J134" s="420">
        <v>1799.0</v>
      </c>
      <c r="K134" s="454" t="str">
        <f>HYPERLINK("https://amzn.to/2SZeKAh","link*")</f>
        <v>link*</v>
      </c>
      <c r="L134" s="454" t="str">
        <f>HYPERLINK("https://www.bhphotovideo.com/c/product/1222775-REG/sony_sel85f14gm_fe_85mm_f_1_4_gm.html/BI/19619/KBID/12129/DFF/d10-v21-t1-x707644/SID/EZ","link*")</f>
        <v>link*</v>
      </c>
      <c r="M134" s="466" t="s">
        <v>33</v>
      </c>
      <c r="N134" s="454"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134" s="422">
        <v>80.0</v>
      </c>
      <c r="P134" s="418" t="s">
        <v>26</v>
      </c>
      <c r="Q134" s="508">
        <v>11.0</v>
      </c>
      <c r="R134" s="437">
        <v>43688.0</v>
      </c>
      <c r="S134" s="466" t="s">
        <v>32</v>
      </c>
      <c r="T134" s="425">
        <v>42401.0</v>
      </c>
      <c r="U134" s="173"/>
    </row>
    <row r="135" hidden="1">
      <c r="A135" s="412" t="s">
        <v>123</v>
      </c>
      <c r="B135" s="432">
        <v>1130.0</v>
      </c>
      <c r="C135" s="567">
        <v>85.0</v>
      </c>
      <c r="D135" s="468">
        <v>1.4</v>
      </c>
      <c r="E135" s="568">
        <v>95.0</v>
      </c>
      <c r="F135" s="518">
        <v>152.0</v>
      </c>
      <c r="G135" s="466" t="s">
        <v>30</v>
      </c>
      <c r="H135" s="569" t="s">
        <v>124</v>
      </c>
      <c r="I135" s="508">
        <v>0.12</v>
      </c>
      <c r="J135" s="420">
        <v>1199.0</v>
      </c>
      <c r="K135" s="454" t="str">
        <f>HYPERLINK("https://amzn.to/2MBd68k","link*")</f>
        <v>link*</v>
      </c>
      <c r="L135" s="454" t="str">
        <f>HYPERLINK("https://www.bhphotovideo.com/c/product/1393494-REG/sigma_85mm_f_1_4_dg_hsm.html/BI/19619/KBID/12129/kw/SI8514SO/DFF/d10-v2-t1-xSI8514SO","link*")</f>
        <v>link*</v>
      </c>
      <c r="M135" s="454" t="str">
        <f>HYPERLINK("https://amzn.to/2Wto6JH","link*")</f>
        <v>link*</v>
      </c>
      <c r="N135" s="454"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135" s="422">
        <v>85.0</v>
      </c>
      <c r="P135" s="418" t="s">
        <v>26</v>
      </c>
      <c r="Q135" s="508">
        <v>9.0</v>
      </c>
      <c r="R135" s="437">
        <v>43724.0</v>
      </c>
      <c r="S135" s="466" t="s">
        <v>41</v>
      </c>
      <c r="T135" s="425">
        <v>43221.0</v>
      </c>
      <c r="U135" s="173" t="s">
        <v>42</v>
      </c>
    </row>
    <row r="136" hidden="1">
      <c r="A136" s="471" t="s">
        <v>125</v>
      </c>
      <c r="B136" s="413">
        <v>568.0</v>
      </c>
      <c r="C136" s="567">
        <v>85.0</v>
      </c>
      <c r="D136" s="468">
        <v>1.4</v>
      </c>
      <c r="E136" s="493">
        <v>88.0</v>
      </c>
      <c r="F136" s="551">
        <v>100.0</v>
      </c>
      <c r="G136" s="466" t="s">
        <v>30</v>
      </c>
      <c r="H136" s="508" t="s">
        <v>56</v>
      </c>
      <c r="I136" s="508">
        <v>0.11</v>
      </c>
      <c r="J136" s="459">
        <v>699.0</v>
      </c>
      <c r="K136" s="454" t="str">
        <f>HYPERLINK("https://amzn.to/2T0yJ1A","link*")</f>
        <v>link*</v>
      </c>
      <c r="L136" s="454" t="str">
        <f>HYPERLINK("https://www.bhphotovideo.com/c/product/1470654-REG/samyang_syio85af_e_af_85mm_f_1_4_lens.html/BI/19619/KBID/12129/DFF/d10-v21-t1-x955078/SID/EZ","link*")</f>
        <v>link*</v>
      </c>
      <c r="M136" s="466" t="s">
        <v>33</v>
      </c>
      <c r="N136" s="454"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136" s="422">
        <v>90.0</v>
      </c>
      <c r="P136" s="418" t="s">
        <v>26</v>
      </c>
      <c r="Q136" s="508">
        <v>9.0</v>
      </c>
      <c r="R136" s="437">
        <v>43688.0</v>
      </c>
      <c r="S136" s="466" t="s">
        <v>46</v>
      </c>
      <c r="T136" s="425">
        <v>43586.0</v>
      </c>
      <c r="U136" s="173"/>
    </row>
    <row r="137" hidden="1">
      <c r="A137" s="426" t="str">
        <f>HYPERLINK("https://phillipreeve.net/blog/review-sony-fe-85-mm-1-8/","Sony FE 85mm f/1.8")</f>
        <v>Sony FE 85mm f/1.8</v>
      </c>
      <c r="B137" s="427">
        <v>371.0</v>
      </c>
      <c r="C137" s="567">
        <v>85.0</v>
      </c>
      <c r="D137" s="434">
        <v>1.8</v>
      </c>
      <c r="E137" s="529">
        <v>77.0</v>
      </c>
      <c r="F137" s="477">
        <v>82.0</v>
      </c>
      <c r="G137" s="466" t="s">
        <v>30</v>
      </c>
      <c r="H137" s="508" t="s">
        <v>53</v>
      </c>
      <c r="I137" s="508">
        <v>0.13</v>
      </c>
      <c r="J137" s="459">
        <v>599.0</v>
      </c>
      <c r="K137" s="454" t="str">
        <f>HYPERLINK("https://amzn.to/2YB4RxU","link*")</f>
        <v>link*</v>
      </c>
      <c r="L137" s="454" t="str">
        <f t="shared" ref="L137:L138" si="6">HYPERLINK("https://www.bhphotovideo.com/c/product/1140833-REG/zeiss_2103_751_85mm_f_1_8_batis_short.html/BI/19619/KBID/12129/DFF/d10-v21-t1-x627139/SID/EZ","link*")</f>
        <v>link*</v>
      </c>
      <c r="M137" s="466" t="s">
        <v>33</v>
      </c>
      <c r="N137" s="454"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137" s="422">
        <v>80.0</v>
      </c>
      <c r="P137" s="418" t="s">
        <v>26</v>
      </c>
      <c r="Q137" s="508">
        <v>9.0</v>
      </c>
      <c r="R137" s="437">
        <v>43686.0</v>
      </c>
      <c r="S137" s="466" t="s">
        <v>32</v>
      </c>
      <c r="T137" s="425">
        <v>42767.0</v>
      </c>
      <c r="U137" s="173"/>
    </row>
    <row r="138" hidden="1">
      <c r="A138" s="538" t="str">
        <f>HYPERLINK("https://phillipreeve.net/blog/zeiss-batis-sonnar-t-85mm-f1-8-a-review/","Zeiss Batis 1.8/85")</f>
        <v>Zeiss Batis 1.8/85</v>
      </c>
      <c r="B138" s="413">
        <v>475.0</v>
      </c>
      <c r="C138" s="567">
        <v>85.0</v>
      </c>
      <c r="D138" s="434">
        <v>1.8</v>
      </c>
      <c r="E138" s="504">
        <v>92.0</v>
      </c>
      <c r="F138" s="570">
        <v>81.0</v>
      </c>
      <c r="G138" s="466" t="s">
        <v>30</v>
      </c>
      <c r="H138" s="508" t="s">
        <v>53</v>
      </c>
      <c r="I138" s="508">
        <v>0.13</v>
      </c>
      <c r="J138" s="420">
        <v>1199.0</v>
      </c>
      <c r="K138" s="454" t="str">
        <f>HYPERLINK("https://amzn.to/2T8oWqt","link*")</f>
        <v>link*</v>
      </c>
      <c r="L138" s="454" t="str">
        <f t="shared" si="6"/>
        <v>link*</v>
      </c>
      <c r="M138" s="466" t="s">
        <v>33</v>
      </c>
      <c r="N138" s="454"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138" s="422">
        <v>80.0</v>
      </c>
      <c r="P138" s="515" t="s">
        <v>49</v>
      </c>
      <c r="Q138" s="508">
        <v>9.0</v>
      </c>
      <c r="R138" s="437">
        <v>43688.0</v>
      </c>
      <c r="S138" s="466" t="s">
        <v>58</v>
      </c>
      <c r="T138" s="425">
        <v>42125.0</v>
      </c>
      <c r="U138" s="173"/>
    </row>
    <row r="139" hidden="1">
      <c r="A139" s="471" t="s">
        <v>129</v>
      </c>
      <c r="B139" s="439">
        <v>665.0</v>
      </c>
      <c r="C139" s="567">
        <v>85.0</v>
      </c>
      <c r="D139" s="434">
        <v>1.8</v>
      </c>
      <c r="E139" s="523">
        <v>79.0</v>
      </c>
      <c r="F139" s="488">
        <v>92.0</v>
      </c>
      <c r="G139" s="528" t="s">
        <v>24</v>
      </c>
      <c r="H139" s="508" t="s">
        <v>48</v>
      </c>
      <c r="I139" s="508">
        <v>0.13</v>
      </c>
      <c r="J139" s="420">
        <v>299.0</v>
      </c>
      <c r="K139" s="454" t="str">
        <f>HYPERLINK("https://amzn.to/2LVVOBV","link*")</f>
        <v>link*</v>
      </c>
      <c r="L139" s="454" t="str">
        <f>HYPERLINK("https://www.bhphotovideo.com/c/product/1469189-REG/viltrox_pfu_rbmh_85mm_f1_8_e_mount_85mm_f_1_8_for_sony.html/BI/19619/KBID/12129/DFF/d10-v21-t1-x954301/SID/EZ","link*")</f>
        <v>link*</v>
      </c>
      <c r="M139" s="466" t="s">
        <v>33</v>
      </c>
      <c r="N139" s="454"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139" s="422">
        <v>80.0</v>
      </c>
      <c r="P139" s="418" t="s">
        <v>26</v>
      </c>
      <c r="Q139" s="508">
        <v>9.0</v>
      </c>
      <c r="R139" s="437">
        <v>43656.0</v>
      </c>
      <c r="S139" s="466" t="s">
        <v>63</v>
      </c>
      <c r="T139" s="571">
        <v>43586.0</v>
      </c>
      <c r="U139" s="411" t="s">
        <v>236</v>
      </c>
    </row>
    <row r="140" hidden="1">
      <c r="A140" s="471" t="s">
        <v>229</v>
      </c>
      <c r="B140" s="413">
        <v>636.0</v>
      </c>
      <c r="C140" s="567">
        <v>85.0</v>
      </c>
      <c r="D140" s="434">
        <v>1.8</v>
      </c>
      <c r="E140" s="523">
        <v>79.0</v>
      </c>
      <c r="F140" s="488">
        <v>92.0</v>
      </c>
      <c r="G140" s="466" t="s">
        <v>30</v>
      </c>
      <c r="H140" s="508" t="s">
        <v>48</v>
      </c>
      <c r="I140" s="508">
        <v>0.13</v>
      </c>
      <c r="J140" s="420">
        <v>379.0</v>
      </c>
      <c r="K140" s="454" t="str">
        <f>HYPERLINK("https://amzn.to/2SZfd5v","link*")</f>
        <v>link*</v>
      </c>
      <c r="L140" s="454" t="str">
        <f>HYPERLINK("https://www.bhphotovideo.com/c/product/1470585-REG/viltrox_pfu_rbmh_85mm_f1_8_stm_e_mount_85mm_f_1_8_lens_for.html/BI/19619/KBID/12129/DFF/d10-v21-t1-x955239/SID/EZ","link*")</f>
        <v>link*</v>
      </c>
      <c r="M140" s="466" t="s">
        <v>33</v>
      </c>
      <c r="N140" s="454"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140" s="422">
        <v>80.0</v>
      </c>
      <c r="P140" s="418" t="s">
        <v>26</v>
      </c>
      <c r="Q140" s="508">
        <v>9.0</v>
      </c>
      <c r="R140" s="437">
        <v>43656.0</v>
      </c>
      <c r="S140" s="466" t="s">
        <v>63</v>
      </c>
      <c r="T140" s="425">
        <v>43586.0</v>
      </c>
      <c r="U140" s="173"/>
    </row>
    <row r="141" hidden="1">
      <c r="A141" s="538" t="str">
        <f>HYPERLINK("https://phillipreeve.net/blog/rolling-review-zeiss-loxia-85mm-2-4/","Zeiss Loxia 2.4/85")</f>
        <v>Zeiss Loxia 2.4/85</v>
      </c>
      <c r="B141" s="413">
        <v>594.0</v>
      </c>
      <c r="C141" s="567">
        <v>85.0</v>
      </c>
      <c r="D141" s="506">
        <v>2.4</v>
      </c>
      <c r="E141" s="482">
        <v>63.0</v>
      </c>
      <c r="F141" s="502">
        <v>95.0</v>
      </c>
      <c r="G141" s="528" t="s">
        <v>24</v>
      </c>
      <c r="H141" s="508" t="s">
        <v>71</v>
      </c>
      <c r="I141" s="508">
        <v>0.14</v>
      </c>
      <c r="J141" s="420">
        <v>1399.0</v>
      </c>
      <c r="K141" s="454" t="str">
        <f>HYPERLINK("https://amzn.to/2SY4PLd","link*")</f>
        <v>link*</v>
      </c>
      <c r="L141" s="454" t="str">
        <f>HYPERLINK("https://www.bhphotovideo.com/c/product/1282150-REG/zeiss_2162_636_loxia_85mm_f_2_4_lens.html/BI/19619/KBID/12129/DFF/d10-v21-t1-x762761/SID/EZ","link*")</f>
        <v>link*</v>
      </c>
      <c r="M141" s="466" t="s">
        <v>33</v>
      </c>
      <c r="N141" s="454"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141" s="422">
        <v>80.0</v>
      </c>
      <c r="P141" s="418" t="s">
        <v>26</v>
      </c>
      <c r="Q141" s="508">
        <v>10.0</v>
      </c>
      <c r="R141" s="437">
        <v>43653.0</v>
      </c>
      <c r="S141" s="466" t="s">
        <v>58</v>
      </c>
      <c r="T141" s="425">
        <v>42644.0</v>
      </c>
      <c r="U141" s="173"/>
    </row>
    <row r="142">
      <c r="A142" s="426" t="str">
        <f>HYPERLINK("https://phillipreeve.net/blog/review-sony-fe-90mm-f2-8-macro-oss-one-of-sonys-finest/","Sony 2.8/90 G OSS")</f>
        <v>Sony 2.8/90 G OSS</v>
      </c>
      <c r="B142" s="413">
        <v>602.0</v>
      </c>
      <c r="C142" s="572">
        <v>90.0</v>
      </c>
      <c r="D142" s="440">
        <v>2.8</v>
      </c>
      <c r="E142" s="523">
        <v>79.0</v>
      </c>
      <c r="F142" s="442">
        <v>131.0</v>
      </c>
      <c r="G142" s="466" t="s">
        <v>30</v>
      </c>
      <c r="H142" s="508" t="s">
        <v>66</v>
      </c>
      <c r="I142" s="555">
        <v>1.0</v>
      </c>
      <c r="J142" s="420">
        <v>1099.0</v>
      </c>
      <c r="K142" s="454" t="str">
        <f>HYPERLINK("http://amzn.to/2fbeX3x","link*")</f>
        <v>link*</v>
      </c>
      <c r="L142" s="454" t="str">
        <f>HYPERLINK("https://www.bhphotovideo.com/c/product/1380868-REG/sony_fe_90mm_f_2_8_macro.html/BI/19619/KBID/12129/kw/SO9028F/DFF/d10-v2-t1-xSO9028F","link*")</f>
        <v>link*</v>
      </c>
      <c r="M142" s="454" t="str">
        <f>HYPERLINK("http://amzn.to/2vvvHcw","link*")</f>
        <v>link*</v>
      </c>
      <c r="N142" s="454"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42" s="422">
        <v>28.0</v>
      </c>
      <c r="P142" s="515" t="s">
        <v>49</v>
      </c>
      <c r="Q142" s="508">
        <v>9.0</v>
      </c>
      <c r="R142" s="437">
        <v>43784.0</v>
      </c>
      <c r="S142" s="466" t="s">
        <v>32</v>
      </c>
      <c r="T142" s="425">
        <v>42064.0</v>
      </c>
      <c r="U142" s="173"/>
    </row>
    <row r="143" hidden="1">
      <c r="A143" s="426" t="str">
        <f>HYPERLINK("https://phillipreeve.net/blog/review-sony-fe-100-f-2-8-stf-gm-oss-lens/","Sony GM 2.8/100 STF OSS")</f>
        <v>Sony GM 2.8/100 STF OSS</v>
      </c>
      <c r="B143" s="439">
        <v>700.0</v>
      </c>
      <c r="C143" s="573">
        <v>100.0</v>
      </c>
      <c r="D143" s="440">
        <v>2.8</v>
      </c>
      <c r="E143" s="489">
        <v>85.0</v>
      </c>
      <c r="F143" s="512">
        <v>118.0</v>
      </c>
      <c r="G143" s="466" t="s">
        <v>30</v>
      </c>
      <c r="H143" s="508" t="s">
        <v>48</v>
      </c>
      <c r="I143" s="513">
        <v>0.25</v>
      </c>
      <c r="J143" s="420">
        <v>1499.0</v>
      </c>
      <c r="K143" s="454" t="str">
        <f>HYPERLINK("https://amzn.to/2YD8rn4","link*")</f>
        <v>link*</v>
      </c>
      <c r="L143" s="454" t="str">
        <f>HYPERLINK("https://www.bhphotovideo.com/c/product/1317561-REG/sony_sel100f28gm_fe_100mm_f_2_8_stf.html/BI/19619/KBID/12129/DFF/d10-v21-t1-x795192/SID/EZ","link*")</f>
        <v>link*</v>
      </c>
      <c r="M143" s="466" t="s">
        <v>33</v>
      </c>
      <c r="N143" s="454"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143" s="422">
        <v>57.0</v>
      </c>
      <c r="P143" s="515" t="s">
        <v>49</v>
      </c>
      <c r="Q143" s="508">
        <v>11.0</v>
      </c>
      <c r="R143" s="437">
        <v>43752.0</v>
      </c>
      <c r="S143" s="466" t="s">
        <v>32</v>
      </c>
      <c r="T143" s="425">
        <v>42767.0</v>
      </c>
      <c r="U143" s="411" t="s">
        <v>132</v>
      </c>
    </row>
    <row r="144">
      <c r="A144" s="455" t="str">
        <f>HYPERLINK("https://phillipreeve.net/blog/review-tokina-firin-100mm-f2-8-fe-macro/","Tokina Firin 2.8/100 Macro")</f>
        <v>Tokina Firin 2.8/100 Macro</v>
      </c>
      <c r="B144" s="413">
        <v>570.0</v>
      </c>
      <c r="C144" s="573">
        <v>100.0</v>
      </c>
      <c r="D144" s="440">
        <v>2.8</v>
      </c>
      <c r="E144" s="552">
        <v>74.0</v>
      </c>
      <c r="F144" s="574">
        <v>123.0</v>
      </c>
      <c r="G144" s="466" t="s">
        <v>30</v>
      </c>
      <c r="H144" s="508" t="s">
        <v>90</v>
      </c>
      <c r="I144" s="555">
        <v>1.0</v>
      </c>
      <c r="J144" s="478">
        <v>599.0</v>
      </c>
      <c r="K144" s="454" t="str">
        <f>HYPERLINK("http://amzn.to/2fbeX3x","link*")</f>
        <v>link*</v>
      </c>
      <c r="L144" s="454" t="str">
        <f>HYPERLINK("https://www.bhphotovideo.com/c/product/1473390-REG/tokina_frn_afm100fxse_firin_100mm_f_2_8_fe.html/BI/19619/KBID/12129/kw/TO100AF/DFF/d10-v2-t1-xTO100AF","link*")</f>
        <v>link*</v>
      </c>
      <c r="M144" s="454"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144" s="454"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44" s="422">
        <v>30.0</v>
      </c>
      <c r="P144" s="418" t="s">
        <v>26</v>
      </c>
      <c r="Q144" s="508">
        <v>9.0</v>
      </c>
      <c r="R144" s="437">
        <v>43686.0</v>
      </c>
      <c r="S144" s="466" t="s">
        <v>67</v>
      </c>
      <c r="T144" s="425">
        <v>43617.0</v>
      </c>
      <c r="U144" s="173" t="s">
        <v>42</v>
      </c>
    </row>
    <row r="145" hidden="1">
      <c r="A145" s="412" t="s">
        <v>135</v>
      </c>
      <c r="B145" s="432">
        <v>1395.0</v>
      </c>
      <c r="C145" s="573">
        <v>100.0</v>
      </c>
      <c r="D145" s="496" t="s">
        <v>118</v>
      </c>
      <c r="E145" s="575">
        <v>94.0</v>
      </c>
      <c r="F145" s="518">
        <v>205.0</v>
      </c>
      <c r="G145" s="466" t="s">
        <v>30</v>
      </c>
      <c r="H145" s="508" t="s">
        <v>56</v>
      </c>
      <c r="I145" s="513">
        <v>0.35</v>
      </c>
      <c r="J145" s="420">
        <v>2499.0</v>
      </c>
      <c r="K145" s="454" t="str">
        <f>HYPERLINK("https://amzn.to/2SZ0aZO","link*")</f>
        <v>link*</v>
      </c>
      <c r="L145" s="454" t="str">
        <f>HYPERLINK("https://www.bhphotovideo.com/c/product/1333230-REG/sony_sel100400gm_fe_100_400mm_f_4_5_5_6_gm.html/BI/19619/KBID/12129/DFF/d10-v21-t1-x817745/SID/EZ","link*")</f>
        <v>link*</v>
      </c>
      <c r="M145" s="466" t="s">
        <v>33</v>
      </c>
      <c r="N145" s="454"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145" s="422">
        <v>98.0</v>
      </c>
      <c r="P145" s="515" t="s">
        <v>49</v>
      </c>
      <c r="Q145" s="508">
        <v>11.0</v>
      </c>
      <c r="R145" s="565" t="s">
        <v>134</v>
      </c>
      <c r="S145" s="466" t="s">
        <v>32</v>
      </c>
      <c r="T145" s="425">
        <v>42826.0</v>
      </c>
      <c r="U145" s="173"/>
    </row>
    <row r="146" hidden="1">
      <c r="A146" s="412" t="s">
        <v>136</v>
      </c>
      <c r="B146" s="432">
        <v>1600.0</v>
      </c>
      <c r="C146" s="576">
        <v>105.0</v>
      </c>
      <c r="D146" s="468">
        <v>1.4</v>
      </c>
      <c r="E146" s="517">
        <v>116.0</v>
      </c>
      <c r="F146" s="577">
        <v>132.0</v>
      </c>
      <c r="G146" s="466" t="s">
        <v>30</v>
      </c>
      <c r="H146" s="578" t="s">
        <v>137</v>
      </c>
      <c r="I146" s="508">
        <v>0.12</v>
      </c>
      <c r="J146" s="420">
        <v>1599.0</v>
      </c>
      <c r="K146" s="454" t="str">
        <f>HYPERLINK("https://amzn.to/2EWeThZ","link*")</f>
        <v>link*</v>
      </c>
      <c r="L146" s="454" t="str">
        <f>HYPERLINK("https://www.bhphotovideo.com/c/product/1393488-REG/sigma_105mm_f_1_4_dg_hsm.html/BI/19619/KBID/12129/kw/SI10514SO/DFF/d10-v2-t1-xSI10514SO","link*")</f>
        <v>link*</v>
      </c>
      <c r="M146" s="454" t="str">
        <f>HYPERLINK("https://amzn.to/2WpOvTy","link*")</f>
        <v>link*</v>
      </c>
      <c r="N146" s="454"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146" s="422">
        <v>100.0</v>
      </c>
      <c r="P146" s="418" t="s">
        <v>26</v>
      </c>
      <c r="Q146" s="508">
        <v>9.0</v>
      </c>
      <c r="R146" s="437">
        <v>43816.0</v>
      </c>
      <c r="S146" s="466" t="s">
        <v>138</v>
      </c>
      <c r="T146" s="425">
        <v>43221.0</v>
      </c>
      <c r="U146" s="173" t="s">
        <v>42</v>
      </c>
    </row>
    <row r="147">
      <c r="A147" s="426" t="str">
        <f>HYPERLINK("https://phillipreeve.net/blog/voigtlander-110mm-f2-5-apo-review/","Voigtlander 110mm F2.5 APO Macro")</f>
        <v>Voigtlander 110mm F2.5 APO Macro</v>
      </c>
      <c r="B147" s="439">
        <v>771.0</v>
      </c>
      <c r="C147" s="579">
        <v>110.0</v>
      </c>
      <c r="D147" s="580">
        <v>2.5</v>
      </c>
      <c r="E147" s="558">
        <v>78.0</v>
      </c>
      <c r="F147" s="551">
        <v>100.0</v>
      </c>
      <c r="G147" s="528" t="s">
        <v>24</v>
      </c>
      <c r="H147" s="508" t="s">
        <v>47</v>
      </c>
      <c r="I147" s="555">
        <v>1.0</v>
      </c>
      <c r="J147" s="420">
        <v>1099.0</v>
      </c>
      <c r="K147" s="454" t="str">
        <f>HYPERLINK("https://amzn.to/2SXYsrm","link*")</f>
        <v>link*</v>
      </c>
      <c r="L147" s="454" t="str">
        <f>HYPERLINK("https://www.bhphotovideo.com/c/product/1418780-REG/voigtlander_ba349a_macro_apo_lanthar_110mm_f_2_5.html/BI/19619/KBID/12129/kw/VO11025/DFF/d10-v2-t1-xVO11025","link*")</f>
        <v>link*</v>
      </c>
      <c r="M147" s="466" t="s">
        <v>33</v>
      </c>
      <c r="N147" s="454"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147" s="422">
        <v>35.0</v>
      </c>
      <c r="P147" s="418" t="s">
        <v>26</v>
      </c>
      <c r="Q147" s="508">
        <v>10.0</v>
      </c>
      <c r="R147" s="437">
        <v>43813.0</v>
      </c>
      <c r="S147" s="466" t="s">
        <v>28</v>
      </c>
      <c r="T147" s="425">
        <v>43405.0</v>
      </c>
      <c r="U147" s="173"/>
    </row>
    <row r="148" hidden="1">
      <c r="A148" s="426" t="str">
        <f>HYPERLINK("https://phillipreeve.net/blog/review-sony-fe-135mm-f1-8-gm/","Sony 1.8/135 GM")</f>
        <v>Sony 1.8/135 GM</v>
      </c>
      <c r="B148" s="432">
        <v>950.0</v>
      </c>
      <c r="C148" s="581">
        <v>135.0</v>
      </c>
      <c r="D148" s="434">
        <v>1.8</v>
      </c>
      <c r="E148" s="582">
        <v>90.0</v>
      </c>
      <c r="F148" s="583">
        <v>127.0</v>
      </c>
      <c r="G148" s="466" t="s">
        <v>30</v>
      </c>
      <c r="H148" s="522" t="s">
        <v>51</v>
      </c>
      <c r="I148" s="513">
        <v>0.25</v>
      </c>
      <c r="J148" s="420">
        <v>1899.0</v>
      </c>
      <c r="K148" s="454" t="str">
        <f>HYPERLINK("https://amzn.to/2WtonMJ","link*")</f>
        <v>link*</v>
      </c>
      <c r="L148" s="454" t="str">
        <f>HYPERLINK("https://www.bhphotovideo.com/c/product/1393495-REG/sigma_135mm_f_1_8_dg_hsm.html/BI/19619/KBID/12129/kw/SI13518SO/DFF/d10-v2-t1-xSI13518SO","link*")</f>
        <v>link*</v>
      </c>
      <c r="M148" s="454" t="str">
        <f>HYPERLINK("https://amzn.to/2Z9KKDE","link*")</f>
        <v>link*</v>
      </c>
      <c r="N148" s="454"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148" s="422">
        <v>70.0</v>
      </c>
      <c r="P148" s="418" t="s">
        <v>26</v>
      </c>
      <c r="Q148" s="508">
        <v>11.0</v>
      </c>
      <c r="R148" s="437">
        <v>43751.0</v>
      </c>
      <c r="S148" s="466" t="s">
        <v>32</v>
      </c>
      <c r="T148" s="425">
        <v>43525.0</v>
      </c>
      <c r="U148" s="173"/>
    </row>
    <row r="149" hidden="1">
      <c r="A149" s="412" t="s">
        <v>142</v>
      </c>
      <c r="B149" s="432">
        <v>1130.0</v>
      </c>
      <c r="C149" s="581">
        <v>135.0</v>
      </c>
      <c r="D149" s="434">
        <v>1.8</v>
      </c>
      <c r="E149" s="540">
        <v>91.0</v>
      </c>
      <c r="F149" s="526">
        <v>115.0</v>
      </c>
      <c r="G149" s="466" t="s">
        <v>30</v>
      </c>
      <c r="H149" s="522" t="s">
        <v>51</v>
      </c>
      <c r="I149" s="508">
        <v>0.2</v>
      </c>
      <c r="J149" s="478">
        <v>1399.0</v>
      </c>
      <c r="K149" s="454" t="str">
        <f>HYPERLINK("https://amzn.to/2yxIM4R","link*")</f>
        <v>link*</v>
      </c>
      <c r="L149" s="454" t="str">
        <f>HYPERLINK("https://www.bhphotovideo.com/c/product/1393495-REG/sigma_135mm_f_1_8_dg_hsm.html/BI/19619/KBID/12129/DFF/d10-v21-t1-x881160/SID/EZ","link*")</f>
        <v>link*</v>
      </c>
      <c r="M149" s="466" t="s">
        <v>33</v>
      </c>
      <c r="N149" s="454"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149" s="422">
        <v>87.0</v>
      </c>
      <c r="P149" s="418" t="s">
        <v>26</v>
      </c>
      <c r="Q149" s="508">
        <v>9.0</v>
      </c>
      <c r="R149" s="437">
        <v>43751.0</v>
      </c>
      <c r="S149" s="466" t="s">
        <v>41</v>
      </c>
      <c r="T149" s="425">
        <v>43221.0</v>
      </c>
      <c r="U149" s="173" t="s">
        <v>42</v>
      </c>
    </row>
    <row r="150" hidden="1">
      <c r="A150" s="426" t="str">
        <f>HYPERLINK("https://phillipreeve.net/blog/zeiss-batis-apo-sonnar-t-135mm-f2-8/","Zeiss 2.8/135 APO")</f>
        <v>Zeiss 2.8/135 APO</v>
      </c>
      <c r="B150" s="413">
        <v>614.0</v>
      </c>
      <c r="C150" s="581">
        <v>135.0</v>
      </c>
      <c r="D150" s="440">
        <v>2.8</v>
      </c>
      <c r="E150" s="584">
        <v>99.0</v>
      </c>
      <c r="F150" s="585">
        <v>120.0</v>
      </c>
      <c r="G150" s="466" t="s">
        <v>30</v>
      </c>
      <c r="H150" s="508" t="s">
        <v>53</v>
      </c>
      <c r="I150" s="508">
        <v>0.19</v>
      </c>
      <c r="J150" s="420">
        <v>1699.0</v>
      </c>
      <c r="K150" s="454" t="str">
        <f>HYPERLINK("https://amzn.to/319GJA4","link*")</f>
        <v>link*</v>
      </c>
      <c r="L150" s="454" t="str">
        <f>HYPERLINK("https://www.bhphotovideo.com/c/product/1330083-REG/zeiss_2136_695_batis_135mm_f_2_8_lens.html/BI/19619/KBID/12129/DFF/d10-v21-t1-x814884/SID/EZ","link*")</f>
        <v>link*</v>
      </c>
      <c r="M150" s="466" t="s">
        <v>33</v>
      </c>
      <c r="N150" s="454"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150" s="422">
        <v>87.0</v>
      </c>
      <c r="P150" s="515" t="s">
        <v>49</v>
      </c>
      <c r="Q150" s="508">
        <v>9.0</v>
      </c>
      <c r="R150" s="437">
        <v>43783.0</v>
      </c>
      <c r="S150" s="466" t="s">
        <v>58</v>
      </c>
      <c r="T150" s="425">
        <v>42826.0</v>
      </c>
      <c r="U150" s="173"/>
    </row>
    <row r="151" hidden="1">
      <c r="A151" s="542" t="s">
        <v>144</v>
      </c>
      <c r="B151" s="432">
        <v>2215.0</v>
      </c>
      <c r="C151" s="586">
        <v>200.0</v>
      </c>
      <c r="D151" s="496" t="s">
        <v>145</v>
      </c>
      <c r="E151" s="517">
        <v>112.0</v>
      </c>
      <c r="F151" s="518">
        <v>318.0</v>
      </c>
      <c r="G151" s="466" t="s">
        <v>30</v>
      </c>
      <c r="H151" s="539" t="s">
        <v>92</v>
      </c>
      <c r="I151" s="508">
        <v>0.2</v>
      </c>
      <c r="J151" s="420">
        <v>1999.0</v>
      </c>
      <c r="K151" s="466"/>
      <c r="L151" s="454" t="str">
        <f>HYPERLINK("https://www.bhphotovideo.com/c/product/1485540-REG/sony_sel200600g_fe_200_600mm_f_5_6_6_3_g.html/BI/19619/KBID/12129/DFF/d10-v21-t1-x968882/SID/EZ","link*")</f>
        <v>link*</v>
      </c>
      <c r="M151" s="466" t="s">
        <v>33</v>
      </c>
      <c r="N151" s="454"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151" s="422">
        <v>240.0</v>
      </c>
      <c r="P151" s="515" t="s">
        <v>49</v>
      </c>
      <c r="Q151" s="508">
        <v>11.0</v>
      </c>
      <c r="R151" s="565" t="s">
        <v>146</v>
      </c>
      <c r="S151" s="466" t="s">
        <v>32</v>
      </c>
      <c r="T151" s="425">
        <v>43647.0</v>
      </c>
      <c r="U151" s="173"/>
    </row>
    <row r="152" hidden="1">
      <c r="A152" s="516" t="s">
        <v>147</v>
      </c>
      <c r="B152" s="432">
        <v>2895.0</v>
      </c>
      <c r="C152" s="587">
        <v>400.0</v>
      </c>
      <c r="D152" s="440">
        <v>2.8</v>
      </c>
      <c r="E152" s="517">
        <v>158.0</v>
      </c>
      <c r="F152" s="518">
        <v>359.0</v>
      </c>
      <c r="G152" s="466" t="s">
        <v>30</v>
      </c>
      <c r="H152" s="508" t="s">
        <v>148</v>
      </c>
      <c r="I152" s="508">
        <v>0.16</v>
      </c>
      <c r="J152" s="420">
        <v>11999.0</v>
      </c>
      <c r="K152" s="466"/>
      <c r="L152" s="454" t="str">
        <f>HYPERLINK("https://www.bhphotovideo.com/c/product/1369634-REG/sony_fe_400mm_f_2_8_gm.html/BI/19619/KBID/12129/DFF/d10-v21-t1-x905722/SID/EZ","link*")</f>
        <v>link*</v>
      </c>
      <c r="M152" s="466" t="s">
        <v>33</v>
      </c>
      <c r="N152" s="454"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152" s="422">
        <v>270.0</v>
      </c>
      <c r="P152" s="515" t="s">
        <v>49</v>
      </c>
      <c r="Q152" s="508">
        <v>11.0</v>
      </c>
      <c r="R152" s="565" t="s">
        <v>149</v>
      </c>
      <c r="S152" s="466" t="s">
        <v>32</v>
      </c>
      <c r="T152" s="425">
        <v>43313.0</v>
      </c>
      <c r="U152" s="173"/>
    </row>
    <row r="153" hidden="1">
      <c r="A153" s="588" t="s">
        <v>150</v>
      </c>
      <c r="B153" s="589">
        <v>3040.0</v>
      </c>
      <c r="C153" s="590">
        <v>600.0</v>
      </c>
      <c r="D153" s="591">
        <v>4.0</v>
      </c>
      <c r="E153" s="517">
        <v>164.0</v>
      </c>
      <c r="F153" s="518">
        <v>449.0</v>
      </c>
      <c r="G153" s="592" t="s">
        <v>30</v>
      </c>
      <c r="H153" s="593" t="s">
        <v>25</v>
      </c>
      <c r="I153" s="593">
        <v>0.14</v>
      </c>
      <c r="J153" s="594" t="s">
        <v>230</v>
      </c>
      <c r="K153" s="466"/>
      <c r="L153" s="454" t="str">
        <f>HYPERLINK("https://www.bhphotovideo.com/c/product/1485539-REG/sony_sel600f40gm_fe_600mm_f_4_gm.html/BI/19619/KBID/12129/DFF/d10-v21-t1-x968881/SID/EZ","link*")</f>
        <v>link*</v>
      </c>
      <c r="M153" s="466" t="s">
        <v>33</v>
      </c>
      <c r="N153" s="454"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153" s="595">
        <v>451.0</v>
      </c>
      <c r="P153" s="515" t="s">
        <v>49</v>
      </c>
      <c r="Q153" s="593">
        <v>11.0</v>
      </c>
      <c r="R153" s="596" t="s">
        <v>151</v>
      </c>
      <c r="S153" s="592" t="s">
        <v>32</v>
      </c>
      <c r="T153" s="597">
        <v>43678.0</v>
      </c>
      <c r="U153" s="173"/>
    </row>
    <row r="154">
      <c r="H154" s="295"/>
      <c r="K154" s="283"/>
      <c r="L154" s="283"/>
      <c r="M154" s="283"/>
      <c r="N154" s="283"/>
    </row>
    <row r="155">
      <c r="H155" s="295"/>
      <c r="K155" s="283"/>
      <c r="L155" s="283"/>
      <c r="M155" s="283"/>
      <c r="N155" s="283"/>
    </row>
    <row r="156">
      <c r="H156" s="295"/>
      <c r="K156" s="283"/>
      <c r="L156" s="283"/>
      <c r="M156" s="283"/>
      <c r="N156" s="283"/>
    </row>
    <row r="157">
      <c r="H157" s="295"/>
    </row>
    <row r="158">
      <c r="H158" s="295"/>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row r="1059">
      <c r="H1059" s="295"/>
    </row>
    <row r="1060">
      <c r="H1060" s="295"/>
    </row>
    <row r="1061">
      <c r="H1061" s="295"/>
    </row>
    <row r="1062">
      <c r="H1062" s="295"/>
    </row>
  </sheetData>
  <autoFilter ref="$A$1:$U$153">
    <filterColumn colId="8">
      <filters>
        <filter val="1"/>
        <filter val="0.5"/>
      </filters>
    </filterColumn>
  </autoFilter>
  <conditionalFormatting sqref="B1 B3:B1062">
    <cfRule type="cellIs" dxfId="0" priority="1" operator="between">
      <formula>50</formula>
      <formula>200</formula>
    </cfRule>
  </conditionalFormatting>
  <conditionalFormatting sqref="B1 B3:B1062">
    <cfRule type="cellIs" dxfId="1" priority="2" operator="between">
      <formula>201</formula>
      <formula>400</formula>
    </cfRule>
  </conditionalFormatting>
  <conditionalFormatting sqref="B3:B1057">
    <cfRule type="cellIs" dxfId="2" priority="3" operator="between">
      <formula>401</formula>
      <formula>650</formula>
    </cfRule>
  </conditionalFormatting>
  <conditionalFormatting sqref="B3:B1057">
    <cfRule type="cellIs" dxfId="3" priority="4" operator="between">
      <formula>651</formula>
      <formula>900</formula>
    </cfRule>
  </conditionalFormatting>
  <conditionalFormatting sqref="B3:B1057">
    <cfRule type="cellIs" dxfId="4" priority="5" operator="greaterThan">
      <formula>900</formula>
    </cfRule>
  </conditionalFormatting>
  <conditionalFormatting sqref="P3:P1057">
    <cfRule type="containsText" dxfId="5" priority="6" operator="containsText" text="yes">
      <formula>NOT(ISERROR(SEARCH(("yes"),(P3))))</formula>
    </cfRule>
  </conditionalFormatting>
  <conditionalFormatting sqref="F1:F1062">
    <cfRule type="colorScale" priority="7">
      <colorScale>
        <cfvo type="min"/>
        <cfvo type="formula" val="150"/>
        <color rgb="FFEAD1DC"/>
        <color rgb="FFA64D79"/>
      </colorScale>
    </cfRule>
  </conditionalFormatting>
  <conditionalFormatting sqref="D3:D81">
    <cfRule type="colorScale" priority="8">
      <colorScale>
        <cfvo type="formula" val="1.2"/>
        <cfvo type="formula" val="4"/>
        <color rgb="FF0B5394"/>
        <color rgb="FFFFFFFF"/>
      </colorScale>
    </cfRule>
  </conditionalFormatting>
  <conditionalFormatting sqref="E3:E81">
    <cfRule type="colorScale" priority="9">
      <colorScale>
        <cfvo type="formula" val="65"/>
        <cfvo type="formula" val="100"/>
        <color rgb="FFD9D2E9"/>
        <color rgb="FF674EA7"/>
      </colorScale>
    </cfRule>
  </conditionalFormatting>
  <conditionalFormatting sqref="D3:D81">
    <cfRule type="containsText" dxfId="6" priority="10" operator="containsText" text="1.2">
      <formula>NOT(ISERROR(SEARCH(("1.2"),(D3))))</formula>
    </cfRule>
  </conditionalFormatting>
  <conditionalFormatting sqref="D12">
    <cfRule type="notContainsBlanks" dxfId="7" priority="11">
      <formula>LEN(TRIM(D12))&gt;0</formula>
    </cfRule>
  </conditionalFormatting>
  <conditionalFormatting sqref="D3:D81">
    <cfRule type="containsText" dxfId="8" priority="12" operator="containsText" text="1.4">
      <formula>NOT(ISERROR(SEARCH(("1.4"),(D3))))</formula>
    </cfRule>
  </conditionalFormatting>
  <conditionalFormatting sqref="D3:D100">
    <cfRule type="containsText" dxfId="9" priority="13" operator="containsText" text="1.8">
      <formula>NOT(ISERROR(SEARCH(("1.8"),(D3))))</formula>
    </cfRule>
  </conditionalFormatting>
  <conditionalFormatting sqref="C3:C81">
    <cfRule type="colorScale" priority="14">
      <colorScale>
        <cfvo type="formula" val="10"/>
        <cfvo type="formula" val="50"/>
        <cfvo type="formula" val="400"/>
        <color rgb="FFCFE2F3"/>
        <color rgb="FF709CE0"/>
        <color rgb="FF1155CC"/>
      </colorScale>
    </cfRule>
  </conditionalFormatting>
  <dataValidations>
    <dataValidation type="list" allowBlank="1" sqref="S3:S81">
      <formula1>"Sony,Voigtlander,Zeiss,Sigma,Samyang,Viltrox,Tokina,Tamron"</formula1>
    </dataValidation>
  </dataValidations>
  <hyperlinks>
    <hyperlink r:id="rId1" ref="K1"/>
    <hyperlink r:id="rId2" ref="M1"/>
    <hyperlink r:id="rId3" ref="N1"/>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86"/>
    <col customWidth="1" min="2" max="2" width="6.57"/>
    <col customWidth="1" min="3" max="3" width="11.0"/>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598" t="s">
        <v>0</v>
      </c>
      <c r="B1" s="3" t="s">
        <v>1</v>
      </c>
      <c r="C1" s="3" t="s">
        <v>261</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262</v>
      </c>
    </row>
    <row r="2" ht="18.0" customHeight="1">
      <c r="A2" s="17" t="s">
        <v>166</v>
      </c>
      <c r="B2" s="18"/>
      <c r="C2" s="18"/>
      <c r="D2" s="18"/>
      <c r="E2" s="18"/>
      <c r="F2" s="18"/>
      <c r="G2" s="19"/>
      <c r="H2" s="20"/>
      <c r="I2" s="18"/>
      <c r="J2" s="18"/>
      <c r="K2" s="18"/>
      <c r="L2" s="18"/>
      <c r="M2" s="18"/>
      <c r="N2" s="18"/>
      <c r="O2" s="18"/>
      <c r="P2" s="19"/>
      <c r="Q2" s="18"/>
      <c r="R2" s="19"/>
      <c r="S2" s="21"/>
      <c r="T2" s="19"/>
    </row>
    <row r="3" hidden="1">
      <c r="A3" s="152" t="str">
        <f t="array" ref="A3:V122">All!A3:V122</f>
        <v>Voigtlander 10mm F5.6 Hyper Wide </v>
      </c>
      <c r="B3" s="76">
        <v>375.0</v>
      </c>
      <c r="C3" s="122">
        <v>10.0</v>
      </c>
      <c r="D3" s="78">
        <v>5.6</v>
      </c>
      <c r="E3" s="388">
        <v>67.0</v>
      </c>
      <c r="F3" s="394" t="s">
        <v>23</v>
      </c>
      <c r="G3" s="345" t="s">
        <v>24</v>
      </c>
      <c r="H3" s="82" t="s">
        <v>25</v>
      </c>
      <c r="I3" s="81">
        <v>0.067</v>
      </c>
      <c r="J3" s="83">
        <v>30.0</v>
      </c>
      <c r="K3" s="599" t="s">
        <v>26</v>
      </c>
      <c r="L3" s="130">
        <v>10.0</v>
      </c>
      <c r="M3" s="599" t="s">
        <v>27</v>
      </c>
      <c r="N3" s="130" t="s">
        <v>28</v>
      </c>
      <c r="O3" s="86">
        <v>42552.0</v>
      </c>
      <c r="P3" s="84">
        <v>1099.0</v>
      </c>
      <c r="Q3" s="87">
        <v>750.0</v>
      </c>
      <c r="R3" s="600" t="s">
        <v>33</v>
      </c>
      <c r="S3" s="601" t="s">
        <v>33</v>
      </c>
      <c r="T3" s="601" t="s">
        <v>33</v>
      </c>
      <c r="U3" s="602" t="s">
        <v>33</v>
      </c>
    </row>
    <row r="4" hidden="1">
      <c r="A4" s="603" t="s">
        <v>29</v>
      </c>
      <c r="B4" s="76">
        <v>565.0</v>
      </c>
      <c r="C4" s="122">
        <v>12.0</v>
      </c>
      <c r="D4" s="78">
        <v>4.0</v>
      </c>
      <c r="E4" s="79">
        <v>87.0</v>
      </c>
      <c r="F4" s="79">
        <v>117.0</v>
      </c>
      <c r="G4" s="84" t="s">
        <v>30</v>
      </c>
      <c r="H4" s="82" t="s">
        <v>25</v>
      </c>
      <c r="I4" s="81">
        <v>0.14</v>
      </c>
      <c r="J4" s="83">
        <v>24.0</v>
      </c>
      <c r="K4" s="604" t="s">
        <v>26</v>
      </c>
      <c r="L4" s="89">
        <v>7.0</v>
      </c>
      <c r="M4" s="604" t="s">
        <v>31</v>
      </c>
      <c r="N4" s="89" t="s">
        <v>32</v>
      </c>
      <c r="O4" s="86">
        <v>42856.0</v>
      </c>
      <c r="P4" s="84">
        <v>1699.0</v>
      </c>
      <c r="Q4" s="87">
        <v>1125.0</v>
      </c>
      <c r="R4" s="600" t="s">
        <v>33</v>
      </c>
      <c r="S4" s="601" t="s">
        <v>33</v>
      </c>
      <c r="T4" s="601" t="s">
        <v>33</v>
      </c>
      <c r="U4" s="602" t="s">
        <v>33</v>
      </c>
    </row>
    <row r="5" hidden="1">
      <c r="A5" s="137" t="s">
        <v>34</v>
      </c>
      <c r="B5" s="76">
        <v>847.0</v>
      </c>
      <c r="C5" s="122">
        <v>12.0</v>
      </c>
      <c r="D5" s="78">
        <v>2.8</v>
      </c>
      <c r="E5" s="391">
        <v>97.6</v>
      </c>
      <c r="F5" s="396">
        <v>137.0</v>
      </c>
      <c r="G5" s="397" t="s">
        <v>30</v>
      </c>
      <c r="H5" s="82" t="s">
        <v>25</v>
      </c>
      <c r="I5" s="81">
        <v>0.14</v>
      </c>
      <c r="J5" s="83">
        <v>28.0</v>
      </c>
      <c r="K5" s="604" t="s">
        <v>26</v>
      </c>
      <c r="L5" s="89">
        <v>9.0</v>
      </c>
      <c r="M5" s="604" t="s">
        <v>35</v>
      </c>
      <c r="N5" s="89" t="s">
        <v>32</v>
      </c>
      <c r="O5" s="86">
        <v>44056.0</v>
      </c>
      <c r="P5" s="84">
        <v>2999.0</v>
      </c>
      <c r="Q5" s="87" t="s">
        <v>36</v>
      </c>
      <c r="R5" s="378"/>
      <c r="S5" s="601" t="s">
        <v>33</v>
      </c>
      <c r="T5" s="81"/>
      <c r="U5" s="602" t="s">
        <v>33</v>
      </c>
      <c r="V5" t="s">
        <v>37</v>
      </c>
    </row>
    <row r="6">
      <c r="A6" s="605" t="s">
        <v>263</v>
      </c>
      <c r="B6" s="76">
        <v>350.0</v>
      </c>
      <c r="C6" s="122">
        <v>12.0</v>
      </c>
      <c r="D6" s="121">
        <v>5.6</v>
      </c>
      <c r="E6" s="343">
        <v>67.0</v>
      </c>
      <c r="F6" s="344">
        <v>68.0</v>
      </c>
      <c r="G6" s="84" t="s">
        <v>24</v>
      </c>
      <c r="H6" s="82" t="s">
        <v>25</v>
      </c>
      <c r="I6" s="81"/>
      <c r="J6" s="83">
        <v>30.0</v>
      </c>
      <c r="K6" s="604" t="s">
        <v>26</v>
      </c>
      <c r="L6" s="89">
        <v>10.0</v>
      </c>
      <c r="M6" s="604" t="s">
        <v>38</v>
      </c>
      <c r="N6" s="89" t="s">
        <v>28</v>
      </c>
      <c r="O6" s="86">
        <v>42583.0</v>
      </c>
      <c r="P6" s="84">
        <v>749.0</v>
      </c>
      <c r="Q6" s="87" t="s">
        <v>36</v>
      </c>
      <c r="R6" s="123"/>
      <c r="S6" s="81"/>
      <c r="T6" s="346"/>
      <c r="U6" s="602" t="s">
        <v>33</v>
      </c>
      <c r="V6" t="s">
        <v>39</v>
      </c>
    </row>
    <row r="7" hidden="1">
      <c r="A7" s="398" t="s">
        <v>40</v>
      </c>
      <c r="B7" s="76">
        <v>1220.0</v>
      </c>
      <c r="C7" s="122">
        <v>14.0</v>
      </c>
      <c r="D7" s="78">
        <v>1.8</v>
      </c>
      <c r="E7" s="79">
        <v>95.0</v>
      </c>
      <c r="F7" s="344">
        <v>152.0</v>
      </c>
      <c r="G7" s="81" t="s">
        <v>30</v>
      </c>
      <c r="H7" s="82" t="s">
        <v>25</v>
      </c>
      <c r="I7" s="81">
        <v>0.1</v>
      </c>
      <c r="J7" s="83">
        <v>27.0</v>
      </c>
      <c r="K7" s="604" t="s">
        <v>26</v>
      </c>
      <c r="L7" s="89">
        <v>9.0</v>
      </c>
      <c r="M7" s="606">
        <v>43785.0</v>
      </c>
      <c r="N7" s="89" t="s">
        <v>41</v>
      </c>
      <c r="O7" s="86">
        <v>43221.0</v>
      </c>
      <c r="P7" s="84">
        <v>1599.0</v>
      </c>
      <c r="Q7" s="87">
        <v>950.0</v>
      </c>
      <c r="R7" s="607" t="s">
        <v>33</v>
      </c>
      <c r="S7" s="601" t="s">
        <v>33</v>
      </c>
      <c r="T7" s="601" t="s">
        <v>33</v>
      </c>
      <c r="U7" s="602" t="s">
        <v>33</v>
      </c>
      <c r="V7" t="s">
        <v>42</v>
      </c>
    </row>
    <row r="8" hidden="1">
      <c r="A8" s="395" t="s">
        <v>43</v>
      </c>
      <c r="B8" s="76">
        <v>795.0</v>
      </c>
      <c r="C8" s="122">
        <v>14.0</v>
      </c>
      <c r="D8" s="78">
        <v>2.8</v>
      </c>
      <c r="E8" s="79">
        <v>85.0</v>
      </c>
      <c r="F8" s="79">
        <v>131.0</v>
      </c>
      <c r="G8" s="81" t="s">
        <v>30</v>
      </c>
      <c r="H8" s="82" t="s">
        <v>25</v>
      </c>
      <c r="I8" s="81">
        <v>0.14</v>
      </c>
      <c r="J8" s="83">
        <v>28.0</v>
      </c>
      <c r="K8" s="604" t="s">
        <v>26</v>
      </c>
      <c r="L8" s="89">
        <v>11.0</v>
      </c>
      <c r="M8" s="89" t="s">
        <v>44</v>
      </c>
      <c r="N8" s="89" t="s">
        <v>41</v>
      </c>
      <c r="O8" s="86">
        <v>43693.0</v>
      </c>
      <c r="P8" s="84">
        <v>1399.0</v>
      </c>
      <c r="Q8" s="87">
        <v>1100.0</v>
      </c>
      <c r="R8" s="608" t="s">
        <v>33</v>
      </c>
      <c r="S8" s="601" t="s">
        <v>33</v>
      </c>
      <c r="T8" s="346" t="s">
        <v>33</v>
      </c>
      <c r="U8" s="602" t="s">
        <v>33</v>
      </c>
      <c r="V8" t="s">
        <v>37</v>
      </c>
    </row>
    <row r="9" hidden="1">
      <c r="A9" s="137" t="s">
        <v>45</v>
      </c>
      <c r="B9" s="76">
        <v>505.0</v>
      </c>
      <c r="C9" s="122">
        <v>14.0</v>
      </c>
      <c r="D9" s="78">
        <v>2.8</v>
      </c>
      <c r="E9" s="391">
        <v>86.0</v>
      </c>
      <c r="F9" s="396">
        <v>98.0</v>
      </c>
      <c r="G9" s="397" t="s">
        <v>30</v>
      </c>
      <c r="H9" s="82" t="s">
        <v>25</v>
      </c>
      <c r="I9" s="81">
        <v>0.12</v>
      </c>
      <c r="J9" s="83">
        <v>20.0</v>
      </c>
      <c r="K9" s="604" t="s">
        <v>26</v>
      </c>
      <c r="L9" s="89">
        <v>7.0</v>
      </c>
      <c r="M9" s="606">
        <v>43752.0</v>
      </c>
      <c r="N9" s="89" t="s">
        <v>46</v>
      </c>
      <c r="O9" s="86">
        <v>43221.0</v>
      </c>
      <c r="P9" s="84">
        <v>799.0</v>
      </c>
      <c r="Q9" s="87">
        <v>350.0</v>
      </c>
      <c r="R9" s="609" t="s">
        <v>33</v>
      </c>
      <c r="S9" s="601" t="s">
        <v>33</v>
      </c>
      <c r="T9" s="601" t="s">
        <v>33</v>
      </c>
      <c r="U9" s="602" t="s">
        <v>33</v>
      </c>
    </row>
    <row r="10" hidden="1">
      <c r="A10" s="152" t="s">
        <v>264</v>
      </c>
      <c r="B10" s="76">
        <v>298.0</v>
      </c>
      <c r="C10" s="122">
        <v>15.0</v>
      </c>
      <c r="D10" s="78">
        <v>4.5</v>
      </c>
      <c r="E10" s="79">
        <v>67.0</v>
      </c>
      <c r="F10" s="79">
        <v>62.0</v>
      </c>
      <c r="G10" s="84" t="s">
        <v>24</v>
      </c>
      <c r="H10" s="82" t="s">
        <v>47</v>
      </c>
      <c r="I10" s="81">
        <v>0.083</v>
      </c>
      <c r="J10" s="83">
        <v>30.0</v>
      </c>
      <c r="K10" s="599" t="s">
        <v>26</v>
      </c>
      <c r="L10" s="130">
        <v>10.0</v>
      </c>
      <c r="M10" s="599" t="s">
        <v>38</v>
      </c>
      <c r="N10" s="130" t="s">
        <v>28</v>
      </c>
      <c r="O10" s="86">
        <v>42401.0</v>
      </c>
      <c r="P10" s="610">
        <v>799.0</v>
      </c>
      <c r="Q10" s="87">
        <v>500.0</v>
      </c>
      <c r="R10" s="609" t="s">
        <v>33</v>
      </c>
      <c r="S10" s="601" t="s">
        <v>33</v>
      </c>
      <c r="T10" s="601" t="s">
        <v>33</v>
      </c>
      <c r="U10" s="602" t="s">
        <v>33</v>
      </c>
    </row>
    <row r="11" hidden="1">
      <c r="A11" s="605" t="s">
        <v>265</v>
      </c>
      <c r="B11" s="76">
        <v>523.0</v>
      </c>
      <c r="C11" s="122">
        <v>16.0</v>
      </c>
      <c r="D11" s="78">
        <v>4.0</v>
      </c>
      <c r="E11" s="79">
        <v>78.0</v>
      </c>
      <c r="F11" s="79">
        <v>98.0</v>
      </c>
      <c r="G11" s="84" t="s">
        <v>30</v>
      </c>
      <c r="H11" s="82" t="s">
        <v>48</v>
      </c>
      <c r="I11" s="81">
        <v>0.19</v>
      </c>
      <c r="J11" s="83">
        <v>28.0</v>
      </c>
      <c r="K11" s="89" t="s">
        <v>49</v>
      </c>
      <c r="L11" s="89">
        <v>7.0</v>
      </c>
      <c r="M11" s="604" t="s">
        <v>38</v>
      </c>
      <c r="N11" s="89" t="s">
        <v>32</v>
      </c>
      <c r="O11" s="86">
        <v>41883.0</v>
      </c>
      <c r="P11" s="84">
        <v>1349.0</v>
      </c>
      <c r="Q11" s="87">
        <v>750.0</v>
      </c>
      <c r="R11" s="609" t="s">
        <v>33</v>
      </c>
      <c r="S11" s="601" t="s">
        <v>33</v>
      </c>
      <c r="T11" s="601" t="s">
        <v>33</v>
      </c>
      <c r="U11" s="602" t="s">
        <v>33</v>
      </c>
    </row>
    <row r="12" hidden="1">
      <c r="A12" s="611" t="s">
        <v>50</v>
      </c>
      <c r="B12" s="76">
        <v>680.0</v>
      </c>
      <c r="C12" s="122">
        <v>16.0</v>
      </c>
      <c r="D12" s="78">
        <v>2.8</v>
      </c>
      <c r="E12" s="379">
        <v>89.0</v>
      </c>
      <c r="F12" s="79">
        <v>122.0</v>
      </c>
      <c r="G12" s="84" t="s">
        <v>30</v>
      </c>
      <c r="H12" s="82" t="s">
        <v>51</v>
      </c>
      <c r="I12" s="81">
        <v>0.19</v>
      </c>
      <c r="J12" s="612">
        <v>28.0</v>
      </c>
      <c r="K12" s="604" t="s">
        <v>26</v>
      </c>
      <c r="L12" s="89">
        <v>11.0</v>
      </c>
      <c r="M12" s="604" t="s">
        <v>52</v>
      </c>
      <c r="N12" s="89" t="s">
        <v>32</v>
      </c>
      <c r="O12" s="86">
        <v>42856.0</v>
      </c>
      <c r="P12" s="84">
        <v>2199.0</v>
      </c>
      <c r="Q12" s="87">
        <v>1650.0</v>
      </c>
      <c r="R12" s="609" t="s">
        <v>33</v>
      </c>
      <c r="S12" s="601" t="s">
        <v>33</v>
      </c>
      <c r="T12" s="601" t="s">
        <v>33</v>
      </c>
      <c r="U12" s="602" t="s">
        <v>33</v>
      </c>
    </row>
    <row r="13" hidden="1">
      <c r="A13" s="152" t="s">
        <v>266</v>
      </c>
      <c r="B13" s="76">
        <v>420.0</v>
      </c>
      <c r="C13" s="122">
        <v>17.0</v>
      </c>
      <c r="D13" s="78">
        <v>2.8</v>
      </c>
      <c r="E13" s="79">
        <v>73.0</v>
      </c>
      <c r="F13" s="79">
        <v>99.0</v>
      </c>
      <c r="G13" s="84" t="s">
        <v>30</v>
      </c>
      <c r="H13" s="82" t="s">
        <v>53</v>
      </c>
      <c r="I13" s="81">
        <v>0.19</v>
      </c>
      <c r="J13" s="83">
        <v>19.0</v>
      </c>
      <c r="K13" s="604" t="s">
        <v>26</v>
      </c>
      <c r="L13" s="89">
        <v>9.0</v>
      </c>
      <c r="M13" s="604" t="s">
        <v>54</v>
      </c>
      <c r="N13" s="89" t="s">
        <v>55</v>
      </c>
      <c r="O13" s="86">
        <v>43647.0</v>
      </c>
      <c r="P13" s="84">
        <v>899.0</v>
      </c>
      <c r="Q13" s="87">
        <v>740.0</v>
      </c>
      <c r="R13" s="609" t="s">
        <v>33</v>
      </c>
      <c r="S13" s="601" t="s">
        <v>33</v>
      </c>
      <c r="T13" s="613" t="s">
        <v>33</v>
      </c>
      <c r="U13" s="602" t="s">
        <v>33</v>
      </c>
    </row>
    <row r="14" customHeight="1">
      <c r="A14" s="605" t="s">
        <v>267</v>
      </c>
      <c r="B14" s="76">
        <v>330.0</v>
      </c>
      <c r="C14" s="122">
        <v>18.0</v>
      </c>
      <c r="D14" s="380">
        <v>2.8</v>
      </c>
      <c r="E14" s="79">
        <v>100.0</v>
      </c>
      <c r="F14" s="79">
        <v>80.0</v>
      </c>
      <c r="G14" s="84" t="s">
        <v>30</v>
      </c>
      <c r="H14" s="82" t="s">
        <v>56</v>
      </c>
      <c r="I14" s="81">
        <v>0.1</v>
      </c>
      <c r="J14" s="83">
        <v>25.0</v>
      </c>
      <c r="K14" s="604" t="s">
        <v>26</v>
      </c>
      <c r="L14" s="89">
        <v>9.0</v>
      </c>
      <c r="M14" s="604" t="s">
        <v>57</v>
      </c>
      <c r="N14" s="89" t="s">
        <v>58</v>
      </c>
      <c r="O14" s="86">
        <v>42491.0</v>
      </c>
      <c r="P14" s="84">
        <v>1499.0</v>
      </c>
      <c r="Q14" s="87">
        <v>750.0</v>
      </c>
      <c r="R14" s="608" t="s">
        <v>33</v>
      </c>
      <c r="S14" s="601" t="s">
        <v>33</v>
      </c>
      <c r="T14" s="613" t="s">
        <v>33</v>
      </c>
      <c r="U14" s="602" t="s">
        <v>33</v>
      </c>
    </row>
    <row r="15">
      <c r="A15" s="395" t="s">
        <v>59</v>
      </c>
      <c r="B15" s="76">
        <v>145.0</v>
      </c>
      <c r="C15" s="122">
        <v>18.0</v>
      </c>
      <c r="D15" s="121">
        <v>2.8</v>
      </c>
      <c r="E15" s="79">
        <v>63.5</v>
      </c>
      <c r="F15" s="79">
        <v>60.5</v>
      </c>
      <c r="G15" s="397" t="s">
        <v>30</v>
      </c>
      <c r="H15" s="82" t="s">
        <v>47</v>
      </c>
      <c r="I15" s="81">
        <v>0.09</v>
      </c>
      <c r="J15" s="83">
        <v>25.0</v>
      </c>
      <c r="K15" s="604" t="s">
        <v>26</v>
      </c>
      <c r="L15" s="89">
        <v>7.0</v>
      </c>
      <c r="M15" s="604" t="s">
        <v>60</v>
      </c>
      <c r="N15" s="89" t="s">
        <v>46</v>
      </c>
      <c r="O15" s="86">
        <v>43723.0</v>
      </c>
      <c r="P15" s="84">
        <v>399.0</v>
      </c>
      <c r="Q15" s="87">
        <v>240.0</v>
      </c>
      <c r="R15" s="608" t="s">
        <v>33</v>
      </c>
      <c r="S15" s="601" t="s">
        <v>33</v>
      </c>
      <c r="T15" s="346"/>
      <c r="U15" s="602" t="s">
        <v>33</v>
      </c>
    </row>
    <row r="16">
      <c r="A16" s="137" t="s">
        <v>61</v>
      </c>
      <c r="B16" s="76">
        <v>1050.0</v>
      </c>
      <c r="C16" s="122">
        <v>20.0</v>
      </c>
      <c r="D16" s="125">
        <v>1.4</v>
      </c>
      <c r="E16" s="391">
        <v>91.0</v>
      </c>
      <c r="F16" s="79">
        <v>155.8</v>
      </c>
      <c r="G16" s="397" t="s">
        <v>30</v>
      </c>
      <c r="H16" s="82" t="s">
        <v>25</v>
      </c>
      <c r="I16" s="81">
        <v>0.14</v>
      </c>
      <c r="J16" s="614">
        <v>28.0</v>
      </c>
      <c r="K16" s="599" t="s">
        <v>26</v>
      </c>
      <c r="L16" s="130">
        <v>9.0</v>
      </c>
      <c r="M16" s="615">
        <v>43784.0</v>
      </c>
      <c r="N16" s="130" t="s">
        <v>41</v>
      </c>
      <c r="O16" s="86">
        <v>43221.0</v>
      </c>
      <c r="P16" s="84">
        <v>899.0</v>
      </c>
      <c r="Q16" s="87">
        <v>550.0</v>
      </c>
      <c r="R16" s="609" t="s">
        <v>33</v>
      </c>
      <c r="S16" s="601" t="s">
        <v>33</v>
      </c>
      <c r="T16" s="613" t="s">
        <v>33</v>
      </c>
      <c r="U16" s="602" t="s">
        <v>33</v>
      </c>
      <c r="V16" t="s">
        <v>42</v>
      </c>
    </row>
    <row r="17">
      <c r="A17" s="395" t="s">
        <v>62</v>
      </c>
      <c r="B17" s="76">
        <v>775.0</v>
      </c>
      <c r="C17" s="122">
        <v>20.0</v>
      </c>
      <c r="D17" s="125">
        <v>1.8</v>
      </c>
      <c r="E17" s="379">
        <v>77.0</v>
      </c>
      <c r="F17" s="79">
        <v>102.0</v>
      </c>
      <c r="G17" s="84" t="s">
        <v>24</v>
      </c>
      <c r="H17" s="82" t="s">
        <v>51</v>
      </c>
      <c r="I17" s="81">
        <v>0.12</v>
      </c>
      <c r="J17" s="83">
        <v>25.0</v>
      </c>
      <c r="K17" s="604" t="s">
        <v>26</v>
      </c>
      <c r="L17" s="89">
        <v>14.0</v>
      </c>
      <c r="M17" s="606">
        <v>43720.0</v>
      </c>
      <c r="N17" s="89" t="s">
        <v>63</v>
      </c>
      <c r="O17" s="86">
        <v>43586.0</v>
      </c>
      <c r="P17" s="84">
        <v>486.0</v>
      </c>
      <c r="Q17" s="87" t="s">
        <v>36</v>
      </c>
      <c r="R17" s="609" t="s">
        <v>33</v>
      </c>
      <c r="S17" s="601" t="s">
        <v>33</v>
      </c>
      <c r="T17" s="613" t="s">
        <v>33</v>
      </c>
      <c r="U17" s="602" t="s">
        <v>33</v>
      </c>
    </row>
    <row r="18">
      <c r="A18" s="611" t="s">
        <v>64</v>
      </c>
      <c r="B18" s="76">
        <v>373.0</v>
      </c>
      <c r="C18" s="122">
        <v>20.0</v>
      </c>
      <c r="D18" s="149">
        <v>1.8</v>
      </c>
      <c r="E18" s="379">
        <v>73.5</v>
      </c>
      <c r="F18" s="79">
        <v>84.7</v>
      </c>
      <c r="G18" s="84" t="s">
        <v>30</v>
      </c>
      <c r="H18" s="82" t="s">
        <v>53</v>
      </c>
      <c r="I18" s="81">
        <v>0.2</v>
      </c>
      <c r="J18" s="83">
        <v>18.0</v>
      </c>
      <c r="K18" s="604" t="s">
        <v>26</v>
      </c>
      <c r="L18" s="89">
        <v>9.0</v>
      </c>
      <c r="M18" s="604" t="s">
        <v>65</v>
      </c>
      <c r="N18" s="89" t="s">
        <v>32</v>
      </c>
      <c r="O18" s="86">
        <v>43891.0</v>
      </c>
      <c r="P18" s="84">
        <v>899.0</v>
      </c>
      <c r="Q18" s="87">
        <v>800.0</v>
      </c>
      <c r="R18" s="609" t="s">
        <v>33</v>
      </c>
      <c r="S18" s="601" t="s">
        <v>33</v>
      </c>
      <c r="T18" s="81"/>
      <c r="U18" s="602" t="s">
        <v>33</v>
      </c>
    </row>
    <row r="19" hidden="1">
      <c r="A19" s="152" t="s">
        <v>268</v>
      </c>
      <c r="B19" s="76">
        <v>492.0</v>
      </c>
      <c r="C19" s="122">
        <v>20.0</v>
      </c>
      <c r="D19" s="78">
        <v>2.0</v>
      </c>
      <c r="E19" s="391">
        <v>69.0</v>
      </c>
      <c r="F19" s="396">
        <v>82.0</v>
      </c>
      <c r="G19" s="397" t="s">
        <v>24</v>
      </c>
      <c r="H19" s="82" t="s">
        <v>66</v>
      </c>
      <c r="I19" s="346">
        <v>0.1</v>
      </c>
      <c r="J19" s="83">
        <v>30.0</v>
      </c>
      <c r="K19" s="604" t="s">
        <v>26</v>
      </c>
      <c r="L19" s="89">
        <v>9.0</v>
      </c>
      <c r="M19" s="604" t="s">
        <v>54</v>
      </c>
      <c r="N19" s="89" t="s">
        <v>67</v>
      </c>
      <c r="O19" s="86">
        <v>42856.0</v>
      </c>
      <c r="P19" s="84">
        <v>799.0</v>
      </c>
      <c r="Q19" s="87">
        <v>300.0</v>
      </c>
      <c r="R19" s="609" t="s">
        <v>33</v>
      </c>
      <c r="S19" s="601" t="s">
        <v>33</v>
      </c>
      <c r="T19" s="613" t="s">
        <v>33</v>
      </c>
      <c r="U19" s="602" t="s">
        <v>33</v>
      </c>
    </row>
    <row r="20" hidden="1">
      <c r="A20" s="137" t="s">
        <v>68</v>
      </c>
      <c r="B20" s="76">
        <v>464.0</v>
      </c>
      <c r="C20" s="122">
        <v>20.0</v>
      </c>
      <c r="D20" s="78">
        <v>2.0</v>
      </c>
      <c r="E20" s="79">
        <v>73.0</v>
      </c>
      <c r="F20" s="616">
        <v>82.0</v>
      </c>
      <c r="G20" s="397" t="s">
        <v>30</v>
      </c>
      <c r="H20" s="82" t="s">
        <v>66</v>
      </c>
      <c r="I20" s="346">
        <v>0.1</v>
      </c>
      <c r="J20" s="83">
        <v>30.0</v>
      </c>
      <c r="K20" s="599" t="s">
        <v>26</v>
      </c>
      <c r="L20" s="130">
        <v>9.0</v>
      </c>
      <c r="M20" s="604" t="s">
        <v>54</v>
      </c>
      <c r="N20" s="130" t="s">
        <v>67</v>
      </c>
      <c r="O20" s="86">
        <v>43221.0</v>
      </c>
      <c r="P20" s="84">
        <v>949.0</v>
      </c>
      <c r="Q20" s="87">
        <v>600.0</v>
      </c>
      <c r="R20" s="609" t="s">
        <v>33</v>
      </c>
      <c r="S20" s="601" t="s">
        <v>33</v>
      </c>
      <c r="T20" s="601" t="s">
        <v>33</v>
      </c>
      <c r="U20" s="602" t="s">
        <v>33</v>
      </c>
    </row>
    <row r="21">
      <c r="A21" s="137" t="s">
        <v>69</v>
      </c>
      <c r="B21" s="76">
        <v>220.0</v>
      </c>
      <c r="C21" s="122">
        <v>20.0</v>
      </c>
      <c r="D21" s="149">
        <v>2.8</v>
      </c>
      <c r="E21" s="79">
        <v>73.0</v>
      </c>
      <c r="F21" s="79">
        <v>64.0</v>
      </c>
      <c r="G21" s="84" t="s">
        <v>30</v>
      </c>
      <c r="H21" s="82" t="s">
        <v>53</v>
      </c>
      <c r="I21" s="81">
        <v>0.5</v>
      </c>
      <c r="J21" s="83">
        <v>11.0</v>
      </c>
      <c r="K21" s="604" t="s">
        <v>26</v>
      </c>
      <c r="L21" s="89">
        <v>7.0</v>
      </c>
      <c r="M21" s="604" t="s">
        <v>70</v>
      </c>
      <c r="N21" s="89" t="s">
        <v>55</v>
      </c>
      <c r="O21" s="86">
        <v>43860.0</v>
      </c>
      <c r="P21" s="84">
        <v>349.0</v>
      </c>
      <c r="Q21" s="87">
        <v>225.0</v>
      </c>
      <c r="R21" s="609" t="s">
        <v>33</v>
      </c>
      <c r="S21" s="601" t="s">
        <v>33</v>
      </c>
      <c r="T21" s="81"/>
      <c r="U21" s="602" t="s">
        <v>33</v>
      </c>
    </row>
    <row r="22">
      <c r="A22" s="605" t="s">
        <v>269</v>
      </c>
      <c r="B22" s="76">
        <v>540.0</v>
      </c>
      <c r="C22" s="122">
        <v>21.0</v>
      </c>
      <c r="D22" s="149">
        <v>1.4</v>
      </c>
      <c r="E22" s="79">
        <v>70.0</v>
      </c>
      <c r="F22" s="79">
        <v>80.0</v>
      </c>
      <c r="G22" s="84" t="s">
        <v>24</v>
      </c>
      <c r="H22" s="82" t="s">
        <v>66</v>
      </c>
      <c r="I22" s="81"/>
      <c r="J22" s="83">
        <v>25.0</v>
      </c>
      <c r="K22" s="604" t="s">
        <v>26</v>
      </c>
      <c r="L22" s="89">
        <v>12.0</v>
      </c>
      <c r="M22" s="604" t="s">
        <v>54</v>
      </c>
      <c r="N22" s="89" t="s">
        <v>28</v>
      </c>
      <c r="O22" s="86">
        <v>43617.0</v>
      </c>
      <c r="P22" s="84">
        <v>1199.0</v>
      </c>
      <c r="Q22" s="87" t="s">
        <v>36</v>
      </c>
      <c r="R22" s="608" t="s">
        <v>33</v>
      </c>
      <c r="S22" s="601" t="s">
        <v>33</v>
      </c>
      <c r="T22" s="346"/>
      <c r="U22" s="602" t="s">
        <v>33</v>
      </c>
    </row>
    <row r="23" hidden="1">
      <c r="A23" s="152" t="s">
        <v>270</v>
      </c>
      <c r="B23" s="76">
        <v>394.0</v>
      </c>
      <c r="C23" s="122">
        <v>21.0</v>
      </c>
      <c r="D23" s="78">
        <v>2.8</v>
      </c>
      <c r="E23" s="79">
        <v>62.0</v>
      </c>
      <c r="F23" s="79">
        <v>72.0</v>
      </c>
      <c r="G23" s="84" t="s">
        <v>24</v>
      </c>
      <c r="H23" s="82" t="s">
        <v>71</v>
      </c>
      <c r="I23" s="81">
        <v>0.13</v>
      </c>
      <c r="J23" s="614">
        <v>25.0</v>
      </c>
      <c r="K23" s="599" t="s">
        <v>26</v>
      </c>
      <c r="L23" s="130">
        <v>10.0</v>
      </c>
      <c r="M23" s="599" t="s">
        <v>72</v>
      </c>
      <c r="N23" s="89" t="s">
        <v>58</v>
      </c>
      <c r="O23" s="86">
        <v>42339.0</v>
      </c>
      <c r="P23" s="84">
        <v>1499.0</v>
      </c>
      <c r="Q23" s="87">
        <v>750.0</v>
      </c>
      <c r="R23" s="609" t="s">
        <v>33</v>
      </c>
      <c r="S23" s="601" t="s">
        <v>33</v>
      </c>
      <c r="T23" s="613" t="s">
        <v>33</v>
      </c>
      <c r="U23" s="602" t="s">
        <v>33</v>
      </c>
    </row>
    <row r="24" hidden="1">
      <c r="A24" s="152" t="s">
        <v>271</v>
      </c>
      <c r="B24" s="76">
        <v>230.0</v>
      </c>
      <c r="C24" s="122">
        <v>21.0</v>
      </c>
      <c r="D24" s="78">
        <v>3.5</v>
      </c>
      <c r="E24" s="79">
        <v>63.0</v>
      </c>
      <c r="F24" s="79">
        <v>40.0</v>
      </c>
      <c r="G24" s="84" t="s">
        <v>24</v>
      </c>
      <c r="H24" s="82" t="s">
        <v>71</v>
      </c>
      <c r="I24" s="140"/>
      <c r="J24" s="83">
        <v>20.0</v>
      </c>
      <c r="K24" s="604" t="s">
        <v>26</v>
      </c>
      <c r="L24" s="89">
        <v>10.0</v>
      </c>
      <c r="M24" s="604" t="s">
        <v>60</v>
      </c>
      <c r="N24" s="89" t="s">
        <v>28</v>
      </c>
      <c r="O24" s="86">
        <v>43374.0</v>
      </c>
      <c r="P24" s="84">
        <v>699.0</v>
      </c>
      <c r="Q24" s="87">
        <v>525.0</v>
      </c>
      <c r="R24" s="609" t="s">
        <v>33</v>
      </c>
      <c r="S24" s="601" t="s">
        <v>33</v>
      </c>
      <c r="T24" s="601" t="s">
        <v>33</v>
      </c>
      <c r="U24" s="602" t="s">
        <v>33</v>
      </c>
    </row>
    <row r="25" hidden="1">
      <c r="A25" s="605" t="s">
        <v>272</v>
      </c>
      <c r="B25" s="76">
        <v>445.0</v>
      </c>
      <c r="C25" s="122">
        <v>24.0</v>
      </c>
      <c r="D25" s="78">
        <v>1.4</v>
      </c>
      <c r="E25" s="79">
        <v>75.0</v>
      </c>
      <c r="F25" s="79">
        <v>92.0</v>
      </c>
      <c r="G25" s="84" t="s">
        <v>30</v>
      </c>
      <c r="H25" s="82" t="s">
        <v>53</v>
      </c>
      <c r="I25" s="140">
        <v>0.17</v>
      </c>
      <c r="J25" s="83">
        <v>25.0</v>
      </c>
      <c r="K25" s="599" t="s">
        <v>26</v>
      </c>
      <c r="L25" s="89">
        <v>11.0</v>
      </c>
      <c r="M25" s="599" t="s">
        <v>27</v>
      </c>
      <c r="N25" s="130" t="s">
        <v>32</v>
      </c>
      <c r="O25" s="86">
        <v>43374.0</v>
      </c>
      <c r="P25" s="610">
        <v>1399.0</v>
      </c>
      <c r="Q25" s="87">
        <v>1150.0</v>
      </c>
      <c r="R25" s="609" t="s">
        <v>33</v>
      </c>
      <c r="S25" s="601" t="s">
        <v>33</v>
      </c>
      <c r="T25" s="601" t="s">
        <v>33</v>
      </c>
      <c r="U25" s="602" t="s">
        <v>33</v>
      </c>
    </row>
    <row r="26" hidden="1">
      <c r="A26" s="395" t="s">
        <v>73</v>
      </c>
      <c r="B26" s="76">
        <v>760.0</v>
      </c>
      <c r="C26" s="122">
        <v>24.0</v>
      </c>
      <c r="D26" s="78">
        <v>1.4</v>
      </c>
      <c r="E26" s="79">
        <v>85.0</v>
      </c>
      <c r="F26" s="79">
        <v>116.0</v>
      </c>
      <c r="G26" s="84" t="s">
        <v>30</v>
      </c>
      <c r="H26" s="82" t="s">
        <v>56</v>
      </c>
      <c r="I26" s="140">
        <v>0.19</v>
      </c>
      <c r="J26" s="83">
        <v>25.0</v>
      </c>
      <c r="K26" s="604" t="s">
        <v>26</v>
      </c>
      <c r="L26" s="89">
        <v>9.0</v>
      </c>
      <c r="M26" s="606">
        <v>43784.0</v>
      </c>
      <c r="N26" s="89" t="s">
        <v>41</v>
      </c>
      <c r="O26" s="86">
        <v>43221.0</v>
      </c>
      <c r="P26" s="610">
        <v>849.0</v>
      </c>
      <c r="Q26" s="87">
        <v>600.0</v>
      </c>
      <c r="R26" s="609" t="s">
        <v>33</v>
      </c>
      <c r="S26" s="601" t="s">
        <v>33</v>
      </c>
      <c r="T26" s="601" t="s">
        <v>33</v>
      </c>
      <c r="U26" s="602" t="s">
        <v>33</v>
      </c>
      <c r="V26" t="s">
        <v>42</v>
      </c>
    </row>
    <row r="27" hidden="1">
      <c r="A27" s="152" t="s">
        <v>273</v>
      </c>
      <c r="B27" s="76">
        <v>93.0</v>
      </c>
      <c r="C27" s="122">
        <v>24.0</v>
      </c>
      <c r="D27" s="78">
        <v>2.8</v>
      </c>
      <c r="E27" s="79">
        <v>61.0</v>
      </c>
      <c r="F27" s="79">
        <v>37.0</v>
      </c>
      <c r="G27" s="84" t="s">
        <v>30</v>
      </c>
      <c r="H27" s="82" t="s">
        <v>74</v>
      </c>
      <c r="I27" s="81">
        <v>0.15</v>
      </c>
      <c r="J27" s="83">
        <v>20.0</v>
      </c>
      <c r="K27" s="599" t="s">
        <v>26</v>
      </c>
      <c r="L27" s="89">
        <v>9.0</v>
      </c>
      <c r="M27" s="599" t="s">
        <v>75</v>
      </c>
      <c r="N27" s="130" t="s">
        <v>46</v>
      </c>
      <c r="O27" s="86">
        <v>43282.0</v>
      </c>
      <c r="P27" s="610">
        <v>279.0</v>
      </c>
      <c r="Q27" s="87">
        <v>175.0</v>
      </c>
      <c r="R27" s="609" t="s">
        <v>33</v>
      </c>
      <c r="S27" s="601" t="s">
        <v>33</v>
      </c>
      <c r="T27" s="601" t="s">
        <v>33</v>
      </c>
      <c r="U27" s="602" t="s">
        <v>33</v>
      </c>
    </row>
    <row r="28">
      <c r="A28" s="152" t="s">
        <v>274</v>
      </c>
      <c r="B28" s="76">
        <v>215.0</v>
      </c>
      <c r="C28" s="122">
        <v>24.0</v>
      </c>
      <c r="D28" s="78">
        <v>2.8</v>
      </c>
      <c r="E28" s="79">
        <v>73.0</v>
      </c>
      <c r="F28" s="79">
        <v>64.0</v>
      </c>
      <c r="G28" s="84" t="s">
        <v>30</v>
      </c>
      <c r="H28" s="82" t="s">
        <v>53</v>
      </c>
      <c r="I28" s="81">
        <v>0.5</v>
      </c>
      <c r="J28" s="83">
        <v>12.0</v>
      </c>
      <c r="K28" s="604" t="s">
        <v>26</v>
      </c>
      <c r="L28" s="89">
        <v>7.0</v>
      </c>
      <c r="M28" s="604" t="s">
        <v>70</v>
      </c>
      <c r="N28" s="89" t="s">
        <v>55</v>
      </c>
      <c r="O28" s="86">
        <v>43796.0</v>
      </c>
      <c r="P28" s="84">
        <v>349.0</v>
      </c>
      <c r="Q28" s="87">
        <v>225.0</v>
      </c>
      <c r="R28" s="609" t="s">
        <v>33</v>
      </c>
      <c r="S28" s="601" t="s">
        <v>33</v>
      </c>
      <c r="T28" s="613" t="s">
        <v>33</v>
      </c>
      <c r="U28" s="602" t="s">
        <v>33</v>
      </c>
    </row>
    <row r="29" hidden="1">
      <c r="A29" s="152" t="s">
        <v>275</v>
      </c>
      <c r="B29" s="76">
        <v>886.0</v>
      </c>
      <c r="C29" s="122">
        <v>24.0</v>
      </c>
      <c r="D29" s="78">
        <v>2.8</v>
      </c>
      <c r="E29" s="79">
        <v>88.0</v>
      </c>
      <c r="F29" s="79">
        <v>136.0</v>
      </c>
      <c r="G29" s="397" t="s">
        <v>30</v>
      </c>
      <c r="H29" s="82" t="s">
        <v>51</v>
      </c>
      <c r="I29" s="81">
        <v>0.25</v>
      </c>
      <c r="J29" s="83">
        <v>38.0</v>
      </c>
      <c r="K29" s="604" t="s">
        <v>26</v>
      </c>
      <c r="L29" s="89">
        <v>9.0</v>
      </c>
      <c r="M29" s="604" t="s">
        <v>44</v>
      </c>
      <c r="N29" s="89" t="s">
        <v>32</v>
      </c>
      <c r="O29" s="86">
        <v>42401.0</v>
      </c>
      <c r="P29" s="84">
        <v>2199.0</v>
      </c>
      <c r="Q29" s="87">
        <v>1400.0</v>
      </c>
      <c r="R29" s="609" t="s">
        <v>33</v>
      </c>
      <c r="S29" s="601" t="s">
        <v>33</v>
      </c>
      <c r="T29" s="613" t="s">
        <v>33</v>
      </c>
      <c r="U29" s="602" t="s">
        <v>33</v>
      </c>
    </row>
    <row r="30">
      <c r="A30" s="395" t="s">
        <v>76</v>
      </c>
      <c r="B30" s="76">
        <v>835.0</v>
      </c>
      <c r="C30" s="122">
        <v>24.0</v>
      </c>
      <c r="D30" s="78">
        <v>2.8</v>
      </c>
      <c r="E30" s="79">
        <v>87.8</v>
      </c>
      <c r="F30" s="79">
        <v>122.9</v>
      </c>
      <c r="G30" s="84" t="s">
        <v>30</v>
      </c>
      <c r="H30" s="82" t="s">
        <v>51</v>
      </c>
      <c r="I30" s="81">
        <v>0.29</v>
      </c>
      <c r="J30" s="612">
        <v>18.0</v>
      </c>
      <c r="K30" s="604" t="s">
        <v>26</v>
      </c>
      <c r="L30" s="89">
        <v>11.0</v>
      </c>
      <c r="M30" s="604" t="s">
        <v>77</v>
      </c>
      <c r="N30" s="89" t="s">
        <v>41</v>
      </c>
      <c r="O30" s="86">
        <v>43799.0</v>
      </c>
      <c r="P30" s="84" t="s">
        <v>78</v>
      </c>
      <c r="Q30" s="87">
        <v>1050.0</v>
      </c>
      <c r="R30" s="609" t="s">
        <v>33</v>
      </c>
      <c r="S30" s="601" t="s">
        <v>33</v>
      </c>
      <c r="T30" s="81" t="s">
        <v>33</v>
      </c>
      <c r="U30" s="602" t="s">
        <v>33</v>
      </c>
    </row>
    <row r="31">
      <c r="A31" s="137" t="s">
        <v>79</v>
      </c>
      <c r="B31" s="76">
        <v>780.0</v>
      </c>
      <c r="C31" s="122">
        <v>24.0</v>
      </c>
      <c r="D31" s="78" t="s">
        <v>80</v>
      </c>
      <c r="E31" s="79">
        <v>80.0</v>
      </c>
      <c r="F31" s="79">
        <v>119.0</v>
      </c>
      <c r="G31" s="84" t="s">
        <v>30</v>
      </c>
      <c r="H31" s="82" t="s">
        <v>48</v>
      </c>
      <c r="I31" s="81">
        <v>0.27</v>
      </c>
      <c r="J31" s="612">
        <v>50.0</v>
      </c>
      <c r="K31" s="89" t="s">
        <v>49</v>
      </c>
      <c r="L31" s="89">
        <v>7.0</v>
      </c>
      <c r="M31" s="604" t="s">
        <v>81</v>
      </c>
      <c r="N31" s="89" t="s">
        <v>32</v>
      </c>
      <c r="O31" s="86">
        <v>42064.0</v>
      </c>
      <c r="P31" s="84">
        <v>998.0</v>
      </c>
      <c r="Q31" s="87">
        <v>550.0</v>
      </c>
      <c r="R31" s="609" t="s">
        <v>33</v>
      </c>
      <c r="S31" s="601" t="s">
        <v>33</v>
      </c>
      <c r="T31" s="601" t="s">
        <v>33</v>
      </c>
      <c r="U31" s="602" t="s">
        <v>33</v>
      </c>
    </row>
    <row r="32" hidden="1">
      <c r="A32" s="137" t="s">
        <v>82</v>
      </c>
      <c r="B32" s="76">
        <v>663.0</v>
      </c>
      <c r="C32" s="122">
        <v>24.0</v>
      </c>
      <c r="D32" s="78">
        <v>4.0</v>
      </c>
      <c r="E32" s="79">
        <v>83.0</v>
      </c>
      <c r="F32" s="79">
        <v>113.0</v>
      </c>
      <c r="G32" s="84" t="s">
        <v>30</v>
      </c>
      <c r="H32" s="82" t="s">
        <v>56</v>
      </c>
      <c r="I32" s="140">
        <v>0.31</v>
      </c>
      <c r="J32" s="612">
        <v>38.0</v>
      </c>
      <c r="K32" s="89" t="s">
        <v>49</v>
      </c>
      <c r="L32" s="89">
        <v>9.0</v>
      </c>
      <c r="M32" s="604" t="s">
        <v>35</v>
      </c>
      <c r="N32" s="89" t="s">
        <v>32</v>
      </c>
      <c r="O32" s="86">
        <v>43009.0</v>
      </c>
      <c r="P32" s="84">
        <v>1398.0</v>
      </c>
      <c r="Q32" s="81">
        <v>850.0</v>
      </c>
      <c r="R32" s="609" t="s">
        <v>33</v>
      </c>
      <c r="S32" s="601" t="s">
        <v>33</v>
      </c>
      <c r="T32" s="613" t="s">
        <v>33</v>
      </c>
      <c r="U32" s="602" t="s">
        <v>33</v>
      </c>
    </row>
    <row r="33" hidden="1">
      <c r="A33" s="605" t="s">
        <v>276</v>
      </c>
      <c r="B33" s="76">
        <v>426.0</v>
      </c>
      <c r="C33" s="122">
        <v>24.0</v>
      </c>
      <c r="D33" s="78">
        <v>4.0</v>
      </c>
      <c r="E33" s="79">
        <v>73.0</v>
      </c>
      <c r="F33" s="79">
        <v>95.0</v>
      </c>
      <c r="G33" s="84" t="s">
        <v>30</v>
      </c>
      <c r="H33" s="82" t="s">
        <v>53</v>
      </c>
      <c r="I33" s="346">
        <v>0.2</v>
      </c>
      <c r="J33" s="83">
        <v>40.0</v>
      </c>
      <c r="K33" s="89" t="s">
        <v>49</v>
      </c>
      <c r="L33" s="89">
        <v>7.0</v>
      </c>
      <c r="M33" s="604" t="s">
        <v>38</v>
      </c>
      <c r="N33" s="89" t="s">
        <v>32</v>
      </c>
      <c r="O33" s="617">
        <v>41640.0</v>
      </c>
      <c r="P33" s="610">
        <v>898.0</v>
      </c>
      <c r="Q33" s="618">
        <v>420.0</v>
      </c>
      <c r="R33" s="600" t="s">
        <v>33</v>
      </c>
      <c r="S33" s="601" t="s">
        <v>33</v>
      </c>
      <c r="T33" s="601" t="s">
        <v>33</v>
      </c>
      <c r="U33" s="602" t="s">
        <v>33</v>
      </c>
    </row>
    <row r="34" hidden="1">
      <c r="A34" s="605" t="s">
        <v>277</v>
      </c>
      <c r="B34" s="76">
        <v>335.0</v>
      </c>
      <c r="C34" s="122">
        <v>25.0</v>
      </c>
      <c r="D34" s="78">
        <v>2.0</v>
      </c>
      <c r="E34" s="79">
        <v>92.0</v>
      </c>
      <c r="F34" s="79">
        <v>78.0</v>
      </c>
      <c r="G34" s="84" t="s">
        <v>30</v>
      </c>
      <c r="H34" s="382" t="s">
        <v>53</v>
      </c>
      <c r="I34" s="346">
        <v>0.19</v>
      </c>
      <c r="J34" s="83">
        <v>20.0</v>
      </c>
      <c r="K34" s="604" t="s">
        <v>26</v>
      </c>
      <c r="L34" s="89">
        <v>9.0</v>
      </c>
      <c r="M34" s="604" t="s">
        <v>83</v>
      </c>
      <c r="N34" s="89" t="s">
        <v>58</v>
      </c>
      <c r="O34" s="617">
        <v>42125.0</v>
      </c>
      <c r="P34" s="610">
        <v>1299.0</v>
      </c>
      <c r="Q34" s="618">
        <v>550.0</v>
      </c>
      <c r="R34" s="600" t="s">
        <v>33</v>
      </c>
      <c r="S34" s="601" t="s">
        <v>33</v>
      </c>
      <c r="T34" s="601" t="s">
        <v>33</v>
      </c>
      <c r="U34" s="602" t="s">
        <v>33</v>
      </c>
    </row>
    <row r="35" customHeight="1">
      <c r="A35" s="619" t="s">
        <v>278</v>
      </c>
      <c r="B35" s="76">
        <v>393.0</v>
      </c>
      <c r="C35" s="122">
        <v>25.0</v>
      </c>
      <c r="D35" s="383">
        <v>2.4</v>
      </c>
      <c r="E35" s="79">
        <v>62.0</v>
      </c>
      <c r="F35" s="79">
        <v>75.0</v>
      </c>
      <c r="G35" s="84" t="s">
        <v>24</v>
      </c>
      <c r="H35" s="270" t="s">
        <v>71</v>
      </c>
      <c r="I35" s="81">
        <v>0.16</v>
      </c>
      <c r="J35" s="83">
        <v>25.0</v>
      </c>
      <c r="K35" s="604" t="s">
        <v>26</v>
      </c>
      <c r="L35" s="89">
        <v>10.0</v>
      </c>
      <c r="M35" s="604" t="s">
        <v>83</v>
      </c>
      <c r="N35" s="89" t="s">
        <v>58</v>
      </c>
      <c r="O35" s="86">
        <v>43160.0</v>
      </c>
      <c r="P35" s="84">
        <v>1299.0</v>
      </c>
      <c r="Q35" s="87">
        <v>700.0</v>
      </c>
      <c r="R35" s="608" t="s">
        <v>33</v>
      </c>
      <c r="S35" s="601" t="s">
        <v>33</v>
      </c>
      <c r="T35" s="601" t="s">
        <v>33</v>
      </c>
      <c r="U35" s="602" t="s">
        <v>33</v>
      </c>
    </row>
    <row r="36">
      <c r="A36" s="137" t="s">
        <v>84</v>
      </c>
      <c r="B36" s="76">
        <v>965.0</v>
      </c>
      <c r="C36" s="122">
        <v>28.0</v>
      </c>
      <c r="D36" s="78">
        <v>1.4</v>
      </c>
      <c r="E36" s="79">
        <v>83.0</v>
      </c>
      <c r="F36" s="79">
        <v>134.0</v>
      </c>
      <c r="G36" s="84" t="s">
        <v>30</v>
      </c>
      <c r="H36" s="82" t="s">
        <v>56</v>
      </c>
      <c r="I36" s="81">
        <v>0.19</v>
      </c>
      <c r="J36" s="83">
        <v>28.0</v>
      </c>
      <c r="K36" s="604" t="s">
        <v>26</v>
      </c>
      <c r="L36" s="89">
        <v>9.0</v>
      </c>
      <c r="M36" s="604" t="s">
        <v>81</v>
      </c>
      <c r="N36" s="89" t="s">
        <v>41</v>
      </c>
      <c r="O36" s="86">
        <v>43435.0</v>
      </c>
      <c r="P36" s="84">
        <v>1399.0</v>
      </c>
      <c r="Q36" s="87">
        <v>700.0</v>
      </c>
      <c r="R36" s="608" t="s">
        <v>33</v>
      </c>
      <c r="S36" s="601" t="s">
        <v>33</v>
      </c>
      <c r="T36" s="601" t="s">
        <v>33</v>
      </c>
      <c r="U36" s="602" t="s">
        <v>33</v>
      </c>
    </row>
    <row r="37">
      <c r="A37" s="605" t="s">
        <v>279</v>
      </c>
      <c r="B37" s="76">
        <v>200.0</v>
      </c>
      <c r="C37" s="122">
        <v>28.0</v>
      </c>
      <c r="D37" s="78">
        <v>2.0</v>
      </c>
      <c r="E37" s="79">
        <v>60.0</v>
      </c>
      <c r="F37" s="79">
        <v>60.0</v>
      </c>
      <c r="G37" s="84" t="s">
        <v>30</v>
      </c>
      <c r="H37" s="82" t="s">
        <v>74</v>
      </c>
      <c r="I37" s="81">
        <v>0.13</v>
      </c>
      <c r="J37" s="83">
        <v>29.0</v>
      </c>
      <c r="K37" s="604" t="s">
        <v>26</v>
      </c>
      <c r="L37" s="89">
        <v>9.0</v>
      </c>
      <c r="M37" s="604" t="s">
        <v>60</v>
      </c>
      <c r="N37" s="89" t="s">
        <v>32</v>
      </c>
      <c r="O37" s="86">
        <v>42064.0</v>
      </c>
      <c r="P37" s="84">
        <v>448.0</v>
      </c>
      <c r="Q37" s="87">
        <v>240.0</v>
      </c>
      <c r="R37" s="608" t="s">
        <v>33</v>
      </c>
      <c r="S37" s="601" t="s">
        <v>33</v>
      </c>
      <c r="T37" s="613" t="s">
        <v>33</v>
      </c>
      <c r="U37" s="602" t="s">
        <v>33</v>
      </c>
    </row>
    <row r="38">
      <c r="A38" s="152" t="s">
        <v>280</v>
      </c>
      <c r="B38" s="76">
        <v>550.0</v>
      </c>
      <c r="C38" s="122">
        <v>28.0</v>
      </c>
      <c r="D38" s="78">
        <v>2.8</v>
      </c>
      <c r="E38" s="79">
        <v>73.0</v>
      </c>
      <c r="F38" s="79">
        <v>118.0</v>
      </c>
      <c r="G38" s="397" t="s">
        <v>30</v>
      </c>
      <c r="H38" s="82" t="s">
        <v>53</v>
      </c>
      <c r="I38" s="81">
        <v>0.34</v>
      </c>
      <c r="J38" s="83">
        <v>19.0</v>
      </c>
      <c r="K38" s="604" t="s">
        <v>26</v>
      </c>
      <c r="L38" s="89">
        <v>9.0</v>
      </c>
      <c r="M38" s="604" t="s">
        <v>85</v>
      </c>
      <c r="N38" s="89" t="s">
        <v>55</v>
      </c>
      <c r="O38" s="86">
        <v>43252.0</v>
      </c>
      <c r="P38" s="84">
        <v>879.0</v>
      </c>
      <c r="Q38" s="87">
        <v>625.0</v>
      </c>
      <c r="R38" s="608" t="s">
        <v>33</v>
      </c>
      <c r="S38" s="601" t="s">
        <v>33</v>
      </c>
      <c r="T38" s="601" t="s">
        <v>33</v>
      </c>
      <c r="U38" s="602" t="s">
        <v>33</v>
      </c>
    </row>
    <row r="39" customHeight="1">
      <c r="A39" s="395" t="s">
        <v>86</v>
      </c>
      <c r="B39" s="76">
        <v>575.0</v>
      </c>
      <c r="C39" s="122">
        <v>28.0</v>
      </c>
      <c r="D39" s="78">
        <v>2.8</v>
      </c>
      <c r="E39" s="79">
        <v>74.0</v>
      </c>
      <c r="F39" s="79">
        <v>117.0</v>
      </c>
      <c r="G39" s="84" t="s">
        <v>30</v>
      </c>
      <c r="H39" s="82" t="s">
        <v>53</v>
      </c>
      <c r="I39" s="81">
        <v>0.3225806451612903</v>
      </c>
      <c r="J39" s="612">
        <v>19.0</v>
      </c>
      <c r="K39" s="604" t="s">
        <v>26</v>
      </c>
      <c r="L39" s="89">
        <v>9.0</v>
      </c>
      <c r="M39" s="604" t="s">
        <v>87</v>
      </c>
      <c r="N39" s="89" t="s">
        <v>55</v>
      </c>
      <c r="O39" s="86">
        <v>43983.0</v>
      </c>
      <c r="P39" s="84">
        <v>729.0</v>
      </c>
      <c r="Q39" s="87" t="s">
        <v>36</v>
      </c>
      <c r="R39" s="123"/>
      <c r="S39" s="81"/>
      <c r="T39" s="346"/>
      <c r="U39" s="602" t="s">
        <v>33</v>
      </c>
    </row>
    <row r="40">
      <c r="A40" s="395" t="s">
        <v>88</v>
      </c>
      <c r="B40" s="76">
        <v>295.0</v>
      </c>
      <c r="C40" s="122">
        <v>28.0</v>
      </c>
      <c r="D40" s="78" t="s">
        <v>89</v>
      </c>
      <c r="E40" s="79">
        <v>73.0</v>
      </c>
      <c r="F40" s="79">
        <v>83.0</v>
      </c>
      <c r="G40" s="84" t="s">
        <v>30</v>
      </c>
      <c r="H40" s="82" t="s">
        <v>90</v>
      </c>
      <c r="I40" s="185">
        <v>0.19</v>
      </c>
      <c r="J40" s="83">
        <v>30.0</v>
      </c>
      <c r="K40" s="89" t="s">
        <v>49</v>
      </c>
      <c r="L40" s="89">
        <v>7.0</v>
      </c>
      <c r="M40" s="604" t="s">
        <v>60</v>
      </c>
      <c r="N40" s="89" t="s">
        <v>32</v>
      </c>
      <c r="O40" s="86">
        <v>41548.0</v>
      </c>
      <c r="P40" s="84">
        <v>398.0</v>
      </c>
      <c r="Q40" s="87">
        <v>110.0</v>
      </c>
      <c r="R40" s="608" t="s">
        <v>33</v>
      </c>
      <c r="S40" s="601" t="s">
        <v>33</v>
      </c>
      <c r="T40" s="601" t="s">
        <v>33</v>
      </c>
      <c r="U40" s="602" t="s">
        <v>33</v>
      </c>
    </row>
    <row r="41">
      <c r="A41" s="137" t="s">
        <v>91</v>
      </c>
      <c r="B41" s="76">
        <v>1215.0</v>
      </c>
      <c r="C41" s="122">
        <v>28.0</v>
      </c>
      <c r="D41" s="78">
        <v>4.0</v>
      </c>
      <c r="E41" s="79">
        <v>105.0</v>
      </c>
      <c r="F41" s="79">
        <v>165.0</v>
      </c>
      <c r="G41" s="397" t="s">
        <v>30</v>
      </c>
      <c r="H41" s="82" t="s">
        <v>92</v>
      </c>
      <c r="I41" s="81"/>
      <c r="J41" s="83">
        <v>40.0</v>
      </c>
      <c r="K41" s="89" t="s">
        <v>49</v>
      </c>
      <c r="L41" s="89">
        <v>9.0</v>
      </c>
      <c r="M41" s="604" t="s">
        <v>93</v>
      </c>
      <c r="N41" s="89" t="s">
        <v>32</v>
      </c>
      <c r="O41" s="86">
        <v>41883.0</v>
      </c>
      <c r="P41" s="84">
        <v>2498.0</v>
      </c>
      <c r="Q41" s="87">
        <v>1500.0</v>
      </c>
      <c r="R41" s="608" t="s">
        <v>33</v>
      </c>
      <c r="S41" s="601" t="s">
        <v>33</v>
      </c>
      <c r="T41" s="613" t="s">
        <v>33</v>
      </c>
      <c r="U41" s="602" t="s">
        <v>33</v>
      </c>
      <c r="V41" t="s">
        <v>94</v>
      </c>
    </row>
    <row r="42" hidden="1">
      <c r="A42" s="137" t="s">
        <v>95</v>
      </c>
      <c r="B42" s="76"/>
      <c r="C42" s="122">
        <v>28.0</v>
      </c>
      <c r="D42" s="78" t="s">
        <v>96</v>
      </c>
      <c r="E42" s="79"/>
      <c r="F42" s="79"/>
      <c r="G42" s="84" t="s">
        <v>30</v>
      </c>
      <c r="H42" s="82" t="s">
        <v>97</v>
      </c>
      <c r="I42" s="81"/>
      <c r="J42" s="83">
        <v>45.0</v>
      </c>
      <c r="K42" s="89" t="s">
        <v>26</v>
      </c>
      <c r="L42" s="89"/>
      <c r="M42" s="604"/>
      <c r="N42" s="89" t="s">
        <v>32</v>
      </c>
      <c r="O42" s="620">
        <v>44119.0</v>
      </c>
      <c r="P42" s="84"/>
      <c r="Q42" s="87"/>
      <c r="R42" s="123"/>
      <c r="S42" s="81"/>
      <c r="T42" s="81"/>
    </row>
    <row r="43" hidden="1">
      <c r="A43" s="605" t="s">
        <v>281</v>
      </c>
      <c r="B43" s="76">
        <v>1090.0</v>
      </c>
      <c r="C43" s="122">
        <v>35.0</v>
      </c>
      <c r="D43" s="78">
        <v>1.2</v>
      </c>
      <c r="E43" s="79">
        <v>88.0</v>
      </c>
      <c r="F43" s="79">
        <v>136.0</v>
      </c>
      <c r="G43" s="81" t="s">
        <v>30</v>
      </c>
      <c r="H43" s="82" t="s">
        <v>51</v>
      </c>
      <c r="I43" s="81">
        <v>0.19</v>
      </c>
      <c r="J43" s="621">
        <v>30.0</v>
      </c>
      <c r="K43" s="604" t="s">
        <v>26</v>
      </c>
      <c r="L43" s="89">
        <v>11.0</v>
      </c>
      <c r="M43" s="606">
        <v>43816.0</v>
      </c>
      <c r="N43" s="89" t="s">
        <v>41</v>
      </c>
      <c r="O43" s="86">
        <v>43647.0</v>
      </c>
      <c r="P43" s="84">
        <v>1499.0</v>
      </c>
      <c r="Q43" s="87">
        <v>1000.0</v>
      </c>
      <c r="R43" s="608" t="s">
        <v>33</v>
      </c>
      <c r="S43" s="601" t="s">
        <v>33</v>
      </c>
      <c r="T43" s="81"/>
      <c r="U43" s="602" t="s">
        <v>33</v>
      </c>
    </row>
    <row r="44">
      <c r="A44" s="395" t="s">
        <v>98</v>
      </c>
      <c r="B44" s="76">
        <v>387.0</v>
      </c>
      <c r="C44" s="122">
        <v>35.0</v>
      </c>
      <c r="D44" s="392">
        <v>1.2</v>
      </c>
      <c r="E44" s="79">
        <v>66.5</v>
      </c>
      <c r="F44" s="79">
        <v>59.9</v>
      </c>
      <c r="G44" s="400" t="s">
        <v>24</v>
      </c>
      <c r="H44" s="82" t="s">
        <v>47</v>
      </c>
      <c r="I44" s="81">
        <v>0.1801801801801802</v>
      </c>
      <c r="J44" s="83">
        <v>30.0</v>
      </c>
      <c r="K44" s="604" t="s">
        <v>26</v>
      </c>
      <c r="L44" s="89">
        <v>12.0</v>
      </c>
      <c r="M44" s="606">
        <v>44021.0</v>
      </c>
      <c r="N44" s="89" t="s">
        <v>28</v>
      </c>
      <c r="O44" s="86">
        <v>43978.0</v>
      </c>
      <c r="P44" s="84">
        <v>999.0</v>
      </c>
      <c r="Q44" s="87" t="s">
        <v>36</v>
      </c>
      <c r="R44" s="608" t="s">
        <v>33</v>
      </c>
      <c r="S44" s="601" t="s">
        <v>33</v>
      </c>
      <c r="T44" s="81" t="s">
        <v>33</v>
      </c>
      <c r="U44" s="602" t="s">
        <v>33</v>
      </c>
    </row>
    <row r="45">
      <c r="A45" s="605" t="s">
        <v>282</v>
      </c>
      <c r="B45" s="76">
        <v>630.0</v>
      </c>
      <c r="C45" s="122">
        <v>35.0</v>
      </c>
      <c r="D45" s="78">
        <v>1.4</v>
      </c>
      <c r="E45" s="622">
        <v>79.0</v>
      </c>
      <c r="F45" s="622">
        <v>112.0</v>
      </c>
      <c r="G45" s="81" t="s">
        <v>30</v>
      </c>
      <c r="H45" s="198" t="s">
        <v>48</v>
      </c>
      <c r="I45" s="81">
        <v>0.18</v>
      </c>
      <c r="J45" s="83">
        <v>30.0</v>
      </c>
      <c r="K45" s="604" t="s">
        <v>26</v>
      </c>
      <c r="L45" s="89">
        <v>9.0</v>
      </c>
      <c r="M45" s="606">
        <v>43689.0</v>
      </c>
      <c r="N45" s="89" t="s">
        <v>32</v>
      </c>
      <c r="O45" s="86">
        <v>42064.0</v>
      </c>
      <c r="P45" s="84">
        <v>1599.0</v>
      </c>
      <c r="Q45" s="87">
        <v>800.0</v>
      </c>
      <c r="R45" s="608" t="s">
        <v>33</v>
      </c>
      <c r="S45" s="601" t="s">
        <v>33</v>
      </c>
      <c r="T45" s="613" t="s">
        <v>33</v>
      </c>
      <c r="U45" s="602" t="s">
        <v>33</v>
      </c>
    </row>
    <row r="46">
      <c r="A46" s="605" t="s">
        <v>226</v>
      </c>
      <c r="B46" s="76">
        <v>645.0</v>
      </c>
      <c r="C46" s="122">
        <v>35.0</v>
      </c>
      <c r="D46" s="78">
        <v>1.4</v>
      </c>
      <c r="E46" s="79">
        <v>76.0</v>
      </c>
      <c r="F46" s="79">
        <v>115.0</v>
      </c>
      <c r="G46" s="81" t="s">
        <v>30</v>
      </c>
      <c r="H46" s="82" t="s">
        <v>53</v>
      </c>
      <c r="I46" s="185">
        <v>0.17</v>
      </c>
      <c r="J46" s="83">
        <v>30.0</v>
      </c>
      <c r="K46" s="604" t="s">
        <v>26</v>
      </c>
      <c r="L46" s="89">
        <v>9.0</v>
      </c>
      <c r="M46" s="606">
        <v>43719.0</v>
      </c>
      <c r="N46" s="89" t="s">
        <v>46</v>
      </c>
      <c r="O46" s="86">
        <v>43009.0</v>
      </c>
      <c r="P46" s="84">
        <v>599.0</v>
      </c>
      <c r="Q46" s="87">
        <v>375.0</v>
      </c>
      <c r="R46" s="608" t="s">
        <v>33</v>
      </c>
      <c r="S46" s="601" t="s">
        <v>33</v>
      </c>
      <c r="T46" s="613" t="s">
        <v>33</v>
      </c>
      <c r="U46" s="602" t="s">
        <v>33</v>
      </c>
      <c r="V46" t="s">
        <v>99</v>
      </c>
    </row>
    <row r="47">
      <c r="A47" s="619" t="s">
        <v>283</v>
      </c>
      <c r="B47" s="76">
        <v>262.0</v>
      </c>
      <c r="C47" s="122">
        <v>35.0</v>
      </c>
      <c r="D47" s="78">
        <v>1.4</v>
      </c>
      <c r="E47" s="79">
        <v>67.0</v>
      </c>
      <c r="F47" s="79">
        <v>40.0</v>
      </c>
      <c r="G47" s="81" t="s">
        <v>24</v>
      </c>
      <c r="H47" s="82" t="s">
        <v>47</v>
      </c>
      <c r="I47" s="81">
        <v>0.16</v>
      </c>
      <c r="J47" s="614">
        <v>30.0</v>
      </c>
      <c r="K47" s="604" t="s">
        <v>26</v>
      </c>
      <c r="L47" s="89">
        <v>10.0</v>
      </c>
      <c r="M47" s="606">
        <v>43624.0</v>
      </c>
      <c r="N47" s="89" t="s">
        <v>28</v>
      </c>
      <c r="O47" s="86">
        <v>43132.0</v>
      </c>
      <c r="P47" s="84">
        <v>799.0</v>
      </c>
      <c r="Q47" s="87">
        <v>450.0</v>
      </c>
      <c r="R47" s="608" t="s">
        <v>33</v>
      </c>
      <c r="S47" s="601" t="s">
        <v>33</v>
      </c>
      <c r="T47" s="613" t="s">
        <v>33</v>
      </c>
      <c r="U47" s="602" t="s">
        <v>33</v>
      </c>
    </row>
    <row r="48" hidden="1">
      <c r="A48" s="623" t="s">
        <v>284</v>
      </c>
      <c r="B48" s="76">
        <v>740.0</v>
      </c>
      <c r="C48" s="122">
        <v>35.0</v>
      </c>
      <c r="D48" s="78">
        <v>1.4</v>
      </c>
      <c r="E48" s="79">
        <v>77.0</v>
      </c>
      <c r="F48" s="79">
        <v>121.0</v>
      </c>
      <c r="G48" s="81" t="s">
        <v>30</v>
      </c>
      <c r="H48" s="82" t="s">
        <v>53</v>
      </c>
      <c r="I48" s="140">
        <v>0.19</v>
      </c>
      <c r="J48" s="83">
        <v>30.0</v>
      </c>
      <c r="K48" s="604" t="s">
        <v>26</v>
      </c>
      <c r="L48" s="89">
        <v>9.0</v>
      </c>
      <c r="M48" s="606">
        <v>43782.0</v>
      </c>
      <c r="N48" s="89" t="s">
        <v>41</v>
      </c>
      <c r="O48" s="86">
        <v>43221.0</v>
      </c>
      <c r="P48" s="84">
        <v>899.0</v>
      </c>
      <c r="Q48" s="87">
        <v>550.0</v>
      </c>
      <c r="R48" s="608" t="s">
        <v>33</v>
      </c>
      <c r="S48" s="601" t="s">
        <v>33</v>
      </c>
      <c r="T48" s="613" t="s">
        <v>33</v>
      </c>
      <c r="U48" s="602" t="s">
        <v>33</v>
      </c>
      <c r="V48" t="s">
        <v>42</v>
      </c>
    </row>
    <row r="49">
      <c r="A49" s="152" t="s">
        <v>227</v>
      </c>
      <c r="B49" s="76">
        <v>280.0</v>
      </c>
      <c r="C49" s="122">
        <v>35.0</v>
      </c>
      <c r="D49" s="392">
        <v>1.8</v>
      </c>
      <c r="E49" s="79">
        <v>66.0</v>
      </c>
      <c r="F49" s="79">
        <v>73.0</v>
      </c>
      <c r="G49" s="400" t="s">
        <v>30</v>
      </c>
      <c r="H49" s="82" t="s">
        <v>90</v>
      </c>
      <c r="I49" s="346">
        <v>0.24</v>
      </c>
      <c r="J49" s="83">
        <v>22.0</v>
      </c>
      <c r="K49" s="604" t="s">
        <v>26</v>
      </c>
      <c r="L49" s="89">
        <v>9.0</v>
      </c>
      <c r="M49" s="606">
        <v>43719.0</v>
      </c>
      <c r="N49" s="89" t="s">
        <v>32</v>
      </c>
      <c r="O49" s="86">
        <v>43647.0</v>
      </c>
      <c r="P49" s="84">
        <v>749.0</v>
      </c>
      <c r="Q49" s="87">
        <v>600.0</v>
      </c>
      <c r="R49" s="608" t="s">
        <v>33</v>
      </c>
      <c r="S49" s="601" t="s">
        <v>33</v>
      </c>
      <c r="T49" s="601" t="s">
        <v>33</v>
      </c>
      <c r="U49" s="602" t="s">
        <v>33</v>
      </c>
    </row>
    <row r="50">
      <c r="A50" s="395" t="s">
        <v>100</v>
      </c>
      <c r="B50" s="76">
        <v>210.0</v>
      </c>
      <c r="C50" s="122">
        <v>35.0</v>
      </c>
      <c r="D50" s="78">
        <v>1.8</v>
      </c>
      <c r="E50" s="79">
        <v>65.0</v>
      </c>
      <c r="F50" s="79">
        <v>62.5</v>
      </c>
      <c r="G50" s="81" t="s">
        <v>30</v>
      </c>
      <c r="H50" s="82" t="s">
        <v>47</v>
      </c>
      <c r="I50" s="81">
        <v>0.17</v>
      </c>
      <c r="J50" s="83">
        <v>29.0</v>
      </c>
      <c r="K50" s="604" t="s">
        <v>26</v>
      </c>
      <c r="L50" s="89">
        <v>9.0</v>
      </c>
      <c r="M50" s="606">
        <v>44053.0</v>
      </c>
      <c r="N50" s="89" t="s">
        <v>46</v>
      </c>
      <c r="O50" s="86">
        <v>44105.0</v>
      </c>
      <c r="P50" s="84">
        <v>399.0</v>
      </c>
      <c r="Q50" s="87" t="s">
        <v>36</v>
      </c>
      <c r="R50" s="123"/>
      <c r="S50" s="601" t="s">
        <v>33</v>
      </c>
      <c r="T50" s="346"/>
    </row>
    <row r="51">
      <c r="A51" s="605" t="s">
        <v>285</v>
      </c>
      <c r="B51" s="76">
        <v>340.0</v>
      </c>
      <c r="C51" s="122">
        <v>35.0</v>
      </c>
      <c r="D51" s="78">
        <v>2.0</v>
      </c>
      <c r="E51" s="79">
        <v>62.0</v>
      </c>
      <c r="F51" s="79">
        <v>66.0</v>
      </c>
      <c r="G51" s="81" t="s">
        <v>24</v>
      </c>
      <c r="H51" s="82" t="s">
        <v>71</v>
      </c>
      <c r="I51" s="81">
        <v>0.17</v>
      </c>
      <c r="J51" s="83">
        <v>30.0</v>
      </c>
      <c r="K51" s="604" t="s">
        <v>26</v>
      </c>
      <c r="L51" s="89">
        <v>10.0</v>
      </c>
      <c r="M51" s="606">
        <v>43625.0</v>
      </c>
      <c r="N51" s="89" t="s">
        <v>58</v>
      </c>
      <c r="O51" s="86">
        <v>41974.0</v>
      </c>
      <c r="P51" s="84">
        <v>1299.0</v>
      </c>
      <c r="Q51" s="87">
        <v>490.0</v>
      </c>
      <c r="R51" s="624" t="s">
        <v>33</v>
      </c>
      <c r="S51" s="601" t="s">
        <v>33</v>
      </c>
      <c r="T51" s="346"/>
      <c r="U51" s="602" t="s">
        <v>33</v>
      </c>
      <c r="V51" t="s">
        <v>101</v>
      </c>
    </row>
    <row r="52">
      <c r="A52" s="605" t="s">
        <v>286</v>
      </c>
      <c r="B52" s="76">
        <v>120.0</v>
      </c>
      <c r="C52" s="122">
        <v>35.0</v>
      </c>
      <c r="D52" s="78">
        <v>2.8</v>
      </c>
      <c r="E52" s="79">
        <v>62.0</v>
      </c>
      <c r="F52" s="79">
        <v>37.0</v>
      </c>
      <c r="G52" s="81" t="s">
        <v>30</v>
      </c>
      <c r="H52" s="82" t="s">
        <v>74</v>
      </c>
      <c r="I52" s="81">
        <v>0.12</v>
      </c>
      <c r="J52" s="83">
        <v>35.0</v>
      </c>
      <c r="K52" s="604" t="s">
        <v>26</v>
      </c>
      <c r="L52" s="89">
        <v>9.0</v>
      </c>
      <c r="M52" s="606">
        <v>43592.0</v>
      </c>
      <c r="N52" s="89" t="s">
        <v>32</v>
      </c>
      <c r="O52" s="86">
        <v>41487.0</v>
      </c>
      <c r="P52" s="84">
        <v>798.0</v>
      </c>
      <c r="Q52" s="87">
        <v>325.0</v>
      </c>
      <c r="R52" s="608" t="s">
        <v>33</v>
      </c>
      <c r="S52" s="601" t="s">
        <v>33</v>
      </c>
      <c r="T52" s="613" t="s">
        <v>33</v>
      </c>
      <c r="U52" s="602" t="s">
        <v>33</v>
      </c>
    </row>
    <row r="53">
      <c r="A53" s="152" t="s">
        <v>234</v>
      </c>
      <c r="B53" s="76">
        <v>210.0</v>
      </c>
      <c r="C53" s="122">
        <v>35.0</v>
      </c>
      <c r="D53" s="78">
        <v>2.8</v>
      </c>
      <c r="E53" s="79">
        <v>73.0</v>
      </c>
      <c r="F53" s="79">
        <v>64.0</v>
      </c>
      <c r="G53" s="84" t="s">
        <v>30</v>
      </c>
      <c r="H53" s="82" t="s">
        <v>53</v>
      </c>
      <c r="I53" s="81">
        <v>0.5</v>
      </c>
      <c r="J53" s="612">
        <v>15.0</v>
      </c>
      <c r="K53" s="604" t="s">
        <v>26</v>
      </c>
      <c r="L53" s="89">
        <v>7.0</v>
      </c>
      <c r="M53" s="604" t="s">
        <v>60</v>
      </c>
      <c r="N53" s="89" t="s">
        <v>55</v>
      </c>
      <c r="O53" s="86">
        <v>43796.0</v>
      </c>
      <c r="P53" s="84">
        <v>349.0</v>
      </c>
      <c r="Q53" s="87">
        <v>225.0</v>
      </c>
      <c r="R53" s="608" t="s">
        <v>33</v>
      </c>
      <c r="S53" s="601" t="s">
        <v>33</v>
      </c>
      <c r="T53" s="601" t="s">
        <v>33</v>
      </c>
      <c r="U53" s="602" t="s">
        <v>33</v>
      </c>
    </row>
    <row r="54">
      <c r="A54" s="137" t="s">
        <v>102</v>
      </c>
      <c r="B54" s="76">
        <v>86.0</v>
      </c>
      <c r="C54" s="122">
        <v>35.0</v>
      </c>
      <c r="D54" s="78">
        <v>2.8</v>
      </c>
      <c r="E54" s="79">
        <v>62.0</v>
      </c>
      <c r="F54" s="79">
        <v>33.0</v>
      </c>
      <c r="G54" s="400" t="s">
        <v>30</v>
      </c>
      <c r="H54" s="82" t="s">
        <v>74</v>
      </c>
      <c r="I54" s="81">
        <v>0.12</v>
      </c>
      <c r="J54" s="83">
        <v>35.0</v>
      </c>
      <c r="K54" s="604" t="s">
        <v>26</v>
      </c>
      <c r="L54" s="89">
        <v>9.0</v>
      </c>
      <c r="M54" s="606">
        <v>43623.0</v>
      </c>
      <c r="N54" s="89" t="s">
        <v>46</v>
      </c>
      <c r="O54" s="86">
        <v>42917.0</v>
      </c>
      <c r="P54" s="84">
        <v>399.0</v>
      </c>
      <c r="Q54" s="87">
        <v>210.0</v>
      </c>
      <c r="R54" s="608" t="s">
        <v>33</v>
      </c>
      <c r="S54" s="601" t="s">
        <v>33</v>
      </c>
      <c r="T54" s="613" t="s">
        <v>33</v>
      </c>
      <c r="U54" s="602" t="s">
        <v>33</v>
      </c>
    </row>
    <row r="55">
      <c r="A55" s="152" t="s">
        <v>287</v>
      </c>
      <c r="B55" s="76">
        <v>420.0</v>
      </c>
      <c r="C55" s="122">
        <v>40.0</v>
      </c>
      <c r="D55" s="78">
        <v>1.2</v>
      </c>
      <c r="E55" s="79">
        <v>70.0</v>
      </c>
      <c r="F55" s="79">
        <v>59.0</v>
      </c>
      <c r="G55" s="81" t="s">
        <v>24</v>
      </c>
      <c r="H55" s="82" t="s">
        <v>47</v>
      </c>
      <c r="I55" s="259">
        <v>0.16</v>
      </c>
      <c r="J55" s="614">
        <v>35.0</v>
      </c>
      <c r="K55" s="604" t="s">
        <v>26</v>
      </c>
      <c r="L55" s="89">
        <v>10.0</v>
      </c>
      <c r="M55" s="606">
        <v>43624.0</v>
      </c>
      <c r="N55" s="89" t="s">
        <v>28</v>
      </c>
      <c r="O55" s="86">
        <v>43040.0</v>
      </c>
      <c r="P55" s="84">
        <v>1099.0</v>
      </c>
      <c r="Q55" s="87">
        <v>600.0</v>
      </c>
      <c r="R55" s="608" t="s">
        <v>33</v>
      </c>
      <c r="S55" s="601" t="s">
        <v>33</v>
      </c>
      <c r="T55" s="81"/>
      <c r="U55" s="602" t="s">
        <v>33</v>
      </c>
    </row>
    <row r="56">
      <c r="A56" s="137" t="s">
        <v>103</v>
      </c>
      <c r="B56" s="76">
        <v>340.0</v>
      </c>
      <c r="C56" s="122">
        <v>40.0</v>
      </c>
      <c r="D56" s="78">
        <v>1.2</v>
      </c>
      <c r="E56" s="79">
        <v>66.5</v>
      </c>
      <c r="F56" s="79">
        <v>51.9</v>
      </c>
      <c r="G56" s="81" t="s">
        <v>24</v>
      </c>
      <c r="H56" s="82" t="s">
        <v>47</v>
      </c>
      <c r="I56" s="81">
        <v>0.16</v>
      </c>
      <c r="J56" s="83">
        <v>35.0</v>
      </c>
      <c r="K56" s="604" t="s">
        <v>26</v>
      </c>
      <c r="L56" s="89">
        <v>10.0</v>
      </c>
      <c r="M56" s="606">
        <v>43624.0</v>
      </c>
      <c r="N56" s="89" t="s">
        <v>28</v>
      </c>
      <c r="O56" s="86">
        <v>44006.0</v>
      </c>
      <c r="P56" s="84">
        <v>1099.0</v>
      </c>
      <c r="Q56" s="87" t="s">
        <v>36</v>
      </c>
      <c r="R56" s="608" t="s">
        <v>33</v>
      </c>
      <c r="S56" s="81"/>
      <c r="T56" s="81"/>
      <c r="U56" s="602" t="s">
        <v>33</v>
      </c>
      <c r="V56" t="s">
        <v>104</v>
      </c>
    </row>
    <row r="57">
      <c r="A57" s="152" t="s">
        <v>288</v>
      </c>
      <c r="B57" s="76">
        <v>1265.0</v>
      </c>
      <c r="C57" s="122">
        <v>40.0</v>
      </c>
      <c r="D57" s="78">
        <v>1.4</v>
      </c>
      <c r="E57" s="79">
        <v>88.0</v>
      </c>
      <c r="F57" s="79">
        <v>157.0</v>
      </c>
      <c r="G57" s="400" t="s">
        <v>30</v>
      </c>
      <c r="H57" s="82" t="s">
        <v>51</v>
      </c>
      <c r="I57" s="393">
        <v>0.15</v>
      </c>
      <c r="J57" s="83">
        <v>40.0</v>
      </c>
      <c r="K57" s="604" t="s">
        <v>26</v>
      </c>
      <c r="L57" s="89">
        <v>9.0</v>
      </c>
      <c r="M57" s="606">
        <v>43815.0</v>
      </c>
      <c r="N57" s="89" t="s">
        <v>41</v>
      </c>
      <c r="O57" s="86">
        <v>43435.0</v>
      </c>
      <c r="P57" s="84">
        <v>1399.0</v>
      </c>
      <c r="Q57" s="87">
        <v>800.0</v>
      </c>
      <c r="R57" s="608" t="s">
        <v>33</v>
      </c>
      <c r="S57" s="601" t="s">
        <v>33</v>
      </c>
      <c r="T57" s="602" t="s">
        <v>33</v>
      </c>
      <c r="U57" s="602" t="s">
        <v>33</v>
      </c>
      <c r="V57" t="s">
        <v>42</v>
      </c>
    </row>
    <row r="58" hidden="1">
      <c r="A58" s="605" t="s">
        <v>289</v>
      </c>
      <c r="B58" s="76">
        <v>361.0</v>
      </c>
      <c r="C58" s="122">
        <v>40.0</v>
      </c>
      <c r="D58" s="78">
        <v>2.0</v>
      </c>
      <c r="E58" s="79">
        <v>91.0</v>
      </c>
      <c r="F58" s="79">
        <v>93.0</v>
      </c>
      <c r="G58" s="81" t="s">
        <v>30</v>
      </c>
      <c r="H58" s="82" t="s">
        <v>53</v>
      </c>
      <c r="I58" s="259">
        <v>0.3</v>
      </c>
      <c r="J58" s="621">
        <v>24.0</v>
      </c>
      <c r="K58" s="604" t="s">
        <v>26</v>
      </c>
      <c r="L58" s="89">
        <v>9.0</v>
      </c>
      <c r="M58" s="606">
        <v>43686.0</v>
      </c>
      <c r="N58" s="89" t="s">
        <v>58</v>
      </c>
      <c r="O58" s="86">
        <v>43435.0</v>
      </c>
      <c r="P58" s="84">
        <v>1299.0</v>
      </c>
      <c r="Q58" s="87">
        <v>870.0</v>
      </c>
      <c r="R58" s="608" t="s">
        <v>33</v>
      </c>
      <c r="S58" s="601" t="s">
        <v>33</v>
      </c>
      <c r="T58" s="613" t="s">
        <v>33</v>
      </c>
      <c r="U58" s="602" t="s">
        <v>33</v>
      </c>
      <c r="V58" t="s">
        <v>105</v>
      </c>
    </row>
    <row r="59" hidden="1">
      <c r="A59" s="395" t="s">
        <v>106</v>
      </c>
      <c r="B59" s="76">
        <v>162.0</v>
      </c>
      <c r="C59" s="122">
        <v>45.0</v>
      </c>
      <c r="D59" s="78">
        <v>1.8</v>
      </c>
      <c r="E59" s="79">
        <v>62.0</v>
      </c>
      <c r="F59" s="79">
        <v>56.0</v>
      </c>
      <c r="G59" s="81" t="s">
        <v>30</v>
      </c>
      <c r="H59" s="82" t="s">
        <v>74</v>
      </c>
      <c r="I59" s="185">
        <v>0.12</v>
      </c>
      <c r="J59" s="83">
        <v>45.0</v>
      </c>
      <c r="K59" s="604" t="s">
        <v>26</v>
      </c>
      <c r="L59" s="89">
        <v>9.0</v>
      </c>
      <c r="M59" s="606">
        <v>43623.0</v>
      </c>
      <c r="N59" s="89" t="s">
        <v>46</v>
      </c>
      <c r="O59" s="86">
        <v>43647.0</v>
      </c>
      <c r="P59" s="610">
        <v>399.0</v>
      </c>
      <c r="Q59" s="87">
        <v>250.0</v>
      </c>
      <c r="R59" s="607" t="s">
        <v>33</v>
      </c>
      <c r="S59" s="601" t="s">
        <v>33</v>
      </c>
      <c r="T59" s="81" t="s">
        <v>33</v>
      </c>
      <c r="U59" s="602" t="s">
        <v>33</v>
      </c>
    </row>
    <row r="60" hidden="1">
      <c r="A60" s="395" t="s">
        <v>107</v>
      </c>
      <c r="B60" s="76">
        <v>215.0</v>
      </c>
      <c r="C60" s="122">
        <v>45.0</v>
      </c>
      <c r="D60" s="78">
        <v>2.8</v>
      </c>
      <c r="E60" s="79">
        <v>64.0</v>
      </c>
      <c r="F60" s="79">
        <v>46.0</v>
      </c>
      <c r="G60" s="81" t="s">
        <v>30</v>
      </c>
      <c r="H60" s="82" t="s">
        <v>90</v>
      </c>
      <c r="I60" s="140">
        <v>0.25</v>
      </c>
      <c r="J60" s="83">
        <v>24.0</v>
      </c>
      <c r="K60" s="604" t="s">
        <v>26</v>
      </c>
      <c r="L60" s="89">
        <v>7.0</v>
      </c>
      <c r="M60" s="606">
        <v>43654.0</v>
      </c>
      <c r="N60" s="89" t="s">
        <v>41</v>
      </c>
      <c r="O60" s="86">
        <v>43647.0</v>
      </c>
      <c r="P60" s="610">
        <v>549.0</v>
      </c>
      <c r="Q60" s="87" t="s">
        <v>36</v>
      </c>
      <c r="R60" s="624" t="s">
        <v>33</v>
      </c>
      <c r="S60" s="601" t="s">
        <v>33</v>
      </c>
      <c r="T60" s="81" t="s">
        <v>33</v>
      </c>
      <c r="U60" s="602" t="s">
        <v>33</v>
      </c>
      <c r="V60" t="s">
        <v>108</v>
      </c>
    </row>
    <row r="61" hidden="1">
      <c r="A61" s="152" t="s">
        <v>290</v>
      </c>
      <c r="B61" s="76">
        <v>440.0</v>
      </c>
      <c r="C61" s="122">
        <v>50.0</v>
      </c>
      <c r="D61" s="78">
        <v>1.2</v>
      </c>
      <c r="E61" s="79">
        <v>70.0</v>
      </c>
      <c r="F61" s="79">
        <v>58.0</v>
      </c>
      <c r="G61" s="81" t="s">
        <v>24</v>
      </c>
      <c r="H61" s="82" t="s">
        <v>47</v>
      </c>
      <c r="I61" s="346">
        <v>0.15</v>
      </c>
      <c r="J61" s="83">
        <v>45.0</v>
      </c>
      <c r="K61" s="604" t="s">
        <v>26</v>
      </c>
      <c r="L61" s="89">
        <v>12.0</v>
      </c>
      <c r="M61" s="606">
        <v>43624.0</v>
      </c>
      <c r="N61" s="89" t="s">
        <v>28</v>
      </c>
      <c r="O61" s="86">
        <v>43556.0</v>
      </c>
      <c r="P61" s="610">
        <v>1099.0</v>
      </c>
      <c r="Q61" s="87" t="s">
        <v>36</v>
      </c>
      <c r="R61" s="607" t="s">
        <v>33</v>
      </c>
      <c r="S61" s="601" t="s">
        <v>33</v>
      </c>
      <c r="T61" s="81" t="s">
        <v>33</v>
      </c>
      <c r="U61" s="602" t="s">
        <v>33</v>
      </c>
    </row>
    <row r="62">
      <c r="A62" s="137" t="s">
        <v>109</v>
      </c>
      <c r="B62" s="76">
        <v>778.0</v>
      </c>
      <c r="C62" s="122">
        <v>50.0</v>
      </c>
      <c r="D62" s="78">
        <v>1.4</v>
      </c>
      <c r="E62" s="79">
        <v>84.0</v>
      </c>
      <c r="F62" s="79">
        <v>108.0</v>
      </c>
      <c r="G62" s="81" t="s">
        <v>30</v>
      </c>
      <c r="H62" s="82" t="s">
        <v>48</v>
      </c>
      <c r="I62" s="81">
        <v>0.15</v>
      </c>
      <c r="J62" s="83">
        <v>45.0</v>
      </c>
      <c r="K62" s="604" t="s">
        <v>26</v>
      </c>
      <c r="L62" s="89">
        <v>11.0</v>
      </c>
      <c r="M62" s="606">
        <v>43720.0</v>
      </c>
      <c r="N62" s="89" t="s">
        <v>32</v>
      </c>
      <c r="O62" s="86">
        <v>42583.0</v>
      </c>
      <c r="P62" s="84">
        <v>1499.0</v>
      </c>
      <c r="Q62" s="87">
        <v>950.0</v>
      </c>
      <c r="R62" s="608" t="s">
        <v>33</v>
      </c>
      <c r="S62" s="601" t="s">
        <v>33</v>
      </c>
      <c r="T62" s="81" t="s">
        <v>33</v>
      </c>
      <c r="U62" s="602" t="s">
        <v>33</v>
      </c>
    </row>
    <row r="63">
      <c r="A63" s="395" t="s">
        <v>110</v>
      </c>
      <c r="B63" s="76">
        <v>910.0</v>
      </c>
      <c r="C63" s="122">
        <v>50.0</v>
      </c>
      <c r="D63" s="78">
        <v>1.4</v>
      </c>
      <c r="E63" s="79">
        <v>85.0</v>
      </c>
      <c r="F63" s="79">
        <v>125.9</v>
      </c>
      <c r="G63" s="81" t="s">
        <v>30</v>
      </c>
      <c r="H63" s="232" t="s">
        <v>56</v>
      </c>
      <c r="I63" s="81">
        <v>0.18</v>
      </c>
      <c r="J63" s="83">
        <v>40.0</v>
      </c>
      <c r="K63" s="604" t="s">
        <v>26</v>
      </c>
      <c r="L63" s="89">
        <v>9.0</v>
      </c>
      <c r="M63" s="606">
        <v>43690.0</v>
      </c>
      <c r="N63" s="89" t="s">
        <v>41</v>
      </c>
      <c r="O63" s="86">
        <v>43221.0</v>
      </c>
      <c r="P63" s="84">
        <v>949.0</v>
      </c>
      <c r="Q63" s="87">
        <v>550.0</v>
      </c>
      <c r="R63" s="624" t="s">
        <v>33</v>
      </c>
      <c r="S63" s="601" t="s">
        <v>33</v>
      </c>
      <c r="T63" s="613" t="s">
        <v>33</v>
      </c>
      <c r="U63" s="602" t="s">
        <v>33</v>
      </c>
      <c r="V63" t="s">
        <v>42</v>
      </c>
    </row>
    <row r="64">
      <c r="A64" s="395" t="s">
        <v>111</v>
      </c>
      <c r="B64" s="76">
        <v>585.0</v>
      </c>
      <c r="C64" s="122">
        <v>50.0</v>
      </c>
      <c r="D64" s="78">
        <v>1.4</v>
      </c>
      <c r="E64" s="79">
        <v>74.0</v>
      </c>
      <c r="F64" s="79">
        <v>98.0</v>
      </c>
      <c r="G64" s="81" t="s">
        <v>30</v>
      </c>
      <c r="H64" s="82" t="s">
        <v>53</v>
      </c>
      <c r="I64" s="81">
        <v>0.15</v>
      </c>
      <c r="J64" s="612">
        <v>45.0</v>
      </c>
      <c r="K64" s="604" t="s">
        <v>26</v>
      </c>
      <c r="L64" s="89">
        <v>9.0</v>
      </c>
      <c r="M64" s="606">
        <v>43686.0</v>
      </c>
      <c r="N64" s="89" t="s">
        <v>46</v>
      </c>
      <c r="O64" s="86">
        <v>42583.0</v>
      </c>
      <c r="P64" s="84">
        <v>699.0</v>
      </c>
      <c r="Q64" s="87">
        <v>300.0</v>
      </c>
      <c r="R64" s="608" t="s">
        <v>33</v>
      </c>
      <c r="S64" s="601" t="s">
        <v>33</v>
      </c>
      <c r="T64" s="346" t="s">
        <v>33</v>
      </c>
      <c r="U64" s="602" t="s">
        <v>33</v>
      </c>
    </row>
    <row r="65">
      <c r="A65" s="152" t="s">
        <v>291</v>
      </c>
      <c r="B65" s="76">
        <v>186.0</v>
      </c>
      <c r="C65" s="122">
        <v>50.0</v>
      </c>
      <c r="D65" s="78">
        <v>1.8</v>
      </c>
      <c r="E65" s="79">
        <v>69.0</v>
      </c>
      <c r="F65" s="79">
        <v>60.0</v>
      </c>
      <c r="G65" s="81" t="s">
        <v>30</v>
      </c>
      <c r="H65" s="82" t="s">
        <v>74</v>
      </c>
      <c r="I65" s="81">
        <v>0.14</v>
      </c>
      <c r="J65" s="612">
        <v>45.0</v>
      </c>
      <c r="K65" s="604" t="s">
        <v>26</v>
      </c>
      <c r="L65" s="89">
        <v>7.0</v>
      </c>
      <c r="M65" s="606">
        <v>43591.0</v>
      </c>
      <c r="N65" s="89" t="s">
        <v>32</v>
      </c>
      <c r="O65" s="86">
        <v>42430.0</v>
      </c>
      <c r="P65" s="84">
        <v>249.0</v>
      </c>
      <c r="Q65" s="87">
        <v>165.0</v>
      </c>
      <c r="R65" s="608" t="s">
        <v>33</v>
      </c>
      <c r="S65" s="601" t="s">
        <v>33</v>
      </c>
      <c r="T65" s="601" t="s">
        <v>33</v>
      </c>
      <c r="U65" s="602" t="s">
        <v>33</v>
      </c>
    </row>
    <row r="66">
      <c r="A66" s="625" t="s">
        <v>292</v>
      </c>
      <c r="B66" s="76">
        <v>364.0</v>
      </c>
      <c r="C66" s="122">
        <v>50.0</v>
      </c>
      <c r="D66" s="78">
        <v>2.0</v>
      </c>
      <c r="E66" s="79">
        <v>63.0</v>
      </c>
      <c r="F66" s="79">
        <v>61.0</v>
      </c>
      <c r="G66" s="81" t="s">
        <v>24</v>
      </c>
      <c r="H66" s="82" t="s">
        <v>74</v>
      </c>
      <c r="I66" s="81">
        <v>0.156</v>
      </c>
      <c r="J66" s="83">
        <v>45.0</v>
      </c>
      <c r="K66" s="604" t="s">
        <v>26</v>
      </c>
      <c r="L66" s="89">
        <v>12.0</v>
      </c>
      <c r="M66" s="606">
        <v>43687.0</v>
      </c>
      <c r="N66" s="89" t="s">
        <v>28</v>
      </c>
      <c r="O66" s="86">
        <v>43811.0</v>
      </c>
      <c r="P66" s="610">
        <v>1049.0</v>
      </c>
      <c r="Q66" s="87" t="s">
        <v>36</v>
      </c>
      <c r="R66" s="608" t="s">
        <v>33</v>
      </c>
      <c r="S66" s="601" t="s">
        <v>33</v>
      </c>
      <c r="T66" s="346" t="s">
        <v>33</v>
      </c>
    </row>
    <row r="67">
      <c r="A67" s="605" t="s">
        <v>293</v>
      </c>
      <c r="B67" s="76">
        <v>320.0</v>
      </c>
      <c r="C67" s="122">
        <v>50.0</v>
      </c>
      <c r="D67" s="78">
        <v>2.0</v>
      </c>
      <c r="E67" s="622">
        <v>62.0</v>
      </c>
      <c r="F67" s="622">
        <v>60.0</v>
      </c>
      <c r="G67" s="400" t="s">
        <v>24</v>
      </c>
      <c r="H67" s="82" t="s">
        <v>71</v>
      </c>
      <c r="I67" s="81">
        <v>0.15</v>
      </c>
      <c r="J67" s="83">
        <v>45.0</v>
      </c>
      <c r="K67" s="604" t="s">
        <v>26</v>
      </c>
      <c r="L67" s="89">
        <v>10.0</v>
      </c>
      <c r="M67" s="606">
        <v>43561.0</v>
      </c>
      <c r="N67" s="89" t="s">
        <v>58</v>
      </c>
      <c r="O67" s="86">
        <v>41913.0</v>
      </c>
      <c r="P67" s="84">
        <v>949.0</v>
      </c>
      <c r="Q67" s="87">
        <v>450.0</v>
      </c>
      <c r="R67" s="608" t="s">
        <v>33</v>
      </c>
      <c r="S67" s="601" t="s">
        <v>33</v>
      </c>
      <c r="T67" s="613" t="s">
        <v>33</v>
      </c>
      <c r="U67" s="602" t="s">
        <v>33</v>
      </c>
      <c r="V67" t="s">
        <v>101</v>
      </c>
    </row>
    <row r="68">
      <c r="A68" s="605" t="s">
        <v>294</v>
      </c>
      <c r="B68" s="76">
        <v>236.0</v>
      </c>
      <c r="C68" s="122">
        <v>50.0</v>
      </c>
      <c r="D68" s="78">
        <v>2.8</v>
      </c>
      <c r="E68" s="622">
        <v>72.0</v>
      </c>
      <c r="F68" s="622">
        <v>71.0</v>
      </c>
      <c r="G68" s="81" t="s">
        <v>30</v>
      </c>
      <c r="H68" s="82" t="s">
        <v>90</v>
      </c>
      <c r="I68" s="81">
        <v>1.0</v>
      </c>
      <c r="J68" s="83">
        <v>16.0</v>
      </c>
      <c r="K68" s="604" t="s">
        <v>26</v>
      </c>
      <c r="L68" s="89">
        <v>7.0</v>
      </c>
      <c r="M68" s="606">
        <v>43654.0</v>
      </c>
      <c r="N68" s="89" t="s">
        <v>32</v>
      </c>
      <c r="O68" s="86">
        <v>42614.0</v>
      </c>
      <c r="P68" s="84">
        <v>499.0</v>
      </c>
      <c r="Q68" s="87">
        <v>350.0</v>
      </c>
      <c r="R68" s="608" t="s">
        <v>33</v>
      </c>
      <c r="S68" s="601" t="s">
        <v>33</v>
      </c>
      <c r="T68" s="613" t="s">
        <v>33</v>
      </c>
      <c r="U68" s="602" t="s">
        <v>33</v>
      </c>
    </row>
    <row r="69" hidden="1">
      <c r="A69" s="152" t="s">
        <v>295</v>
      </c>
      <c r="B69" s="76">
        <v>281.0</v>
      </c>
      <c r="C69" s="122">
        <v>55.0</v>
      </c>
      <c r="D69" s="78">
        <v>1.8</v>
      </c>
      <c r="E69" s="79">
        <v>64.0</v>
      </c>
      <c r="F69" s="79">
        <v>71.0</v>
      </c>
      <c r="G69" s="400" t="s">
        <v>30</v>
      </c>
      <c r="H69" s="82" t="s">
        <v>74</v>
      </c>
      <c r="I69" s="81">
        <v>0.14</v>
      </c>
      <c r="J69" s="83">
        <v>50.0</v>
      </c>
      <c r="K69" s="604" t="s">
        <v>26</v>
      </c>
      <c r="L69" s="89">
        <v>9.0</v>
      </c>
      <c r="M69" s="606">
        <v>43592.0</v>
      </c>
      <c r="N69" s="89" t="s">
        <v>32</v>
      </c>
      <c r="O69" s="86">
        <v>41548.0</v>
      </c>
      <c r="P69" s="84">
        <v>999.0</v>
      </c>
      <c r="Q69" s="87">
        <v>625.0</v>
      </c>
      <c r="R69" s="608" t="s">
        <v>33</v>
      </c>
      <c r="S69" s="601" t="s">
        <v>33</v>
      </c>
      <c r="T69" s="346" t="s">
        <v>33</v>
      </c>
      <c r="U69" s="602" t="s">
        <v>33</v>
      </c>
    </row>
    <row r="70" hidden="1">
      <c r="A70" s="152" t="s">
        <v>296</v>
      </c>
      <c r="B70" s="76">
        <v>635.0</v>
      </c>
      <c r="C70" s="122">
        <v>65.0</v>
      </c>
      <c r="D70" s="78">
        <v>2.0</v>
      </c>
      <c r="E70" s="79">
        <v>78.0</v>
      </c>
      <c r="F70" s="79">
        <v>91.0</v>
      </c>
      <c r="G70" s="81" t="s">
        <v>24</v>
      </c>
      <c r="H70" s="82" t="s">
        <v>53</v>
      </c>
      <c r="I70" s="259">
        <v>0.5</v>
      </c>
      <c r="J70" s="83">
        <v>31.0</v>
      </c>
      <c r="K70" s="604" t="s">
        <v>26</v>
      </c>
      <c r="L70" s="89">
        <v>10.0</v>
      </c>
      <c r="M70" s="606">
        <v>43687.0</v>
      </c>
      <c r="N70" s="89" t="s">
        <v>28</v>
      </c>
      <c r="O70" s="86">
        <v>42917.0</v>
      </c>
      <c r="P70" s="610">
        <v>999.0</v>
      </c>
      <c r="Q70" s="87">
        <v>600.0</v>
      </c>
      <c r="R70" s="608" t="s">
        <v>33</v>
      </c>
      <c r="S70" s="601" t="s">
        <v>33</v>
      </c>
      <c r="T70" s="81" t="s">
        <v>33</v>
      </c>
      <c r="U70" s="602" t="s">
        <v>33</v>
      </c>
    </row>
    <row r="71" hidden="1">
      <c r="A71" s="395" t="s">
        <v>112</v>
      </c>
      <c r="B71" s="76">
        <v>562.0</v>
      </c>
      <c r="C71" s="122">
        <v>70.0</v>
      </c>
      <c r="D71" s="78">
        <v>2.8</v>
      </c>
      <c r="E71" s="79">
        <v>71.0</v>
      </c>
      <c r="F71" s="79">
        <v>132.0</v>
      </c>
      <c r="G71" s="81" t="s">
        <v>30</v>
      </c>
      <c r="H71" s="82" t="s">
        <v>74</v>
      </c>
      <c r="I71" s="185">
        <v>1.0</v>
      </c>
      <c r="J71" s="83">
        <v>26.0</v>
      </c>
      <c r="K71" s="604" t="s">
        <v>26</v>
      </c>
      <c r="L71" s="89">
        <v>9.0</v>
      </c>
      <c r="M71" s="606">
        <v>43751.0</v>
      </c>
      <c r="N71" s="89" t="s">
        <v>41</v>
      </c>
      <c r="O71" s="86">
        <v>43221.0</v>
      </c>
      <c r="P71" s="610">
        <v>569.0</v>
      </c>
      <c r="Q71" s="87">
        <v>400.0</v>
      </c>
      <c r="R71" s="608" t="s">
        <v>33</v>
      </c>
      <c r="S71" s="601" t="s">
        <v>33</v>
      </c>
      <c r="T71" s="601" t="s">
        <v>33</v>
      </c>
      <c r="U71" s="602" t="s">
        <v>33</v>
      </c>
      <c r="V71" t="s">
        <v>42</v>
      </c>
    </row>
    <row r="72" hidden="1">
      <c r="A72" s="395" t="s">
        <v>113</v>
      </c>
      <c r="B72" s="76">
        <v>1480.0</v>
      </c>
      <c r="C72" s="122">
        <v>70.0</v>
      </c>
      <c r="D72" s="78">
        <v>2.8</v>
      </c>
      <c r="E72" s="79">
        <v>88.0</v>
      </c>
      <c r="F72" s="79">
        <v>200.0</v>
      </c>
      <c r="G72" s="81" t="s">
        <v>30</v>
      </c>
      <c r="H72" s="82" t="s">
        <v>56</v>
      </c>
      <c r="I72" s="259">
        <v>0.25</v>
      </c>
      <c r="J72" s="614">
        <v>96.0</v>
      </c>
      <c r="K72" s="89" t="s">
        <v>49</v>
      </c>
      <c r="L72" s="89">
        <v>11.0</v>
      </c>
      <c r="M72" s="89" t="s">
        <v>114</v>
      </c>
      <c r="N72" s="89" t="s">
        <v>32</v>
      </c>
      <c r="O72" s="86">
        <v>42401.0</v>
      </c>
      <c r="P72" s="84">
        <v>2599.0</v>
      </c>
      <c r="Q72" s="87">
        <v>1900.0</v>
      </c>
      <c r="R72" s="608" t="s">
        <v>33</v>
      </c>
      <c r="S72" s="601" t="s">
        <v>33</v>
      </c>
      <c r="T72" s="81" t="s">
        <v>33</v>
      </c>
      <c r="U72" s="602" t="s">
        <v>33</v>
      </c>
    </row>
    <row r="73" hidden="1">
      <c r="A73" s="395" t="s">
        <v>115</v>
      </c>
      <c r="B73" s="76">
        <v>815.0</v>
      </c>
      <c r="C73" s="122">
        <v>70.0</v>
      </c>
      <c r="D73" s="78">
        <v>2.8</v>
      </c>
      <c r="E73" s="79">
        <v>81.0</v>
      </c>
      <c r="F73" s="79">
        <v>149.0</v>
      </c>
      <c r="G73" s="81" t="s">
        <v>30</v>
      </c>
      <c r="H73" s="82" t="s">
        <v>53</v>
      </c>
      <c r="I73" s="185">
        <v>0.5</v>
      </c>
      <c r="J73" s="83">
        <v>85.0</v>
      </c>
      <c r="K73" s="89" t="s">
        <v>26</v>
      </c>
      <c r="L73" s="89">
        <v>9.0</v>
      </c>
      <c r="M73" s="89" t="s">
        <v>116</v>
      </c>
      <c r="N73" s="89" t="s">
        <v>55</v>
      </c>
      <c r="O73" s="86">
        <v>43952.0</v>
      </c>
      <c r="P73" s="610">
        <v>1199.0</v>
      </c>
      <c r="Q73" s="87" t="s">
        <v>36</v>
      </c>
      <c r="R73" s="85"/>
      <c r="S73" s="601" t="s">
        <v>33</v>
      </c>
      <c r="T73" s="81"/>
      <c r="U73" s="602" t="s">
        <v>33</v>
      </c>
    </row>
    <row r="74" customHeight="1">
      <c r="A74" s="395" t="s">
        <v>117</v>
      </c>
      <c r="B74" s="76">
        <v>854.0</v>
      </c>
      <c r="C74" s="122">
        <v>70.0</v>
      </c>
      <c r="D74" s="78" t="s">
        <v>118</v>
      </c>
      <c r="E74" s="79">
        <v>84.0</v>
      </c>
      <c r="F74" s="79">
        <v>144.0</v>
      </c>
      <c r="G74" s="81" t="s">
        <v>30</v>
      </c>
      <c r="H74" s="384" t="s">
        <v>48</v>
      </c>
      <c r="I74" s="81">
        <v>0.31</v>
      </c>
      <c r="J74" s="83">
        <v>90.0</v>
      </c>
      <c r="K74" s="89" t="s">
        <v>49</v>
      </c>
      <c r="L74" s="89">
        <v>9.0</v>
      </c>
      <c r="M74" s="89" t="s">
        <v>52</v>
      </c>
      <c r="N74" s="89" t="s">
        <v>32</v>
      </c>
      <c r="O74" s="86">
        <v>42430.0</v>
      </c>
      <c r="P74" s="84">
        <v>1198.0</v>
      </c>
      <c r="Q74" s="87">
        <v>850.0</v>
      </c>
      <c r="R74" s="608" t="s">
        <v>33</v>
      </c>
      <c r="S74" s="601" t="s">
        <v>33</v>
      </c>
      <c r="T74" s="346" t="s">
        <v>33</v>
      </c>
      <c r="U74" s="602" t="s">
        <v>33</v>
      </c>
    </row>
    <row r="75" hidden="1">
      <c r="A75" s="395" t="s">
        <v>119</v>
      </c>
      <c r="B75" s="76">
        <v>545.0</v>
      </c>
      <c r="C75" s="122">
        <v>70.0</v>
      </c>
      <c r="D75" s="78">
        <v>4.5</v>
      </c>
      <c r="E75" s="79">
        <v>77.0</v>
      </c>
      <c r="F75" s="79">
        <v>148.0</v>
      </c>
      <c r="G75" s="400" t="s">
        <v>30</v>
      </c>
      <c r="H75" s="82" t="s">
        <v>53</v>
      </c>
      <c r="I75" s="259">
        <v>0.19607843137254904</v>
      </c>
      <c r="J75" s="83">
        <v>150.0</v>
      </c>
      <c r="K75" s="89" t="s">
        <v>26</v>
      </c>
      <c r="L75" s="89">
        <v>7.0</v>
      </c>
      <c r="M75" s="606">
        <v>44119.0</v>
      </c>
      <c r="N75" s="89" t="s">
        <v>55</v>
      </c>
      <c r="O75" s="86">
        <v>44133.0</v>
      </c>
      <c r="P75" s="84">
        <v>549.0</v>
      </c>
      <c r="Q75" s="87" t="s">
        <v>36</v>
      </c>
      <c r="R75" s="123"/>
      <c r="S75" s="601" t="s">
        <v>33</v>
      </c>
      <c r="T75" s="81"/>
      <c r="V75" t="s">
        <v>120</v>
      </c>
    </row>
    <row r="76">
      <c r="A76" s="152" t="s">
        <v>297</v>
      </c>
      <c r="B76" s="76">
        <v>840.0</v>
      </c>
      <c r="C76" s="122">
        <v>70.0</v>
      </c>
      <c r="D76" s="78">
        <v>4.0</v>
      </c>
      <c r="E76" s="79">
        <v>80.0</v>
      </c>
      <c r="F76" s="79">
        <v>175.0</v>
      </c>
      <c r="G76" s="81" t="s">
        <v>30</v>
      </c>
      <c r="H76" s="270" t="s">
        <v>48</v>
      </c>
      <c r="I76" s="185">
        <v>0.18</v>
      </c>
      <c r="J76" s="83">
        <v>100.0</v>
      </c>
      <c r="K76" s="89" t="s">
        <v>49</v>
      </c>
      <c r="L76" s="89">
        <v>9.0</v>
      </c>
      <c r="M76" s="89" t="s">
        <v>121</v>
      </c>
      <c r="N76" s="89" t="s">
        <v>32</v>
      </c>
      <c r="O76" s="86">
        <v>41548.0</v>
      </c>
      <c r="P76" s="84">
        <v>1498.0</v>
      </c>
      <c r="Q76" s="87">
        <v>850.0</v>
      </c>
      <c r="R76" s="608" t="s">
        <v>33</v>
      </c>
      <c r="S76" s="601" t="s">
        <v>33</v>
      </c>
      <c r="T76" s="613" t="s">
        <v>33</v>
      </c>
      <c r="U76" s="602" t="s">
        <v>33</v>
      </c>
    </row>
    <row r="77">
      <c r="A77" s="395" t="s">
        <v>122</v>
      </c>
      <c r="B77" s="76">
        <v>230.0</v>
      </c>
      <c r="C77" s="122">
        <v>75.0</v>
      </c>
      <c r="D77" s="78">
        <v>1.8</v>
      </c>
      <c r="E77" s="79">
        <v>65.0</v>
      </c>
      <c r="F77" s="79">
        <v>69.0</v>
      </c>
      <c r="G77" s="81" t="s">
        <v>30</v>
      </c>
      <c r="H77" s="270" t="s">
        <v>47</v>
      </c>
      <c r="I77" s="81">
        <v>0.13</v>
      </c>
      <c r="J77" s="614">
        <v>69.0</v>
      </c>
      <c r="K77" s="604" t="s">
        <v>26</v>
      </c>
      <c r="L77" s="89">
        <v>9.0</v>
      </c>
      <c r="M77" s="606">
        <v>44084.0</v>
      </c>
      <c r="N77" s="89" t="s">
        <v>46</v>
      </c>
      <c r="O77" s="626">
        <v>43937.0</v>
      </c>
      <c r="P77" s="84">
        <v>399.0</v>
      </c>
      <c r="Q77" s="87" t="s">
        <v>36</v>
      </c>
      <c r="R77" s="608" t="s">
        <v>33</v>
      </c>
      <c r="S77" s="601" t="s">
        <v>33</v>
      </c>
      <c r="T77" s="613" t="s">
        <v>33</v>
      </c>
      <c r="U77" s="602" t="s">
        <v>33</v>
      </c>
    </row>
    <row r="78" hidden="1">
      <c r="A78" s="152" t="s">
        <v>298</v>
      </c>
      <c r="B78" s="76">
        <v>854.0</v>
      </c>
      <c r="C78" s="122">
        <v>85.0</v>
      </c>
      <c r="D78" s="78">
        <v>1.4</v>
      </c>
      <c r="E78" s="79">
        <v>84.0</v>
      </c>
      <c r="F78" s="79">
        <v>108.0</v>
      </c>
      <c r="G78" s="81" t="s">
        <v>30</v>
      </c>
      <c r="H78" s="82" t="s">
        <v>56</v>
      </c>
      <c r="I78" s="81">
        <v>0.12</v>
      </c>
      <c r="J78" s="83">
        <v>80.0</v>
      </c>
      <c r="K78" s="604" t="s">
        <v>26</v>
      </c>
      <c r="L78" s="89">
        <v>11.0</v>
      </c>
      <c r="M78" s="606">
        <v>43688.0</v>
      </c>
      <c r="N78" s="89" t="s">
        <v>32</v>
      </c>
      <c r="O78" s="86">
        <v>42401.0</v>
      </c>
      <c r="P78" s="610">
        <v>1799.0</v>
      </c>
      <c r="Q78" s="87">
        <v>1150.0</v>
      </c>
      <c r="R78" s="608" t="s">
        <v>33</v>
      </c>
      <c r="S78" s="601" t="s">
        <v>33</v>
      </c>
      <c r="T78" s="346" t="s">
        <v>33</v>
      </c>
      <c r="U78" s="602" t="s">
        <v>33</v>
      </c>
    </row>
    <row r="79" hidden="1">
      <c r="A79" s="402" t="s">
        <v>123</v>
      </c>
      <c r="B79" s="76">
        <v>1245.0</v>
      </c>
      <c r="C79" s="122">
        <v>85.0</v>
      </c>
      <c r="D79" s="78">
        <v>1.4</v>
      </c>
      <c r="E79" s="79">
        <v>95.0</v>
      </c>
      <c r="F79" s="79">
        <v>152.0</v>
      </c>
      <c r="G79" s="81" t="s">
        <v>30</v>
      </c>
      <c r="H79" s="198" t="s">
        <v>124</v>
      </c>
      <c r="I79" s="393">
        <v>0.12</v>
      </c>
      <c r="J79" s="83">
        <v>85.0</v>
      </c>
      <c r="K79" s="604" t="s">
        <v>26</v>
      </c>
      <c r="L79" s="89">
        <v>9.0</v>
      </c>
      <c r="M79" s="606">
        <v>43724.0</v>
      </c>
      <c r="N79" s="89" t="s">
        <v>41</v>
      </c>
      <c r="O79" s="86">
        <v>43221.0</v>
      </c>
      <c r="P79" s="610">
        <v>1199.0</v>
      </c>
      <c r="Q79" s="87">
        <v>750.0</v>
      </c>
      <c r="R79" s="607" t="s">
        <v>33</v>
      </c>
      <c r="S79" s="601" t="s">
        <v>33</v>
      </c>
      <c r="T79" s="601" t="s">
        <v>33</v>
      </c>
      <c r="U79" s="602" t="s">
        <v>33</v>
      </c>
      <c r="V79" t="s">
        <v>42</v>
      </c>
    </row>
    <row r="80" hidden="1">
      <c r="A80" s="395" t="s">
        <v>125</v>
      </c>
      <c r="B80" s="76">
        <v>568.0</v>
      </c>
      <c r="C80" s="122">
        <v>85.0</v>
      </c>
      <c r="D80" s="78">
        <v>1.4</v>
      </c>
      <c r="E80" s="79">
        <v>88.0</v>
      </c>
      <c r="F80" s="79">
        <v>100.0</v>
      </c>
      <c r="G80" s="81" t="s">
        <v>30</v>
      </c>
      <c r="H80" s="82" t="s">
        <v>56</v>
      </c>
      <c r="I80" s="393">
        <v>0.11</v>
      </c>
      <c r="J80" s="83">
        <v>90.0</v>
      </c>
      <c r="K80" s="604" t="s">
        <v>26</v>
      </c>
      <c r="L80" s="89">
        <v>9.0</v>
      </c>
      <c r="M80" s="606">
        <v>43688.0</v>
      </c>
      <c r="N80" s="89" t="s">
        <v>46</v>
      </c>
      <c r="O80" s="86">
        <v>43586.0</v>
      </c>
      <c r="P80" s="610">
        <v>599.0</v>
      </c>
      <c r="Q80" s="87">
        <v>500.0</v>
      </c>
      <c r="R80" s="607" t="s">
        <v>33</v>
      </c>
      <c r="S80" s="601" t="s">
        <v>33</v>
      </c>
      <c r="T80" s="81" t="s">
        <v>33</v>
      </c>
      <c r="U80" s="602" t="s">
        <v>33</v>
      </c>
    </row>
    <row r="81" hidden="1">
      <c r="A81" s="450" t="s">
        <v>126</v>
      </c>
      <c r="B81" s="213">
        <v>630.0</v>
      </c>
      <c r="C81" s="451">
        <v>85.0</v>
      </c>
      <c r="D81" s="215">
        <v>1.4</v>
      </c>
      <c r="E81" s="627">
        <v>82.5</v>
      </c>
      <c r="F81" s="627">
        <v>94.1</v>
      </c>
      <c r="G81" s="218" t="s">
        <v>30</v>
      </c>
      <c r="H81" s="219" t="s">
        <v>56</v>
      </c>
      <c r="I81" s="218">
        <v>0.11904761904761904</v>
      </c>
      <c r="J81" s="221">
        <v>85.0</v>
      </c>
      <c r="K81" s="604" t="s">
        <v>26</v>
      </c>
      <c r="L81" s="89">
        <v>11.0</v>
      </c>
      <c r="M81" s="606">
        <v>44150.0</v>
      </c>
      <c r="N81" s="89" t="s">
        <v>41</v>
      </c>
      <c r="O81" s="224"/>
      <c r="P81" s="610">
        <v>1199.0</v>
      </c>
      <c r="Q81" s="141"/>
      <c r="R81" s="262"/>
      <c r="S81" s="218"/>
      <c r="T81" s="218"/>
    </row>
    <row r="82" hidden="1">
      <c r="A82" s="628" t="s">
        <v>299</v>
      </c>
      <c r="B82" s="276">
        <v>371.0</v>
      </c>
      <c r="C82" s="277">
        <v>85.0</v>
      </c>
      <c r="D82" s="278">
        <v>1.8</v>
      </c>
      <c r="E82" s="629">
        <v>77.0</v>
      </c>
      <c r="F82" s="629">
        <v>82.0</v>
      </c>
      <c r="G82" s="68" t="s">
        <v>30</v>
      </c>
      <c r="H82" s="279" t="s">
        <v>53</v>
      </c>
      <c r="I82" s="68">
        <v>0.13</v>
      </c>
      <c r="J82" s="280">
        <v>80.0</v>
      </c>
      <c r="K82" s="630" t="s">
        <v>26</v>
      </c>
      <c r="L82" s="283">
        <v>9.0</v>
      </c>
      <c r="M82" s="631">
        <v>43686.0</v>
      </c>
      <c r="N82" s="283" t="s">
        <v>32</v>
      </c>
      <c r="O82" s="281">
        <v>42767.0</v>
      </c>
      <c r="P82" s="282">
        <v>599.0</v>
      </c>
      <c r="Q82" s="282">
        <v>470.0</v>
      </c>
      <c r="R82" s="632" t="s">
        <v>33</v>
      </c>
      <c r="S82" s="632" t="s">
        <v>33</v>
      </c>
      <c r="T82" s="68" t="s">
        <v>33</v>
      </c>
      <c r="U82" s="602" t="s">
        <v>33</v>
      </c>
    </row>
    <row r="83" hidden="1">
      <c r="A83" s="275" t="s">
        <v>127</v>
      </c>
      <c r="B83" s="276">
        <v>645.0</v>
      </c>
      <c r="C83" s="277">
        <v>85.0</v>
      </c>
      <c r="D83" s="278">
        <v>1.8</v>
      </c>
      <c r="E83" s="629">
        <v>80.0</v>
      </c>
      <c r="F83" s="629">
        <v>93.0</v>
      </c>
      <c r="G83" s="68" t="s">
        <v>30</v>
      </c>
      <c r="H83" s="279" t="s">
        <v>48</v>
      </c>
      <c r="I83" s="68">
        <v>0.125</v>
      </c>
      <c r="J83" s="280">
        <v>80.0</v>
      </c>
      <c r="K83" s="630" t="s">
        <v>26</v>
      </c>
      <c r="L83" s="283">
        <v>9.0</v>
      </c>
      <c r="M83" s="631">
        <v>44022.0</v>
      </c>
      <c r="N83" s="283" t="s">
        <v>67</v>
      </c>
      <c r="O83" s="281">
        <v>43922.0</v>
      </c>
      <c r="P83" s="282">
        <v>499.0</v>
      </c>
      <c r="Q83" s="282" t="s">
        <v>36</v>
      </c>
      <c r="R83" s="68"/>
      <c r="S83" s="632" t="s">
        <v>33</v>
      </c>
      <c r="T83" s="68"/>
      <c r="U83" s="602" t="s">
        <v>33</v>
      </c>
      <c r="V83" t="s">
        <v>128</v>
      </c>
    </row>
    <row r="84" hidden="1">
      <c r="A84" s="628" t="s">
        <v>300</v>
      </c>
      <c r="B84" s="276">
        <v>475.0</v>
      </c>
      <c r="C84" s="277">
        <v>85.0</v>
      </c>
      <c r="D84" s="278">
        <v>1.8</v>
      </c>
      <c r="E84" s="629">
        <v>92.0</v>
      </c>
      <c r="F84" s="629">
        <v>81.0</v>
      </c>
      <c r="G84" s="68" t="s">
        <v>30</v>
      </c>
      <c r="H84" s="279" t="s">
        <v>53</v>
      </c>
      <c r="I84" s="68">
        <v>0.13</v>
      </c>
      <c r="J84" s="280">
        <v>80.0</v>
      </c>
      <c r="K84" s="283" t="s">
        <v>49</v>
      </c>
      <c r="L84" s="283">
        <v>9.0</v>
      </c>
      <c r="M84" s="631">
        <v>43688.0</v>
      </c>
      <c r="N84" s="283" t="s">
        <v>58</v>
      </c>
      <c r="O84" s="281">
        <v>42125.0</v>
      </c>
      <c r="P84" s="282">
        <v>1199.0</v>
      </c>
      <c r="Q84" s="282">
        <v>800.0</v>
      </c>
      <c r="R84" s="632" t="s">
        <v>33</v>
      </c>
      <c r="S84" s="632" t="s">
        <v>33</v>
      </c>
      <c r="T84" s="68" t="s">
        <v>33</v>
      </c>
      <c r="U84" s="602" t="s">
        <v>33</v>
      </c>
    </row>
    <row r="85" hidden="1">
      <c r="A85" s="275" t="s">
        <v>129</v>
      </c>
      <c r="B85" s="276">
        <v>665.0</v>
      </c>
      <c r="C85" s="277">
        <v>85.0</v>
      </c>
      <c r="D85" s="278">
        <v>1.8</v>
      </c>
      <c r="E85" s="629">
        <v>79.0</v>
      </c>
      <c r="F85" s="629">
        <v>92.0</v>
      </c>
      <c r="G85" s="68" t="s">
        <v>24</v>
      </c>
      <c r="H85" s="279" t="s">
        <v>48</v>
      </c>
      <c r="I85" s="68">
        <v>0.13</v>
      </c>
      <c r="J85" s="280">
        <v>80.0</v>
      </c>
      <c r="K85" s="630" t="s">
        <v>26</v>
      </c>
      <c r="L85" s="283">
        <v>9.0</v>
      </c>
      <c r="M85" s="631">
        <v>43656.0</v>
      </c>
      <c r="N85" s="283" t="s">
        <v>63</v>
      </c>
      <c r="O85" s="633">
        <v>43586.0</v>
      </c>
      <c r="P85" s="282">
        <v>299.0</v>
      </c>
      <c r="Q85" s="282" t="s">
        <v>36</v>
      </c>
      <c r="R85" s="632" t="s">
        <v>33</v>
      </c>
      <c r="S85" s="68" t="e">
        <v>#REF!</v>
      </c>
      <c r="T85" s="68" t="s">
        <v>33</v>
      </c>
      <c r="U85" s="602" t="s">
        <v>33</v>
      </c>
      <c r="V85" t="s">
        <v>39</v>
      </c>
    </row>
    <row r="86" hidden="1">
      <c r="A86" s="628" t="s">
        <v>229</v>
      </c>
      <c r="B86" s="276">
        <v>636.0</v>
      </c>
      <c r="C86" s="277">
        <v>85.0</v>
      </c>
      <c r="D86" s="278">
        <v>1.8</v>
      </c>
      <c r="E86" s="629">
        <v>79.0</v>
      </c>
      <c r="F86" s="629">
        <v>92.0</v>
      </c>
      <c r="G86" s="68" t="s">
        <v>30</v>
      </c>
      <c r="H86" s="279" t="s">
        <v>48</v>
      </c>
      <c r="I86" s="68">
        <v>0.13</v>
      </c>
      <c r="J86" s="280">
        <v>80.0</v>
      </c>
      <c r="K86" s="630" t="s">
        <v>26</v>
      </c>
      <c r="L86" s="283">
        <v>9.0</v>
      </c>
      <c r="M86" s="631">
        <v>43656.0</v>
      </c>
      <c r="N86" s="283" t="s">
        <v>63</v>
      </c>
      <c r="O86" s="281">
        <v>43586.0</v>
      </c>
      <c r="P86" s="282">
        <v>399.0</v>
      </c>
      <c r="Q86" s="282" t="s">
        <v>36</v>
      </c>
      <c r="R86" s="632" t="s">
        <v>33</v>
      </c>
      <c r="S86" s="632" t="s">
        <v>33</v>
      </c>
      <c r="T86" s="68" t="s">
        <v>33</v>
      </c>
      <c r="U86" s="602" t="s">
        <v>33</v>
      </c>
      <c r="V86" t="s">
        <v>39</v>
      </c>
    </row>
    <row r="87" hidden="1">
      <c r="A87" s="628" t="s">
        <v>301</v>
      </c>
      <c r="B87" s="276">
        <v>484.0</v>
      </c>
      <c r="C87" s="277">
        <v>85.0</v>
      </c>
      <c r="D87" s="278">
        <v>1.8</v>
      </c>
      <c r="E87" s="629">
        <v>79.0</v>
      </c>
      <c r="F87" s="629">
        <v>92.0</v>
      </c>
      <c r="G87" s="68" t="s">
        <v>30</v>
      </c>
      <c r="H87" s="279" t="s">
        <v>48</v>
      </c>
      <c r="I87" s="68">
        <v>0.13</v>
      </c>
      <c r="J87" s="280">
        <v>80.0</v>
      </c>
      <c r="K87" s="630" t="s">
        <v>26</v>
      </c>
      <c r="L87" s="283">
        <v>9.0</v>
      </c>
      <c r="M87" s="631">
        <v>43656.0</v>
      </c>
      <c r="N87" s="283" t="s">
        <v>63</v>
      </c>
      <c r="O87" s="281">
        <v>44013.0</v>
      </c>
      <c r="P87" s="282">
        <v>399.0</v>
      </c>
      <c r="Q87" s="282" t="s">
        <v>36</v>
      </c>
      <c r="R87" s="632" t="s">
        <v>33</v>
      </c>
      <c r="S87" s="632" t="s">
        <v>33</v>
      </c>
      <c r="T87" s="68" t="s">
        <v>33</v>
      </c>
      <c r="U87" s="602" t="s">
        <v>33</v>
      </c>
    </row>
    <row r="88" hidden="1">
      <c r="A88" s="275" t="s">
        <v>130</v>
      </c>
      <c r="B88" s="276">
        <v>420.0</v>
      </c>
      <c r="C88" s="277">
        <v>85.0</v>
      </c>
      <c r="D88" s="278">
        <v>1.8</v>
      </c>
      <c r="E88" s="629">
        <v>79.0</v>
      </c>
      <c r="F88" s="629">
        <v>75.0</v>
      </c>
      <c r="G88" s="68" t="s">
        <v>24</v>
      </c>
      <c r="H88" s="279">
        <v>67.0</v>
      </c>
      <c r="I88" s="68"/>
      <c r="J88" s="280">
        <v>85.0</v>
      </c>
      <c r="K88" s="630" t="s">
        <v>26</v>
      </c>
      <c r="L88" s="283">
        <v>9.0</v>
      </c>
      <c r="M88" s="631">
        <v>43991.0</v>
      </c>
      <c r="N88" s="283" t="s">
        <v>131</v>
      </c>
      <c r="O88" s="634">
        <v>44043.0</v>
      </c>
      <c r="P88" s="282"/>
      <c r="Q88" s="282"/>
      <c r="R88" s="68"/>
      <c r="S88" s="68"/>
      <c r="T88" s="68"/>
    </row>
    <row r="89" hidden="1">
      <c r="A89" s="628" t="s">
        <v>302</v>
      </c>
      <c r="B89" s="276">
        <v>594.0</v>
      </c>
      <c r="C89" s="277">
        <v>85.0</v>
      </c>
      <c r="D89" s="278">
        <v>2.4</v>
      </c>
      <c r="E89" s="629">
        <v>63.0</v>
      </c>
      <c r="F89" s="629">
        <v>95.0</v>
      </c>
      <c r="G89" s="68" t="s">
        <v>24</v>
      </c>
      <c r="H89" s="279" t="s">
        <v>71</v>
      </c>
      <c r="I89" s="68">
        <v>0.14</v>
      </c>
      <c r="J89" s="280">
        <v>80.0</v>
      </c>
      <c r="K89" s="630" t="s">
        <v>26</v>
      </c>
      <c r="L89" s="283">
        <v>10.0</v>
      </c>
      <c r="M89" s="631">
        <v>43653.0</v>
      </c>
      <c r="N89" s="283" t="s">
        <v>58</v>
      </c>
      <c r="O89" s="281">
        <v>42644.0</v>
      </c>
      <c r="P89" s="282">
        <v>1399.0</v>
      </c>
      <c r="Q89" s="282">
        <v>850.0</v>
      </c>
      <c r="R89" s="632" t="s">
        <v>33</v>
      </c>
      <c r="S89" s="632" t="s">
        <v>33</v>
      </c>
      <c r="T89" s="68" t="s">
        <v>33</v>
      </c>
      <c r="U89" s="602" t="s">
        <v>33</v>
      </c>
    </row>
    <row r="90" hidden="1">
      <c r="A90" s="628" t="s">
        <v>303</v>
      </c>
      <c r="B90" s="276">
        <v>602.0</v>
      </c>
      <c r="C90" s="277">
        <v>90.0</v>
      </c>
      <c r="D90" s="278">
        <v>2.8</v>
      </c>
      <c r="E90" s="629">
        <v>79.0</v>
      </c>
      <c r="F90" s="629">
        <v>131.0</v>
      </c>
      <c r="G90" s="68" t="s">
        <v>30</v>
      </c>
      <c r="H90" s="279" t="s">
        <v>66</v>
      </c>
      <c r="I90" s="68">
        <v>1.0</v>
      </c>
      <c r="J90" s="280">
        <v>28.0</v>
      </c>
      <c r="K90" s="283" t="s">
        <v>49</v>
      </c>
      <c r="L90" s="283">
        <v>9.0</v>
      </c>
      <c r="M90" s="631">
        <v>43784.0</v>
      </c>
      <c r="N90" s="283" t="s">
        <v>32</v>
      </c>
      <c r="O90" s="281">
        <v>42064.0</v>
      </c>
      <c r="P90" s="282">
        <v>1099.0</v>
      </c>
      <c r="Q90" s="282">
        <v>850.0</v>
      </c>
      <c r="R90" s="632" t="s">
        <v>33</v>
      </c>
      <c r="S90" s="632" t="s">
        <v>33</v>
      </c>
      <c r="T90" s="632" t="s">
        <v>33</v>
      </c>
      <c r="U90" s="602" t="s">
        <v>33</v>
      </c>
    </row>
    <row r="91" hidden="1">
      <c r="A91" s="628" t="s">
        <v>304</v>
      </c>
      <c r="B91" s="276">
        <v>700.0</v>
      </c>
      <c r="C91" s="277">
        <v>100.0</v>
      </c>
      <c r="D91" s="278">
        <v>2.8</v>
      </c>
      <c r="E91" s="629">
        <v>85.0</v>
      </c>
      <c r="F91" s="629">
        <v>118.0</v>
      </c>
      <c r="G91" s="68" t="s">
        <v>30</v>
      </c>
      <c r="H91" s="279" t="s">
        <v>48</v>
      </c>
      <c r="I91" s="68">
        <v>0.25</v>
      </c>
      <c r="J91" s="280">
        <v>57.0</v>
      </c>
      <c r="K91" s="283" t="s">
        <v>49</v>
      </c>
      <c r="L91" s="283">
        <v>11.0</v>
      </c>
      <c r="M91" s="631">
        <v>43752.0</v>
      </c>
      <c r="N91" s="283" t="s">
        <v>32</v>
      </c>
      <c r="O91" s="281">
        <v>42767.0</v>
      </c>
      <c r="P91" s="282">
        <v>1499.0</v>
      </c>
      <c r="Q91" s="282">
        <v>1000.0</v>
      </c>
      <c r="R91" s="632" t="s">
        <v>33</v>
      </c>
      <c r="S91" s="632" t="s">
        <v>33</v>
      </c>
      <c r="T91" s="68" t="s">
        <v>33</v>
      </c>
      <c r="U91" s="602" t="s">
        <v>33</v>
      </c>
      <c r="V91" t="s">
        <v>132</v>
      </c>
    </row>
    <row r="92" hidden="1">
      <c r="A92" s="628" t="s">
        <v>305</v>
      </c>
      <c r="B92" s="276">
        <v>570.0</v>
      </c>
      <c r="C92" s="277">
        <v>100.0</v>
      </c>
      <c r="D92" s="278">
        <v>2.8</v>
      </c>
      <c r="E92" s="629">
        <v>74.0</v>
      </c>
      <c r="F92" s="629">
        <v>123.0</v>
      </c>
      <c r="G92" s="68" t="s">
        <v>30</v>
      </c>
      <c r="H92" s="279" t="s">
        <v>90</v>
      </c>
      <c r="I92" s="68">
        <v>1.0</v>
      </c>
      <c r="J92" s="280">
        <v>30.0</v>
      </c>
      <c r="K92" s="630" t="s">
        <v>26</v>
      </c>
      <c r="L92" s="283">
        <v>9.0</v>
      </c>
      <c r="M92" s="631">
        <v>43686.0</v>
      </c>
      <c r="N92" s="283" t="s">
        <v>67</v>
      </c>
      <c r="O92" s="281">
        <v>43617.0</v>
      </c>
      <c r="P92" s="282">
        <v>599.0</v>
      </c>
      <c r="Q92" s="282" t="s">
        <v>36</v>
      </c>
      <c r="R92" s="632" t="s">
        <v>33</v>
      </c>
      <c r="S92" s="632" t="s">
        <v>33</v>
      </c>
      <c r="T92" s="632" t="s">
        <v>33</v>
      </c>
      <c r="U92" s="602" t="s">
        <v>33</v>
      </c>
      <c r="V92" t="s">
        <v>42</v>
      </c>
    </row>
    <row r="93" hidden="1">
      <c r="A93" s="275" t="s">
        <v>133</v>
      </c>
      <c r="B93" s="276">
        <v>1135.0</v>
      </c>
      <c r="C93" s="277">
        <v>100.0</v>
      </c>
      <c r="D93" s="278">
        <v>5.0</v>
      </c>
      <c r="E93" s="629">
        <v>86.0</v>
      </c>
      <c r="F93" s="629">
        <v>197.2</v>
      </c>
      <c r="G93" s="68" t="s">
        <v>30</v>
      </c>
      <c r="H93" s="279" t="s">
        <v>53</v>
      </c>
      <c r="I93" s="68">
        <v>0.24390243902439027</v>
      </c>
      <c r="J93" s="280">
        <v>112.0</v>
      </c>
      <c r="K93" s="283" t="s">
        <v>49</v>
      </c>
      <c r="L93" s="283">
        <v>9.0</v>
      </c>
      <c r="M93" s="283" t="s">
        <v>134</v>
      </c>
      <c r="N93" s="283" t="s">
        <v>41</v>
      </c>
      <c r="O93" s="281">
        <v>44022.0</v>
      </c>
      <c r="P93" s="282">
        <v>949.0</v>
      </c>
      <c r="Q93" s="282" t="s">
        <v>36</v>
      </c>
      <c r="R93" s="68"/>
      <c r="S93" s="632" t="s">
        <v>33</v>
      </c>
      <c r="T93" s="68"/>
      <c r="U93" s="602" t="s">
        <v>33</v>
      </c>
    </row>
    <row r="94" hidden="1">
      <c r="A94" s="628" t="s">
        <v>135</v>
      </c>
      <c r="B94" s="276">
        <v>1395.0</v>
      </c>
      <c r="C94" s="277">
        <v>100.0</v>
      </c>
      <c r="D94" s="278" t="s">
        <v>118</v>
      </c>
      <c r="E94" s="629">
        <v>94.0</v>
      </c>
      <c r="F94" s="629">
        <v>205.0</v>
      </c>
      <c r="G94" s="68" t="s">
        <v>30</v>
      </c>
      <c r="H94" s="279" t="s">
        <v>56</v>
      </c>
      <c r="I94" s="68">
        <v>0.35</v>
      </c>
      <c r="J94" s="280">
        <v>98.0</v>
      </c>
      <c r="K94" s="283" t="s">
        <v>49</v>
      </c>
      <c r="L94" s="283">
        <v>9.0</v>
      </c>
      <c r="M94" s="283" t="s">
        <v>134</v>
      </c>
      <c r="N94" s="283" t="s">
        <v>32</v>
      </c>
      <c r="O94" s="281">
        <v>42826.0</v>
      </c>
      <c r="P94" s="282">
        <v>2499.0</v>
      </c>
      <c r="Q94" s="282">
        <v>1950.0</v>
      </c>
      <c r="R94" s="632" t="s">
        <v>33</v>
      </c>
      <c r="S94" s="632" t="s">
        <v>33</v>
      </c>
      <c r="T94" s="68" t="s">
        <v>33</v>
      </c>
      <c r="U94" s="602" t="s">
        <v>33</v>
      </c>
    </row>
    <row r="95" hidden="1">
      <c r="A95" s="275" t="s">
        <v>136</v>
      </c>
      <c r="B95" s="276">
        <v>1720.0</v>
      </c>
      <c r="C95" s="277">
        <v>105.0</v>
      </c>
      <c r="D95" s="278">
        <v>1.4</v>
      </c>
      <c r="E95" s="629">
        <v>116.0</v>
      </c>
      <c r="F95" s="629">
        <v>157.5</v>
      </c>
      <c r="G95" s="68" t="s">
        <v>30</v>
      </c>
      <c r="H95" s="279" t="s">
        <v>137</v>
      </c>
      <c r="I95" s="68">
        <v>0.12</v>
      </c>
      <c r="J95" s="280">
        <v>100.0</v>
      </c>
      <c r="K95" s="630" t="s">
        <v>26</v>
      </c>
      <c r="L95" s="283">
        <v>9.0</v>
      </c>
      <c r="M95" s="631">
        <v>43816.0</v>
      </c>
      <c r="N95" s="283" t="s">
        <v>138</v>
      </c>
      <c r="O95" s="281">
        <v>43221.0</v>
      </c>
      <c r="P95" s="282">
        <v>1599.0</v>
      </c>
      <c r="Q95" s="282">
        <v>1150.0</v>
      </c>
      <c r="R95" s="632" t="s">
        <v>33</v>
      </c>
      <c r="S95" s="632" t="s">
        <v>33</v>
      </c>
      <c r="T95" s="632" t="s">
        <v>33</v>
      </c>
      <c r="U95" s="602" t="s">
        <v>33</v>
      </c>
      <c r="V95" t="s">
        <v>42</v>
      </c>
    </row>
    <row r="96" hidden="1">
      <c r="A96" s="275" t="s">
        <v>139</v>
      </c>
      <c r="B96" s="276">
        <v>710.0</v>
      </c>
      <c r="C96" s="277">
        <v>105.0</v>
      </c>
      <c r="D96" s="278">
        <v>2.8</v>
      </c>
      <c r="E96" s="629">
        <v>74.0</v>
      </c>
      <c r="F96" s="629">
        <v>135.0</v>
      </c>
      <c r="G96" s="68" t="s">
        <v>30</v>
      </c>
      <c r="H96" s="279" t="s">
        <v>66</v>
      </c>
      <c r="I96" s="68" t="s">
        <v>140</v>
      </c>
      <c r="J96" s="280" t="s">
        <v>141</v>
      </c>
      <c r="K96" s="630" t="s">
        <v>26</v>
      </c>
      <c r="L96" s="283"/>
      <c r="M96" s="631">
        <v>44182.0</v>
      </c>
      <c r="N96" s="283" t="s">
        <v>41</v>
      </c>
      <c r="O96" s="281">
        <v>44136.0</v>
      </c>
      <c r="P96" s="282">
        <v>799.0</v>
      </c>
      <c r="Q96" s="282"/>
      <c r="R96" s="68"/>
      <c r="S96" s="68"/>
      <c r="T96" s="68"/>
    </row>
    <row r="97" hidden="1">
      <c r="A97" s="628" t="s">
        <v>306</v>
      </c>
      <c r="B97" s="276">
        <v>771.0</v>
      </c>
      <c r="C97" s="277">
        <v>110.0</v>
      </c>
      <c r="D97" s="278">
        <v>2.5</v>
      </c>
      <c r="E97" s="629">
        <v>78.0</v>
      </c>
      <c r="F97" s="629">
        <v>100.0</v>
      </c>
      <c r="G97" s="68" t="s">
        <v>24</v>
      </c>
      <c r="H97" s="279" t="s">
        <v>47</v>
      </c>
      <c r="I97" s="68">
        <v>1.0</v>
      </c>
      <c r="J97" s="280">
        <v>35.0</v>
      </c>
      <c r="K97" s="630" t="s">
        <v>26</v>
      </c>
      <c r="L97" s="283">
        <v>10.0</v>
      </c>
      <c r="M97" s="631">
        <v>43813.0</v>
      </c>
      <c r="N97" s="283" t="s">
        <v>28</v>
      </c>
      <c r="O97" s="281">
        <v>43405.0</v>
      </c>
      <c r="P97" s="282">
        <v>1099.0</v>
      </c>
      <c r="Q97" s="282" t="s">
        <v>36</v>
      </c>
      <c r="R97" s="632" t="s">
        <v>33</v>
      </c>
      <c r="S97" s="632" t="s">
        <v>33</v>
      </c>
      <c r="T97" s="68" t="s">
        <v>33</v>
      </c>
      <c r="U97" s="602" t="s">
        <v>33</v>
      </c>
    </row>
    <row r="98" hidden="1">
      <c r="A98" s="628" t="s">
        <v>307</v>
      </c>
      <c r="B98" s="276">
        <v>950.0</v>
      </c>
      <c r="C98" s="277">
        <v>135.0</v>
      </c>
      <c r="D98" s="278">
        <v>1.8</v>
      </c>
      <c r="E98" s="629">
        <v>90.0</v>
      </c>
      <c r="F98" s="629">
        <v>127.0</v>
      </c>
      <c r="G98" s="68" t="s">
        <v>30</v>
      </c>
      <c r="H98" s="279" t="s">
        <v>51</v>
      </c>
      <c r="I98" s="68">
        <v>0.25</v>
      </c>
      <c r="J98" s="280">
        <v>70.0</v>
      </c>
      <c r="K98" s="630" t="s">
        <v>26</v>
      </c>
      <c r="L98" s="283">
        <v>11.0</v>
      </c>
      <c r="M98" s="631">
        <v>43751.0</v>
      </c>
      <c r="N98" s="283" t="s">
        <v>32</v>
      </c>
      <c r="O98" s="281">
        <v>43525.0</v>
      </c>
      <c r="P98" s="282">
        <v>1899.0</v>
      </c>
      <c r="Q98" s="282">
        <v>1700.0</v>
      </c>
      <c r="R98" s="632" t="s">
        <v>33</v>
      </c>
      <c r="S98" s="632" t="s">
        <v>33</v>
      </c>
      <c r="T98" s="632" t="s">
        <v>33</v>
      </c>
      <c r="U98" s="602" t="s">
        <v>33</v>
      </c>
    </row>
    <row r="99" hidden="1">
      <c r="A99" s="275" t="s">
        <v>142</v>
      </c>
      <c r="B99" s="276">
        <v>1225.0</v>
      </c>
      <c r="C99" s="277">
        <v>135.0</v>
      </c>
      <c r="D99" s="278">
        <v>1.8</v>
      </c>
      <c r="E99" s="629">
        <v>91.0</v>
      </c>
      <c r="F99" s="629">
        <v>140.9</v>
      </c>
      <c r="G99" s="68" t="s">
        <v>30</v>
      </c>
      <c r="H99" s="279" t="s">
        <v>51</v>
      </c>
      <c r="I99" s="68">
        <v>0.2</v>
      </c>
      <c r="J99" s="280">
        <v>87.0</v>
      </c>
      <c r="K99" s="630" t="s">
        <v>26</v>
      </c>
      <c r="L99" s="283">
        <v>9.0</v>
      </c>
      <c r="M99" s="631">
        <v>43751.0</v>
      </c>
      <c r="N99" s="283" t="s">
        <v>41</v>
      </c>
      <c r="O99" s="281">
        <v>43221.0</v>
      </c>
      <c r="P99" s="282">
        <v>1399.0</v>
      </c>
      <c r="Q99" s="282">
        <v>900.0</v>
      </c>
      <c r="R99" s="632" t="s">
        <v>33</v>
      </c>
      <c r="S99" s="632" t="s">
        <v>33</v>
      </c>
      <c r="T99" s="68" t="s">
        <v>33</v>
      </c>
      <c r="U99" s="602" t="s">
        <v>33</v>
      </c>
      <c r="V99" t="s">
        <v>42</v>
      </c>
    </row>
    <row r="100" hidden="1">
      <c r="A100" s="628" t="s">
        <v>143</v>
      </c>
      <c r="B100" s="276">
        <v>614.0</v>
      </c>
      <c r="C100" s="277">
        <v>135.0</v>
      </c>
      <c r="D100" s="278">
        <v>2.8</v>
      </c>
      <c r="E100" s="629">
        <v>99.0</v>
      </c>
      <c r="F100" s="629">
        <v>120.0</v>
      </c>
      <c r="G100" s="68" t="s">
        <v>30</v>
      </c>
      <c r="H100" s="279" t="s">
        <v>53</v>
      </c>
      <c r="I100" s="68">
        <v>0.19</v>
      </c>
      <c r="J100" s="280">
        <v>87.0</v>
      </c>
      <c r="K100" s="283" t="s">
        <v>49</v>
      </c>
      <c r="L100" s="283">
        <v>9.0</v>
      </c>
      <c r="M100" s="631">
        <v>43783.0</v>
      </c>
      <c r="N100" s="283" t="s">
        <v>58</v>
      </c>
      <c r="O100" s="281">
        <v>42826.0</v>
      </c>
      <c r="P100" s="282">
        <v>1699.0</v>
      </c>
      <c r="Q100" s="282">
        <v>850.0</v>
      </c>
      <c r="R100" s="632" t="s">
        <v>33</v>
      </c>
      <c r="S100" s="632" t="s">
        <v>33</v>
      </c>
      <c r="T100" s="68" t="s">
        <v>33</v>
      </c>
      <c r="U100" s="602" t="s">
        <v>33</v>
      </c>
    </row>
    <row r="101">
      <c r="A101" s="275" t="s">
        <v>144</v>
      </c>
      <c r="B101" s="276">
        <v>2215.0</v>
      </c>
      <c r="C101" s="277">
        <v>200.0</v>
      </c>
      <c r="D101" s="278" t="s">
        <v>145</v>
      </c>
      <c r="E101" s="629">
        <v>112.0</v>
      </c>
      <c r="F101" s="629">
        <v>318.0</v>
      </c>
      <c r="G101" s="68" t="s">
        <v>30</v>
      </c>
      <c r="H101" s="279" t="s">
        <v>92</v>
      </c>
      <c r="I101" s="68">
        <v>0.2</v>
      </c>
      <c r="J101" s="280">
        <v>240.0</v>
      </c>
      <c r="K101" s="283" t="s">
        <v>49</v>
      </c>
      <c r="L101" s="283">
        <v>11.0</v>
      </c>
      <c r="M101" s="283" t="s">
        <v>146</v>
      </c>
      <c r="N101" s="283" t="s">
        <v>32</v>
      </c>
      <c r="O101" s="281">
        <v>43647.0</v>
      </c>
      <c r="P101" s="282">
        <v>1999.0</v>
      </c>
      <c r="Q101" s="282">
        <v>1900.0</v>
      </c>
      <c r="R101" s="632" t="s">
        <v>33</v>
      </c>
      <c r="S101" s="632" t="s">
        <v>33</v>
      </c>
      <c r="T101" s="68" t="s">
        <v>33</v>
      </c>
      <c r="U101" s="602" t="s">
        <v>33</v>
      </c>
    </row>
    <row r="102">
      <c r="A102" t="s">
        <v>147</v>
      </c>
      <c r="B102" s="635">
        <v>2895.0</v>
      </c>
      <c r="C102" s="636">
        <v>400.0</v>
      </c>
      <c r="D102" s="637">
        <v>2.8</v>
      </c>
      <c r="E102" s="636">
        <v>158.0</v>
      </c>
      <c r="F102" s="636">
        <v>359.0</v>
      </c>
      <c r="G102" t="s">
        <v>30</v>
      </c>
      <c r="H102" s="295" t="s">
        <v>148</v>
      </c>
      <c r="I102">
        <v>0.16</v>
      </c>
      <c r="J102" s="638">
        <v>270.0</v>
      </c>
      <c r="K102" s="283" t="s">
        <v>49</v>
      </c>
      <c r="L102" s="283">
        <v>11.0</v>
      </c>
      <c r="M102" s="283" t="s">
        <v>149</v>
      </c>
      <c r="N102" s="283" t="s">
        <v>32</v>
      </c>
      <c r="O102" s="639">
        <v>43313.0</v>
      </c>
      <c r="P102" s="640">
        <v>11999.0</v>
      </c>
      <c r="Q102" s="640" t="s">
        <v>36</v>
      </c>
      <c r="S102" s="602" t="s">
        <v>33</v>
      </c>
      <c r="T102" t="s">
        <v>33</v>
      </c>
      <c r="U102" s="602" t="s">
        <v>33</v>
      </c>
    </row>
    <row r="103">
      <c r="A103" s="275" t="s">
        <v>150</v>
      </c>
      <c r="B103" s="635">
        <v>3040.0</v>
      </c>
      <c r="C103" s="636">
        <v>600.0</v>
      </c>
      <c r="D103" s="637">
        <v>4.0</v>
      </c>
      <c r="E103" s="636">
        <v>164.0</v>
      </c>
      <c r="F103" s="636">
        <v>449.0</v>
      </c>
      <c r="G103" t="s">
        <v>30</v>
      </c>
      <c r="H103" s="295" t="s">
        <v>25</v>
      </c>
      <c r="I103">
        <v>0.14</v>
      </c>
      <c r="J103" s="638">
        <v>451.0</v>
      </c>
      <c r="K103" s="283" t="s">
        <v>49</v>
      </c>
      <c r="L103" s="283">
        <v>11.0</v>
      </c>
      <c r="M103" s="283" t="s">
        <v>151</v>
      </c>
      <c r="N103" s="283" t="s">
        <v>32</v>
      </c>
      <c r="O103" s="639">
        <v>43678.0</v>
      </c>
      <c r="P103" s="640">
        <v>12999.0</v>
      </c>
      <c r="Q103" s="640" t="s">
        <v>36</v>
      </c>
      <c r="S103" s="602" t="s">
        <v>33</v>
      </c>
      <c r="T103" t="s">
        <v>33</v>
      </c>
      <c r="U103" s="602" t="s">
        <v>33</v>
      </c>
    </row>
    <row r="104">
      <c r="B104" s="635"/>
      <c r="C104" s="636"/>
      <c r="D104" s="641"/>
      <c r="E104" s="636"/>
      <c r="F104" s="636"/>
      <c r="H104" s="295"/>
      <c r="J104" s="638"/>
      <c r="K104" s="283"/>
      <c r="L104" s="283"/>
      <c r="M104" s="283"/>
      <c r="N104" s="283"/>
      <c r="O104" s="639"/>
      <c r="P104" s="640"/>
      <c r="Q104" s="640"/>
    </row>
    <row r="105">
      <c r="B105" s="635"/>
      <c r="C105" s="636"/>
      <c r="D105" s="641"/>
      <c r="E105" s="636"/>
      <c r="F105" s="636"/>
      <c r="H105" s="295"/>
      <c r="J105" s="638"/>
      <c r="K105" s="283"/>
      <c r="L105" s="283"/>
      <c r="M105" s="283"/>
      <c r="N105" s="283"/>
      <c r="O105" s="639"/>
      <c r="P105" s="640"/>
      <c r="Q105" s="640"/>
    </row>
    <row r="106">
      <c r="B106" s="635"/>
      <c r="C106" s="636"/>
      <c r="D106" s="641"/>
      <c r="E106" s="636"/>
      <c r="F106" s="636"/>
      <c r="H106" s="295"/>
      <c r="J106" s="638"/>
      <c r="K106" s="283"/>
      <c r="L106" s="283"/>
      <c r="M106" s="283"/>
      <c r="N106" s="283"/>
      <c r="O106" s="639"/>
      <c r="P106" s="640"/>
      <c r="Q106" s="640"/>
    </row>
    <row r="107">
      <c r="B107" s="635"/>
      <c r="C107" s="636"/>
      <c r="D107" s="641"/>
      <c r="E107" s="636"/>
      <c r="F107" s="636"/>
      <c r="H107" s="295"/>
      <c r="J107" s="638"/>
      <c r="K107" s="283"/>
      <c r="L107" s="283"/>
      <c r="M107" s="283"/>
      <c r="N107" s="283"/>
      <c r="O107" s="639"/>
      <c r="P107" s="640"/>
      <c r="Q107" s="640"/>
    </row>
    <row r="108">
      <c r="B108" s="635"/>
      <c r="C108" s="636"/>
      <c r="D108" s="641"/>
      <c r="E108" s="636"/>
      <c r="F108" s="636"/>
      <c r="H108" s="295"/>
      <c r="J108" s="638"/>
      <c r="K108" s="283"/>
      <c r="L108" s="283"/>
      <c r="M108" s="283"/>
      <c r="N108" s="283"/>
      <c r="O108" s="639"/>
      <c r="P108" s="640"/>
      <c r="Q108" s="640"/>
    </row>
    <row r="109">
      <c r="B109" s="635"/>
      <c r="C109" s="636"/>
      <c r="D109" s="641"/>
      <c r="E109" s="636"/>
      <c r="F109" s="636"/>
      <c r="H109" s="295"/>
      <c r="J109" s="638"/>
      <c r="K109" s="283"/>
      <c r="L109" s="283"/>
      <c r="M109" s="283"/>
      <c r="N109" s="283"/>
      <c r="O109" s="639"/>
      <c r="P109" s="640"/>
      <c r="Q109" s="640"/>
    </row>
    <row r="110">
      <c r="B110" s="635"/>
      <c r="C110" s="636"/>
      <c r="D110" s="641"/>
      <c r="E110" s="636"/>
      <c r="F110" s="636"/>
      <c r="H110" s="295"/>
      <c r="J110" s="638"/>
      <c r="K110" s="283"/>
      <c r="L110" s="283"/>
      <c r="M110" s="283"/>
      <c r="N110" s="283"/>
      <c r="O110" s="639"/>
      <c r="P110" s="640"/>
      <c r="Q110" s="640"/>
    </row>
    <row r="111">
      <c r="B111" s="635"/>
      <c r="C111" s="636"/>
      <c r="D111" s="641"/>
      <c r="E111" s="636"/>
      <c r="F111" s="636"/>
      <c r="H111" s="295"/>
      <c r="J111" s="638"/>
      <c r="K111" s="283"/>
      <c r="L111" s="283"/>
      <c r="M111" s="283"/>
      <c r="N111" s="283"/>
      <c r="O111" s="639"/>
      <c r="P111" s="640"/>
      <c r="Q111" s="640"/>
    </row>
    <row r="112">
      <c r="A112" s="275"/>
      <c r="B112" s="635"/>
      <c r="C112" s="636"/>
      <c r="D112" s="641"/>
      <c r="E112" s="636"/>
      <c r="F112" s="636"/>
      <c r="H112" s="295"/>
      <c r="J112" s="638"/>
      <c r="K112" s="283"/>
      <c r="L112" s="283"/>
      <c r="M112" s="283"/>
      <c r="N112" s="283"/>
      <c r="O112" s="639"/>
      <c r="P112" s="640"/>
      <c r="Q112" s="640"/>
    </row>
    <row r="113">
      <c r="B113" s="635"/>
      <c r="C113" s="636"/>
      <c r="D113" s="641"/>
      <c r="E113" s="636"/>
      <c r="F113" s="636"/>
      <c r="H113" s="295"/>
      <c r="J113" s="638"/>
      <c r="K113" s="283"/>
      <c r="L113" s="283"/>
      <c r="M113" s="283"/>
      <c r="N113" s="283"/>
      <c r="O113" s="639"/>
      <c r="P113" s="640"/>
      <c r="Q113" s="640"/>
    </row>
    <row r="114">
      <c r="B114" s="635"/>
      <c r="C114" s="636"/>
      <c r="D114" s="641"/>
      <c r="E114" s="636"/>
      <c r="F114" s="636"/>
      <c r="H114" s="295"/>
      <c r="J114" s="638"/>
      <c r="K114" s="283"/>
      <c r="L114" s="283"/>
      <c r="M114" s="283"/>
      <c r="N114" s="283"/>
      <c r="O114" s="639"/>
      <c r="P114" s="640"/>
      <c r="Q114" s="640"/>
    </row>
    <row r="115">
      <c r="B115" s="635"/>
      <c r="C115" s="636"/>
      <c r="D115" s="641"/>
      <c r="E115" s="636"/>
      <c r="F115" s="636"/>
      <c r="H115" s="295"/>
      <c r="J115" s="638"/>
      <c r="K115" s="283"/>
      <c r="L115" s="283"/>
      <c r="M115" s="283"/>
      <c r="N115" s="283"/>
      <c r="O115" s="639"/>
      <c r="P115" s="640"/>
      <c r="Q115" s="640"/>
    </row>
    <row r="116">
      <c r="B116" s="635"/>
      <c r="C116" s="636"/>
      <c r="D116" s="641"/>
      <c r="E116" s="636"/>
      <c r="F116" s="636"/>
      <c r="H116" s="295"/>
      <c r="J116" s="638"/>
      <c r="K116" s="283"/>
      <c r="L116" s="283"/>
      <c r="M116" s="283"/>
      <c r="N116" s="283"/>
      <c r="O116" s="639"/>
      <c r="P116" s="640"/>
      <c r="Q116" s="640"/>
    </row>
    <row r="117">
      <c r="A117" s="302"/>
      <c r="B117" s="635"/>
      <c r="C117" s="636"/>
      <c r="D117" s="641"/>
      <c r="E117" s="636"/>
      <c r="F117" s="636"/>
      <c r="H117" s="295"/>
      <c r="J117" s="638"/>
      <c r="K117" s="283"/>
      <c r="L117" s="283"/>
      <c r="M117" s="283"/>
      <c r="N117" s="283"/>
      <c r="O117" s="639"/>
      <c r="P117" s="640"/>
      <c r="Q117" s="640"/>
    </row>
    <row r="118">
      <c r="A118" s="302"/>
      <c r="B118" s="635"/>
      <c r="C118" s="636"/>
      <c r="D118" s="641"/>
      <c r="E118" s="636"/>
      <c r="F118" s="636"/>
      <c r="H118" s="295"/>
      <c r="J118" s="638"/>
      <c r="K118" s="283"/>
      <c r="L118" s="283"/>
      <c r="M118" s="283"/>
      <c r="N118" s="283"/>
      <c r="O118" s="639"/>
      <c r="P118" s="640"/>
      <c r="Q118" s="640"/>
    </row>
    <row r="119">
      <c r="B119" s="635"/>
      <c r="C119" s="636"/>
      <c r="D119" s="642"/>
      <c r="E119" s="636"/>
      <c r="F119" s="636"/>
      <c r="H119" s="295"/>
      <c r="J119" s="638"/>
      <c r="K119" s="283"/>
      <c r="L119" s="283"/>
      <c r="M119" s="283"/>
      <c r="N119" s="283"/>
      <c r="O119" s="639"/>
      <c r="P119" s="640"/>
      <c r="Q119" s="640"/>
    </row>
    <row r="120">
      <c r="A120" s="275"/>
      <c r="B120" s="635"/>
      <c r="C120" s="636"/>
      <c r="D120" s="642"/>
      <c r="E120" s="636"/>
      <c r="F120" s="636"/>
      <c r="H120" s="295"/>
      <c r="J120" s="638"/>
      <c r="K120" s="283"/>
      <c r="L120" s="283"/>
      <c r="M120" s="283"/>
      <c r="N120" s="283"/>
      <c r="O120" s="639"/>
      <c r="P120" s="640"/>
      <c r="Q120" s="640"/>
    </row>
    <row r="121">
      <c r="B121" s="635"/>
      <c r="C121" s="636"/>
      <c r="D121" s="641"/>
      <c r="E121" s="636"/>
      <c r="F121" s="636"/>
      <c r="H121" s="295"/>
      <c r="J121" s="638"/>
      <c r="K121" s="283"/>
      <c r="L121" s="283"/>
      <c r="M121" s="283"/>
      <c r="N121" s="283"/>
      <c r="O121" s="639"/>
      <c r="P121" s="640"/>
      <c r="Q121" s="640"/>
    </row>
    <row r="122">
      <c r="B122" s="635"/>
      <c r="C122" s="636"/>
      <c r="D122" s="641"/>
      <c r="E122" s="636"/>
      <c r="F122" s="636"/>
      <c r="H122" s="295"/>
      <c r="J122" s="638"/>
      <c r="K122" s="283"/>
      <c r="L122" s="283"/>
      <c r="M122" s="283"/>
      <c r="N122" s="283"/>
      <c r="O122" s="639"/>
      <c r="P122" s="640"/>
      <c r="Q122" s="640"/>
    </row>
    <row r="123">
      <c r="H123" s="295"/>
      <c r="K123" s="283"/>
      <c r="L123" s="283"/>
      <c r="M123" s="283"/>
      <c r="N123" s="283"/>
    </row>
    <row r="124">
      <c r="H124" s="295"/>
      <c r="K124" s="283"/>
      <c r="L124" s="283"/>
      <c r="M124" s="283"/>
      <c r="N124" s="283"/>
    </row>
    <row r="125">
      <c r="H125" s="295"/>
      <c r="K125" s="283"/>
      <c r="L125" s="283"/>
      <c r="M125" s="283"/>
      <c r="N125" s="283"/>
    </row>
    <row r="126">
      <c r="H126" s="295"/>
      <c r="K126" s="283"/>
      <c r="L126" s="283"/>
      <c r="M126" s="283"/>
      <c r="N126" s="283"/>
    </row>
    <row r="127">
      <c r="H127" s="295"/>
      <c r="K127" s="283"/>
      <c r="L127" s="283"/>
      <c r="M127" s="283"/>
      <c r="N127" s="283"/>
    </row>
    <row r="128">
      <c r="A128" s="275"/>
      <c r="H128" s="295"/>
      <c r="K128" s="283"/>
      <c r="L128" s="283"/>
      <c r="M128" s="283"/>
      <c r="N128" s="283"/>
    </row>
    <row r="129">
      <c r="A129" s="275"/>
      <c r="H129" s="295"/>
      <c r="K129" s="283"/>
      <c r="L129" s="283"/>
      <c r="M129" s="283"/>
      <c r="N129" s="283"/>
    </row>
    <row r="130">
      <c r="A130" s="275"/>
      <c r="H130" s="295"/>
      <c r="K130" s="283"/>
      <c r="L130" s="283"/>
      <c r="M130" s="283"/>
      <c r="N130" s="283"/>
    </row>
    <row r="131">
      <c r="A131" s="275"/>
      <c r="H131" s="295"/>
      <c r="K131" s="283"/>
      <c r="L131" s="283"/>
      <c r="M131" s="283"/>
      <c r="N131" s="283"/>
    </row>
    <row r="132">
      <c r="A132" s="275"/>
      <c r="H132" s="295"/>
      <c r="K132" s="283"/>
      <c r="L132" s="283"/>
      <c r="M132" s="283"/>
      <c r="N132" s="283"/>
    </row>
    <row r="133">
      <c r="A133" s="275"/>
      <c r="H133" s="295"/>
      <c r="K133" s="283"/>
      <c r="L133" s="283"/>
      <c r="M133" s="283"/>
      <c r="N133" s="283"/>
    </row>
    <row r="134">
      <c r="A134" s="302"/>
      <c r="H134" s="295"/>
      <c r="K134" s="283"/>
      <c r="L134" s="283"/>
      <c r="M134" s="283"/>
      <c r="N134" s="283"/>
    </row>
    <row r="135">
      <c r="A135" s="275"/>
      <c r="H135" s="295"/>
      <c r="K135" s="283"/>
      <c r="L135" s="283"/>
      <c r="M135" s="283"/>
      <c r="N135" s="283"/>
    </row>
    <row r="136">
      <c r="A136" s="275"/>
      <c r="H136" s="295"/>
      <c r="K136" s="283"/>
      <c r="L136" s="283"/>
      <c r="M136" s="283"/>
      <c r="N136" s="283"/>
    </row>
    <row r="137">
      <c r="A137" s="302"/>
      <c r="H137" s="295"/>
      <c r="K137" s="283"/>
      <c r="L137" s="283"/>
      <c r="M137" s="283"/>
      <c r="N137" s="283"/>
    </row>
    <row r="138">
      <c r="A138" s="275"/>
      <c r="H138" s="295"/>
      <c r="K138" s="283"/>
      <c r="L138" s="283"/>
      <c r="M138" s="283"/>
      <c r="N138" s="283"/>
    </row>
    <row r="139">
      <c r="A139" s="275"/>
      <c r="H139" s="295"/>
      <c r="K139" s="283"/>
      <c r="L139" s="283"/>
      <c r="M139" s="283"/>
      <c r="N139" s="283"/>
    </row>
    <row r="140">
      <c r="A140" s="275"/>
      <c r="H140" s="295"/>
      <c r="K140" s="283"/>
      <c r="L140" s="283"/>
      <c r="M140" s="283"/>
      <c r="N140" s="283"/>
    </row>
    <row r="141">
      <c r="A141" s="275"/>
      <c r="H141" s="295"/>
      <c r="K141" s="283"/>
      <c r="L141" s="283"/>
      <c r="M141" s="283"/>
      <c r="N141" s="283"/>
    </row>
    <row r="142">
      <c r="A142" s="275"/>
      <c r="H142" s="295"/>
      <c r="K142" s="283"/>
      <c r="L142" s="283"/>
      <c r="M142" s="283"/>
      <c r="N142" s="283"/>
    </row>
    <row r="143">
      <c r="A143" s="275"/>
      <c r="H143" s="295"/>
      <c r="K143" s="283"/>
      <c r="L143" s="283"/>
      <c r="M143" s="283"/>
      <c r="N143" s="283"/>
    </row>
    <row r="144">
      <c r="A144" s="275"/>
      <c r="H144" s="295"/>
      <c r="K144" s="283"/>
      <c r="L144" s="283"/>
      <c r="M144" s="283"/>
      <c r="N144" s="283"/>
    </row>
    <row r="145">
      <c r="A145" s="275"/>
      <c r="H145" s="295"/>
      <c r="K145" s="283"/>
      <c r="L145" s="283"/>
      <c r="M145" s="283"/>
      <c r="N145" s="283"/>
    </row>
    <row r="146">
      <c r="A146" s="275"/>
      <c r="H146" s="295"/>
      <c r="K146" s="283"/>
      <c r="L146" s="283"/>
      <c r="M146" s="283"/>
      <c r="N146" s="283"/>
    </row>
    <row r="147">
      <c r="A147" s="302"/>
      <c r="H147" s="295"/>
      <c r="K147" s="283"/>
      <c r="L147" s="283"/>
      <c r="M147" s="283"/>
      <c r="N147" s="283"/>
    </row>
    <row r="148">
      <c r="A148" s="302"/>
      <c r="H148" s="295"/>
      <c r="K148" s="283"/>
      <c r="L148" s="283"/>
      <c r="M148" s="283"/>
      <c r="N148" s="283"/>
    </row>
    <row r="149">
      <c r="H149" s="295"/>
      <c r="K149" s="283"/>
      <c r="L149" s="283"/>
      <c r="M149" s="283"/>
      <c r="N149" s="283"/>
    </row>
    <row r="150">
      <c r="H150" s="295"/>
      <c r="K150" s="283"/>
      <c r="L150" s="283"/>
      <c r="M150" s="283"/>
      <c r="N150" s="283"/>
    </row>
    <row r="151">
      <c r="H151" s="295"/>
      <c r="K151" s="283"/>
      <c r="L151" s="283"/>
      <c r="M151" s="283"/>
      <c r="N151" s="283"/>
    </row>
    <row r="152">
      <c r="H152" s="295"/>
      <c r="K152" s="283"/>
      <c r="L152" s="283"/>
      <c r="M152" s="283"/>
      <c r="N152" s="283"/>
    </row>
    <row r="153">
      <c r="H153" s="295"/>
    </row>
    <row r="154">
      <c r="H154" s="295"/>
    </row>
    <row r="155">
      <c r="H155" s="295"/>
    </row>
    <row r="156">
      <c r="H156" s="295"/>
    </row>
    <row r="157">
      <c r="H157" s="295"/>
    </row>
    <row r="158">
      <c r="H158" s="295"/>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sheetData>
  <autoFilter ref="$A$1:$U$81">
    <filterColumn colId="3">
      <filters blank="1">
        <filter val="f/1.8"/>
        <filter val="f/3.5-6.3"/>
        <filter val="f/2.0"/>
        <filter val="f/1.4"/>
        <filter val="f/4-0-5.6"/>
        <filter val="f/1.2"/>
      </filters>
    </filterColumn>
  </autoFilter>
  <conditionalFormatting sqref="B1 B3:B1058">
    <cfRule type="cellIs" dxfId="0" priority="1" operator="between">
      <formula>50</formula>
      <formula>200</formula>
    </cfRule>
  </conditionalFormatting>
  <conditionalFormatting sqref="B1 B3:B1058">
    <cfRule type="cellIs" dxfId="1" priority="2" operator="between">
      <formula>201</formula>
      <formula>400</formula>
    </cfRule>
  </conditionalFormatting>
  <conditionalFormatting sqref="B3:B1053">
    <cfRule type="cellIs" dxfId="2" priority="3" operator="between">
      <formula>401</formula>
      <formula>650</formula>
    </cfRule>
  </conditionalFormatting>
  <conditionalFormatting sqref="B3:B1053">
    <cfRule type="cellIs" dxfId="3" priority="4" operator="between">
      <formula>651</formula>
      <formula>900</formula>
    </cfRule>
  </conditionalFormatting>
  <conditionalFormatting sqref="B3:B1053">
    <cfRule type="cellIs" dxfId="4" priority="5" operator="greaterThan">
      <formula>900</formula>
    </cfRule>
  </conditionalFormatting>
  <conditionalFormatting sqref="P3:P1053">
    <cfRule type="containsText" dxfId="5" priority="6" operator="containsText" text="yes">
      <formula>NOT(ISERROR(SEARCH(("yes"),(P3))))</formula>
    </cfRule>
  </conditionalFormatting>
  <conditionalFormatting sqref="F1:F1058">
    <cfRule type="colorScale" priority="7">
      <colorScale>
        <cfvo type="min"/>
        <cfvo type="formula" val="150"/>
        <color rgb="FFEAD1DC"/>
        <color rgb="FFA64D79"/>
      </colorScale>
    </cfRule>
  </conditionalFormatting>
  <conditionalFormatting sqref="D3:D81">
    <cfRule type="colorScale" priority="8">
      <colorScale>
        <cfvo type="formula" val="1.2"/>
        <cfvo type="formula" val="4"/>
        <color rgb="FF0B5394"/>
        <color rgb="FFFFFFFF"/>
      </colorScale>
    </cfRule>
  </conditionalFormatting>
  <conditionalFormatting sqref="E3:E81">
    <cfRule type="colorScale" priority="9">
      <colorScale>
        <cfvo type="formula" val="65"/>
        <cfvo type="formula" val="100"/>
        <color rgb="FFD9D2E9"/>
        <color rgb="FF674EA7"/>
      </colorScale>
    </cfRule>
  </conditionalFormatting>
  <conditionalFormatting sqref="D3:D81">
    <cfRule type="containsText" dxfId="6" priority="10" operator="containsText" text="1.2">
      <formula>NOT(ISERROR(SEARCH(("1.2"),(D3))))</formula>
    </cfRule>
  </conditionalFormatting>
  <conditionalFormatting sqref="D12">
    <cfRule type="notContainsBlanks" dxfId="7" priority="11">
      <formula>LEN(TRIM(D12))&gt;0</formula>
    </cfRule>
  </conditionalFormatting>
  <conditionalFormatting sqref="D3:D81">
    <cfRule type="containsText" dxfId="8" priority="12" operator="containsText" text="1.4">
      <formula>NOT(ISERROR(SEARCH(("1.4"),(D3))))</formula>
    </cfRule>
  </conditionalFormatting>
  <conditionalFormatting sqref="D3:AA81">
    <cfRule type="containsText" dxfId="9" priority="13" operator="containsText" text="1.8">
      <formula>NOT(ISERROR(SEARCH(("1.8"),(D3))))</formula>
    </cfRule>
  </conditionalFormatting>
  <dataValidations>
    <dataValidation type="list" allowBlank="1" sqref="S3:S81">
      <formula1>"Sony,Voigtlander,Zeiss,Sigma,Samyang,Viltrox,Tokina,Tamron"</formula1>
    </dataValidation>
  </dataValidations>
  <hyperlinks>
    <hyperlink r:id="rId1" ref="K1"/>
    <hyperlink r:id="rId2" ref="M1"/>
    <hyperlink r:id="rId3" ref="N1"/>
    <hyperlink r:id="rId4" ref="R3"/>
    <hyperlink r:id="rId5" ref="S3"/>
    <hyperlink r:id="rId6" ref="T3"/>
    <hyperlink r:id="rId7" ref="U3"/>
    <hyperlink r:id="rId8" ref="R4"/>
    <hyperlink r:id="rId9" ref="S4"/>
    <hyperlink r:id="rId10" ref="T4"/>
    <hyperlink r:id="rId11" ref="U4"/>
    <hyperlink r:id="rId12" ref="S5"/>
    <hyperlink r:id="rId13" ref="U5"/>
    <hyperlink r:id="rId14" ref="A6"/>
    <hyperlink r:id="rId15" ref="U6"/>
    <hyperlink r:id="rId16" ref="R7"/>
    <hyperlink r:id="rId17" ref="S7"/>
    <hyperlink r:id="rId18" ref="T7"/>
    <hyperlink r:id="rId19" ref="U7"/>
    <hyperlink r:id="rId20" ref="R8"/>
    <hyperlink r:id="rId21" ref="S8"/>
    <hyperlink r:id="rId22" ref="U8"/>
    <hyperlink r:id="rId23" ref="R9"/>
    <hyperlink r:id="rId24" ref="S9"/>
    <hyperlink r:id="rId25" ref="T9"/>
    <hyperlink r:id="rId26" ref="U9"/>
    <hyperlink r:id="rId27" ref="A10"/>
    <hyperlink r:id="rId28" ref="R10"/>
    <hyperlink r:id="rId29" ref="S10"/>
    <hyperlink r:id="rId30" ref="T10"/>
    <hyperlink r:id="rId31" ref="U10"/>
    <hyperlink r:id="rId32" ref="A11"/>
    <hyperlink r:id="rId33" ref="R11"/>
    <hyperlink r:id="rId34" ref="S11"/>
    <hyperlink r:id="rId35" ref="T11"/>
    <hyperlink r:id="rId36" ref="U11"/>
    <hyperlink r:id="rId37" ref="R12"/>
    <hyperlink r:id="rId38" ref="S12"/>
    <hyperlink r:id="rId39" ref="T12"/>
    <hyperlink r:id="rId40" ref="U12"/>
    <hyperlink r:id="rId41" ref="A13"/>
    <hyperlink r:id="rId42" ref="R13"/>
    <hyperlink r:id="rId43" ref="S13"/>
    <hyperlink r:id="rId44" ref="T13"/>
    <hyperlink r:id="rId45" ref="U13"/>
    <hyperlink r:id="rId46" ref="A14"/>
    <hyperlink r:id="rId47" ref="R14"/>
    <hyperlink r:id="rId48" ref="S14"/>
    <hyperlink r:id="rId49" ref="T14"/>
    <hyperlink r:id="rId50" ref="U14"/>
    <hyperlink r:id="rId51" ref="R15"/>
    <hyperlink r:id="rId52" ref="S15"/>
    <hyperlink r:id="rId53" ref="U15"/>
    <hyperlink r:id="rId54" ref="R16"/>
    <hyperlink r:id="rId55" ref="S16"/>
    <hyperlink r:id="rId56" ref="T16"/>
    <hyperlink r:id="rId57" ref="U16"/>
    <hyperlink r:id="rId58" ref="R17"/>
    <hyperlink r:id="rId59" ref="S17"/>
    <hyperlink r:id="rId60" ref="T17"/>
    <hyperlink r:id="rId61" ref="U17"/>
    <hyperlink r:id="rId62" ref="R18"/>
    <hyperlink r:id="rId63" ref="S18"/>
    <hyperlink r:id="rId64" ref="U18"/>
    <hyperlink r:id="rId65" ref="A19"/>
    <hyperlink r:id="rId66" ref="R19"/>
    <hyperlink r:id="rId67" ref="S19"/>
    <hyperlink r:id="rId68" ref="T19"/>
    <hyperlink r:id="rId69" ref="U19"/>
    <hyperlink r:id="rId70" ref="R20"/>
    <hyperlink r:id="rId71" ref="S20"/>
    <hyperlink r:id="rId72" ref="T20"/>
    <hyperlink r:id="rId73" ref="U20"/>
    <hyperlink r:id="rId74" ref="R21"/>
    <hyperlink r:id="rId75" ref="S21"/>
    <hyperlink r:id="rId76" ref="U21"/>
    <hyperlink r:id="rId77" ref="A22"/>
    <hyperlink r:id="rId78" ref="R22"/>
    <hyperlink r:id="rId79" ref="S22"/>
    <hyperlink r:id="rId80" ref="U22"/>
    <hyperlink r:id="rId81" ref="A23"/>
    <hyperlink r:id="rId82" ref="R23"/>
    <hyperlink r:id="rId83" ref="S23"/>
    <hyperlink r:id="rId84" ref="T23"/>
    <hyperlink r:id="rId85" ref="U23"/>
    <hyperlink r:id="rId86" ref="A24"/>
    <hyperlink r:id="rId87" ref="R24"/>
    <hyperlink r:id="rId88" ref="S24"/>
    <hyperlink r:id="rId89" ref="T24"/>
    <hyperlink r:id="rId90" ref="U24"/>
    <hyperlink r:id="rId91" ref="A25"/>
    <hyperlink r:id="rId92" ref="R25"/>
    <hyperlink r:id="rId93" ref="S25"/>
    <hyperlink r:id="rId94" ref="T25"/>
    <hyperlink r:id="rId95" ref="U25"/>
    <hyperlink r:id="rId96" ref="R26"/>
    <hyperlink r:id="rId97" ref="S26"/>
    <hyperlink r:id="rId98" ref="T26"/>
    <hyperlink r:id="rId99" ref="U26"/>
    <hyperlink r:id="rId100" ref="A27"/>
    <hyperlink r:id="rId101" ref="R27"/>
    <hyperlink r:id="rId102" ref="S27"/>
    <hyperlink r:id="rId103" ref="T27"/>
    <hyperlink r:id="rId104" ref="U27"/>
    <hyperlink r:id="rId105" ref="A28"/>
    <hyperlink r:id="rId106" ref="R28"/>
    <hyperlink r:id="rId107" ref="S28"/>
    <hyperlink r:id="rId108" ref="T28"/>
    <hyperlink r:id="rId109" ref="U28"/>
    <hyperlink r:id="rId110" ref="A29"/>
    <hyperlink r:id="rId111" ref="R29"/>
    <hyperlink r:id="rId112" ref="S29"/>
    <hyperlink r:id="rId113" ref="T29"/>
    <hyperlink r:id="rId114" ref="U29"/>
    <hyperlink r:id="rId115" ref="R30"/>
    <hyperlink r:id="rId116" ref="S30"/>
    <hyperlink r:id="rId117" ref="U30"/>
    <hyperlink r:id="rId118" ref="R31"/>
    <hyperlink r:id="rId119" ref="S31"/>
    <hyperlink r:id="rId120" ref="T31"/>
    <hyperlink r:id="rId121" ref="U31"/>
    <hyperlink r:id="rId122" ref="R32"/>
    <hyperlink r:id="rId123" ref="S32"/>
    <hyperlink r:id="rId124" ref="T32"/>
    <hyperlink r:id="rId125" ref="U32"/>
    <hyperlink r:id="rId126" ref="A33"/>
    <hyperlink r:id="rId127" ref="R33"/>
    <hyperlink r:id="rId128" ref="S33"/>
    <hyperlink r:id="rId129" ref="T33"/>
    <hyperlink r:id="rId130" ref="U33"/>
    <hyperlink r:id="rId131" ref="A34"/>
    <hyperlink r:id="rId132" ref="R34"/>
    <hyperlink r:id="rId133" ref="S34"/>
    <hyperlink r:id="rId134" ref="T34"/>
    <hyperlink r:id="rId135" ref="U34"/>
    <hyperlink r:id="rId136" ref="A35"/>
    <hyperlink r:id="rId137" ref="R35"/>
    <hyperlink r:id="rId138" ref="S35"/>
    <hyperlink r:id="rId139" ref="T35"/>
    <hyperlink r:id="rId140" ref="U35"/>
    <hyperlink r:id="rId141" ref="R36"/>
    <hyperlink r:id="rId142" ref="S36"/>
    <hyperlink r:id="rId143" ref="T36"/>
    <hyperlink r:id="rId144" ref="U36"/>
    <hyperlink r:id="rId145" ref="A37"/>
    <hyperlink r:id="rId146" ref="R37"/>
    <hyperlink r:id="rId147" ref="S37"/>
    <hyperlink r:id="rId148" ref="T37"/>
    <hyperlink r:id="rId149" ref="U37"/>
    <hyperlink r:id="rId150" ref="A38"/>
    <hyperlink r:id="rId151" ref="R38"/>
    <hyperlink r:id="rId152" ref="S38"/>
    <hyperlink r:id="rId153" ref="T38"/>
    <hyperlink r:id="rId154" ref="U38"/>
    <hyperlink r:id="rId155" ref="U39"/>
    <hyperlink r:id="rId156" ref="R40"/>
    <hyperlink r:id="rId157" ref="S40"/>
    <hyperlink r:id="rId158" ref="T40"/>
    <hyperlink r:id="rId159" ref="U40"/>
    <hyperlink r:id="rId160" ref="R41"/>
    <hyperlink r:id="rId161" ref="S41"/>
    <hyperlink r:id="rId162" ref="T41"/>
    <hyperlink r:id="rId163" ref="U41"/>
    <hyperlink r:id="rId164" ref="A43"/>
    <hyperlink r:id="rId165" ref="R43"/>
    <hyperlink r:id="rId166" ref="S43"/>
    <hyperlink r:id="rId167" ref="U43"/>
    <hyperlink r:id="rId168" ref="R44"/>
    <hyperlink r:id="rId169" ref="S44"/>
    <hyperlink r:id="rId170" ref="U44"/>
    <hyperlink r:id="rId171" ref="A45"/>
    <hyperlink r:id="rId172" ref="R45"/>
    <hyperlink r:id="rId173" ref="S45"/>
    <hyperlink r:id="rId174" ref="T45"/>
    <hyperlink r:id="rId175" ref="U45"/>
    <hyperlink r:id="rId176" ref="A46"/>
    <hyperlink r:id="rId177" ref="R46"/>
    <hyperlink r:id="rId178" ref="S46"/>
    <hyperlink r:id="rId179" ref="T46"/>
    <hyperlink r:id="rId180" ref="U46"/>
    <hyperlink r:id="rId181" ref="A47"/>
    <hyperlink r:id="rId182" ref="R47"/>
    <hyperlink r:id="rId183" ref="S47"/>
    <hyperlink r:id="rId184" ref="T47"/>
    <hyperlink r:id="rId185" ref="U47"/>
    <hyperlink r:id="rId186" ref="A48"/>
    <hyperlink r:id="rId187" ref="R48"/>
    <hyperlink r:id="rId188" ref="S48"/>
    <hyperlink r:id="rId189" ref="T48"/>
    <hyperlink r:id="rId190" ref="U48"/>
    <hyperlink r:id="rId191" ref="A49"/>
    <hyperlink r:id="rId192" ref="R49"/>
    <hyperlink r:id="rId193" ref="S49"/>
    <hyperlink r:id="rId194" ref="T49"/>
    <hyperlink r:id="rId195" ref="U49"/>
    <hyperlink r:id="rId196" ref="S50"/>
    <hyperlink r:id="rId197" ref="A51"/>
    <hyperlink r:id="rId198" ref="R51"/>
    <hyperlink r:id="rId199" ref="S51"/>
    <hyperlink r:id="rId200" ref="U51"/>
    <hyperlink r:id="rId201" ref="A52"/>
    <hyperlink r:id="rId202" ref="R52"/>
    <hyperlink r:id="rId203" ref="S52"/>
    <hyperlink r:id="rId204" ref="T52"/>
    <hyperlink r:id="rId205" ref="U52"/>
    <hyperlink r:id="rId206" ref="A53"/>
    <hyperlink r:id="rId207" ref="R53"/>
    <hyperlink r:id="rId208" ref="S53"/>
    <hyperlink r:id="rId209" ref="T53"/>
    <hyperlink r:id="rId210" ref="U53"/>
    <hyperlink r:id="rId211" ref="R54"/>
    <hyperlink r:id="rId212" ref="S54"/>
    <hyperlink r:id="rId213" ref="T54"/>
    <hyperlink r:id="rId214" ref="U54"/>
    <hyperlink r:id="rId215" ref="A55"/>
    <hyperlink r:id="rId216" ref="R55"/>
    <hyperlink r:id="rId217" ref="S55"/>
    <hyperlink r:id="rId218" ref="U55"/>
    <hyperlink r:id="rId219" ref="R56"/>
    <hyperlink r:id="rId220" ref="U56"/>
    <hyperlink r:id="rId221" ref="A57"/>
    <hyperlink r:id="rId222" ref="R57"/>
    <hyperlink r:id="rId223" ref="S57"/>
    <hyperlink r:id="rId224" ref="T57"/>
    <hyperlink r:id="rId225" ref="U57"/>
    <hyperlink r:id="rId226" ref="A58"/>
    <hyperlink r:id="rId227" ref="R58"/>
    <hyperlink r:id="rId228" ref="S58"/>
    <hyperlink r:id="rId229" ref="T58"/>
    <hyperlink r:id="rId230" ref="U58"/>
    <hyperlink r:id="rId231" ref="R59"/>
    <hyperlink r:id="rId232" ref="S59"/>
    <hyperlink r:id="rId233" ref="U59"/>
    <hyperlink r:id="rId234" ref="R60"/>
    <hyperlink r:id="rId235" ref="S60"/>
    <hyperlink r:id="rId236" ref="U60"/>
    <hyperlink r:id="rId237" ref="A61"/>
    <hyperlink r:id="rId238" ref="R61"/>
    <hyperlink r:id="rId239" ref="S61"/>
    <hyperlink r:id="rId240" ref="U61"/>
    <hyperlink r:id="rId241" ref="R62"/>
    <hyperlink r:id="rId242" ref="S62"/>
    <hyperlink r:id="rId243" ref="U62"/>
    <hyperlink r:id="rId244" ref="R63"/>
    <hyperlink r:id="rId245" ref="S63"/>
    <hyperlink r:id="rId246" ref="T63"/>
    <hyperlink r:id="rId247" ref="U63"/>
    <hyperlink r:id="rId248" ref="R64"/>
    <hyperlink r:id="rId249" ref="S64"/>
    <hyperlink r:id="rId250" ref="U64"/>
    <hyperlink r:id="rId251" ref="A65"/>
    <hyperlink r:id="rId252" ref="R65"/>
    <hyperlink r:id="rId253" ref="S65"/>
    <hyperlink r:id="rId254" ref="T65"/>
    <hyperlink r:id="rId255" ref="U65"/>
    <hyperlink r:id="rId256" ref="A66"/>
    <hyperlink r:id="rId257" ref="R66"/>
    <hyperlink r:id="rId258" ref="S66"/>
    <hyperlink r:id="rId259" ref="A67"/>
    <hyperlink r:id="rId260" ref="R67"/>
    <hyperlink r:id="rId261" ref="S67"/>
    <hyperlink r:id="rId262" ref="T67"/>
    <hyperlink r:id="rId263" ref="U67"/>
    <hyperlink r:id="rId264" ref="A68"/>
    <hyperlink r:id="rId265" ref="R68"/>
    <hyperlink r:id="rId266" ref="S68"/>
    <hyperlink r:id="rId267" ref="T68"/>
    <hyperlink r:id="rId268" ref="U68"/>
    <hyperlink r:id="rId269" ref="A69"/>
    <hyperlink r:id="rId270" ref="R69"/>
    <hyperlink r:id="rId271" ref="S69"/>
    <hyperlink r:id="rId272" ref="U69"/>
    <hyperlink r:id="rId273" ref="A70"/>
    <hyperlink r:id="rId274" ref="R70"/>
    <hyperlink r:id="rId275" ref="S70"/>
    <hyperlink r:id="rId276" ref="U70"/>
    <hyperlink r:id="rId277" ref="R71"/>
    <hyperlink r:id="rId278" ref="S71"/>
    <hyperlink r:id="rId279" ref="T71"/>
    <hyperlink r:id="rId280" ref="U71"/>
    <hyperlink r:id="rId281" ref="R72"/>
    <hyperlink r:id="rId282" ref="S72"/>
    <hyperlink r:id="rId283" ref="U72"/>
    <hyperlink r:id="rId284" ref="S73"/>
    <hyperlink r:id="rId285" ref="U73"/>
    <hyperlink r:id="rId286" ref="R74"/>
    <hyperlink r:id="rId287" ref="S74"/>
    <hyperlink r:id="rId288" ref="U74"/>
    <hyperlink r:id="rId289" ref="S75"/>
    <hyperlink r:id="rId290" ref="A76"/>
    <hyperlink r:id="rId291" ref="R76"/>
    <hyperlink r:id="rId292" ref="S76"/>
    <hyperlink r:id="rId293" ref="T76"/>
    <hyperlink r:id="rId294" ref="U76"/>
    <hyperlink r:id="rId295" ref="R77"/>
    <hyperlink r:id="rId296" ref="S77"/>
    <hyperlink r:id="rId297" ref="T77"/>
    <hyperlink r:id="rId298" ref="U77"/>
    <hyperlink r:id="rId299" ref="A78"/>
    <hyperlink r:id="rId300" ref="R78"/>
    <hyperlink r:id="rId301" ref="S78"/>
    <hyperlink r:id="rId302" ref="U78"/>
    <hyperlink r:id="rId303" ref="R79"/>
    <hyperlink r:id="rId304" ref="S79"/>
    <hyperlink r:id="rId305" ref="T79"/>
    <hyperlink r:id="rId306" ref="U79"/>
    <hyperlink r:id="rId307" ref="R80"/>
    <hyperlink r:id="rId308" ref="S80"/>
    <hyperlink r:id="rId309" ref="U80"/>
    <hyperlink r:id="rId310" ref="A82"/>
    <hyperlink r:id="rId311" ref="R82"/>
    <hyperlink r:id="rId312" ref="S82"/>
    <hyperlink r:id="rId313" ref="U82"/>
    <hyperlink r:id="rId314" ref="S83"/>
    <hyperlink r:id="rId315" ref="U83"/>
    <hyperlink r:id="rId316" ref="A84"/>
    <hyperlink r:id="rId317" ref="R84"/>
    <hyperlink r:id="rId318" ref="S84"/>
    <hyperlink r:id="rId319" ref="U84"/>
    <hyperlink r:id="rId320" ref="R85"/>
    <hyperlink r:id="rId321" ref="U85"/>
    <hyperlink r:id="rId322" ref="A86"/>
    <hyperlink r:id="rId323" ref="R86"/>
    <hyperlink r:id="rId324" ref="S86"/>
    <hyperlink r:id="rId325" ref="U86"/>
    <hyperlink r:id="rId326" ref="A87"/>
    <hyperlink r:id="rId327" ref="R87"/>
    <hyperlink r:id="rId328" ref="S87"/>
    <hyperlink r:id="rId329" ref="U87"/>
    <hyperlink r:id="rId330" ref="A89"/>
    <hyperlink r:id="rId331" ref="R89"/>
    <hyperlink r:id="rId332" ref="S89"/>
    <hyperlink r:id="rId333" ref="U89"/>
    <hyperlink r:id="rId334" ref="A90"/>
    <hyperlink r:id="rId335" ref="R90"/>
    <hyperlink r:id="rId336" ref="S90"/>
    <hyperlink r:id="rId337" ref="T90"/>
    <hyperlink r:id="rId338" ref="U90"/>
    <hyperlink r:id="rId339" ref="A91"/>
    <hyperlink r:id="rId340" ref="R91"/>
    <hyperlink r:id="rId341" ref="S91"/>
    <hyperlink r:id="rId342" ref="U91"/>
    <hyperlink r:id="rId343" ref="A92"/>
    <hyperlink r:id="rId344" ref="R92"/>
    <hyperlink r:id="rId345" ref="S92"/>
    <hyperlink r:id="rId346" ref="T92"/>
    <hyperlink r:id="rId347" ref="U92"/>
    <hyperlink r:id="rId348" ref="S93"/>
    <hyperlink r:id="rId349" ref="U93"/>
    <hyperlink r:id="rId350" ref="A94"/>
    <hyperlink r:id="rId351" ref="R94"/>
    <hyperlink r:id="rId352" ref="S94"/>
    <hyperlink r:id="rId353" ref="U94"/>
    <hyperlink r:id="rId354" ref="R95"/>
    <hyperlink r:id="rId355" ref="S95"/>
    <hyperlink r:id="rId356" ref="T95"/>
    <hyperlink r:id="rId357" ref="U95"/>
    <hyperlink r:id="rId358" ref="A97"/>
    <hyperlink r:id="rId359" ref="R97"/>
    <hyperlink r:id="rId360" ref="S97"/>
    <hyperlink r:id="rId361" ref="U97"/>
    <hyperlink r:id="rId362" ref="A98"/>
    <hyperlink r:id="rId363" ref="R98"/>
    <hyperlink r:id="rId364" ref="S98"/>
    <hyperlink r:id="rId365" ref="T98"/>
    <hyperlink r:id="rId366" ref="U98"/>
    <hyperlink r:id="rId367" ref="R99"/>
    <hyperlink r:id="rId368" ref="S99"/>
    <hyperlink r:id="rId369" ref="U99"/>
    <hyperlink r:id="rId370" ref="A100"/>
    <hyperlink r:id="rId371" ref="R100"/>
    <hyperlink r:id="rId372" ref="S100"/>
    <hyperlink r:id="rId373" ref="U100"/>
    <hyperlink r:id="rId374" ref="R101"/>
    <hyperlink r:id="rId375" ref="S101"/>
    <hyperlink r:id="rId376" ref="U101"/>
    <hyperlink r:id="rId377" ref="S102"/>
    <hyperlink r:id="rId378" ref="U102"/>
    <hyperlink r:id="rId379" ref="S103"/>
    <hyperlink r:id="rId380" ref="U103"/>
  </hyperlinks>
  <drawing r:id="rId38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7.43"/>
  </cols>
  <sheetData>
    <row r="1" ht="76.5" customHeight="1">
      <c r="A1" s="1" t="s">
        <v>0</v>
      </c>
      <c r="B1" s="2" t="s">
        <v>1</v>
      </c>
      <c r="C1" s="3" t="s">
        <v>2</v>
      </c>
      <c r="D1" s="4" t="s">
        <v>3</v>
      </c>
      <c r="E1" s="5" t="s">
        <v>4</v>
      </c>
      <c r="F1" s="6" t="s">
        <v>5</v>
      </c>
      <c r="G1" s="7" t="s">
        <v>6</v>
      </c>
      <c r="H1" s="8" t="s">
        <v>7</v>
      </c>
      <c r="I1" s="3" t="s">
        <v>8</v>
      </c>
      <c r="J1" s="11" t="s">
        <v>15</v>
      </c>
      <c r="K1" s="13" t="s">
        <v>17</v>
      </c>
      <c r="L1" s="14" t="s">
        <v>18</v>
      </c>
      <c r="M1" s="13" t="s">
        <v>19</v>
      </c>
      <c r="N1" s="15" t="s">
        <v>20</v>
      </c>
      <c r="O1" s="3" t="s">
        <v>9</v>
      </c>
      <c r="P1" s="5" t="s">
        <v>10</v>
      </c>
      <c r="Q1" s="3" t="s">
        <v>11</v>
      </c>
      <c r="R1" s="3" t="s">
        <v>12</v>
      </c>
      <c r="S1" s="3" t="s">
        <v>13</v>
      </c>
      <c r="T1" s="3" t="s">
        <v>14</v>
      </c>
      <c r="U1" s="16" t="s">
        <v>21</v>
      </c>
    </row>
    <row r="2" ht="18.0" hidden="1" customHeight="1">
      <c r="A2" s="17" t="s">
        <v>166</v>
      </c>
      <c r="B2" s="18"/>
      <c r="C2" s="18"/>
      <c r="D2" s="18"/>
      <c r="E2" s="18"/>
      <c r="F2" s="18"/>
      <c r="G2" s="19"/>
      <c r="H2" s="20"/>
      <c r="I2" s="18"/>
      <c r="J2" s="18"/>
      <c r="K2" s="18"/>
      <c r="L2" s="18"/>
      <c r="M2" s="18"/>
      <c r="N2" s="18"/>
      <c r="O2" s="18"/>
      <c r="P2" s="19"/>
      <c r="Q2" s="18"/>
      <c r="R2" s="19"/>
      <c r="S2" s="21"/>
      <c r="T2" s="19"/>
    </row>
    <row r="3" hidden="1">
      <c r="A3" s="131" t="str">
        <f>HYPERLINK("https://phillipreeve.net/blog/review-voigtlander-10mm-5-6-e-hyper-wide-heliar/","Voigtlander 10mm F5.6 Hyper Wide ")</f>
        <v>Voigtlander 10mm F5.6 Hyper Wide </v>
      </c>
      <c r="B3" s="76">
        <v>375.0</v>
      </c>
      <c r="C3" s="77">
        <v>10.0</v>
      </c>
      <c r="D3" s="78">
        <v>5.6</v>
      </c>
      <c r="E3" s="388">
        <v>67.0</v>
      </c>
      <c r="F3" s="389" t="s">
        <v>23</v>
      </c>
      <c r="G3" s="390" t="s">
        <v>24</v>
      </c>
      <c r="H3" s="82" t="s">
        <v>25</v>
      </c>
      <c r="I3" s="81">
        <v>0.067</v>
      </c>
      <c r="J3" s="87">
        <v>1099.0</v>
      </c>
      <c r="K3" s="88" t="str">
        <f>HYPERLINK("https://amzn.to/2jJ8WxH","link*")</f>
        <v>link*</v>
      </c>
      <c r="L3" s="88" t="str">
        <f>HYPERLINK("https://www.bhphotovideo.com/c/product/1219550-REG/voigtlander_ba334b_heliar_hyper_wide_10mm_f_5_6.html/BI/19619/KBID/12129/DFF/d10-v21-t1-x732282/SID/EZ","link*")</f>
        <v>link*</v>
      </c>
      <c r="M3" s="88" t="str">
        <f>HYPERLINK("https://amzn.to/2jG72hr","link*")</f>
        <v>link*</v>
      </c>
      <c r="N3" s="88"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3" s="83">
        <v>30.0</v>
      </c>
      <c r="P3" s="84" t="s">
        <v>26</v>
      </c>
      <c r="Q3" s="81">
        <v>10.0</v>
      </c>
      <c r="R3" s="378" t="s">
        <v>27</v>
      </c>
      <c r="S3" s="81" t="s">
        <v>28</v>
      </c>
      <c r="T3" s="86">
        <v>42552.0</v>
      </c>
      <c r="U3" s="68" t="s">
        <v>225</v>
      </c>
    </row>
    <row r="4" hidden="1">
      <c r="A4" s="75" t="s">
        <v>29</v>
      </c>
      <c r="B4" s="76">
        <v>565.0</v>
      </c>
      <c r="C4" s="77">
        <v>12.0</v>
      </c>
      <c r="D4" s="78">
        <v>4.0</v>
      </c>
      <c r="E4" s="79">
        <v>87.0</v>
      </c>
      <c r="F4" s="122">
        <v>117.0</v>
      </c>
      <c r="G4" s="84" t="s">
        <v>30</v>
      </c>
      <c r="H4" s="82" t="s">
        <v>25</v>
      </c>
      <c r="I4" s="81">
        <v>0.14</v>
      </c>
      <c r="J4" s="87">
        <v>1699.0</v>
      </c>
      <c r="K4" s="88" t="str">
        <f>HYPERLINK("https://amzn.to/2SSzKc4","link*")</f>
        <v>link*</v>
      </c>
      <c r="L4" s="88" t="str">
        <f>HYPERLINK("https://www.bhphotovideo.com/c/product/1338517-REG/sony_sel1224g_fe_12_24mm_f_4_g.html/BI/19619/KBID/12129/DFF/d10-v21-t1-x822838/SID/EZ","link*")</f>
        <v>link*</v>
      </c>
      <c r="M4" s="88" t="str">
        <f>HYPERLINK("https://amzn.to/2Kg94zb","link*")</f>
        <v>link*</v>
      </c>
      <c r="N4"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4" s="83">
        <v>24.0</v>
      </c>
      <c r="P4" s="84" t="s">
        <v>26</v>
      </c>
      <c r="Q4" s="81">
        <v>7.0</v>
      </c>
      <c r="R4" s="378" t="s">
        <v>31</v>
      </c>
      <c r="S4" s="81" t="s">
        <v>32</v>
      </c>
      <c r="T4" s="86">
        <v>42856.0</v>
      </c>
    </row>
    <row r="5">
      <c r="A5" s="131" t="str">
        <f>HYPERLINK("https://phillipreeve.net/blog/review-voigtlander-12mm-5-6-aspherical-ultra-wide-heliar/","Voigtlander 12mm F5.6 Ultra Wide-Heliar Aspherical")</f>
        <v>Voigtlander 12mm F5.6 Ultra Wide-Heliar Aspherical</v>
      </c>
      <c r="B5" s="76">
        <v>350.0</v>
      </c>
      <c r="C5" s="77">
        <v>12.0</v>
      </c>
      <c r="D5" s="78">
        <v>5.6</v>
      </c>
      <c r="E5" s="391">
        <v>67.0</v>
      </c>
      <c r="F5" s="389">
        <v>68.0</v>
      </c>
      <c r="G5" s="84" t="s">
        <v>24</v>
      </c>
      <c r="H5" s="82" t="s">
        <v>25</v>
      </c>
      <c r="I5" s="81"/>
      <c r="J5" s="87">
        <v>749.0</v>
      </c>
      <c r="K5" s="89"/>
      <c r="L5" s="89"/>
      <c r="M5" s="89"/>
      <c r="N5" s="88"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5" s="83">
        <v>30.0</v>
      </c>
      <c r="P5" s="84" t="s">
        <v>26</v>
      </c>
      <c r="Q5" s="81">
        <v>10.0</v>
      </c>
      <c r="R5" s="378" t="s">
        <v>38</v>
      </c>
      <c r="S5" s="81" t="s">
        <v>28</v>
      </c>
      <c r="T5" s="86">
        <v>42583.0</v>
      </c>
      <c r="U5" s="68" t="s">
        <v>39</v>
      </c>
    </row>
    <row r="6" hidden="1">
      <c r="A6" s="75" t="s">
        <v>40</v>
      </c>
      <c r="B6" s="76">
        <v>1170.0</v>
      </c>
      <c r="C6" s="77">
        <v>14.0</v>
      </c>
      <c r="D6" s="121">
        <v>1.8</v>
      </c>
      <c r="E6" s="343">
        <v>95.0</v>
      </c>
      <c r="F6" s="80">
        <v>126.0</v>
      </c>
      <c r="G6" s="81" t="s">
        <v>30</v>
      </c>
      <c r="H6" s="82" t="s">
        <v>25</v>
      </c>
      <c r="I6" s="81">
        <v>0.1</v>
      </c>
      <c r="J6" s="87">
        <v>1599.0</v>
      </c>
      <c r="K6" s="88" t="str">
        <f>HYPERLINK("https://amzn.to/2SOWTvV","link*")</f>
        <v>link*</v>
      </c>
      <c r="L6" s="88" t="str">
        <f>HYPERLINK("https://www.bhphotovideo.com/c/product/1393489-REG/sigma_14mm_f_1_8_dg_hsm.html/BI/19619/KBID/12129/DFF/d10-v21-t1-x881154/SID/EZ","link*")</f>
        <v>link*</v>
      </c>
      <c r="M6" s="88" t="str">
        <f>HYPERLINK("https://amzn.to/2ZDl4QJ","link*")</f>
        <v>link*</v>
      </c>
      <c r="N6" s="88"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6" s="83">
        <v>27.0</v>
      </c>
      <c r="P6" s="84" t="s">
        <v>26</v>
      </c>
      <c r="Q6" s="81">
        <v>9.0</v>
      </c>
      <c r="R6" s="123">
        <v>43785.0</v>
      </c>
      <c r="S6" s="81" t="s">
        <v>41</v>
      </c>
      <c r="T6" s="86">
        <v>43221.0</v>
      </c>
      <c r="U6" s="68" t="s">
        <v>42</v>
      </c>
    </row>
    <row r="7" hidden="1">
      <c r="A7" s="75" t="s">
        <v>43</v>
      </c>
      <c r="B7" s="76">
        <v>795.0</v>
      </c>
      <c r="C7" s="77">
        <v>14.0</v>
      </c>
      <c r="D7" s="78">
        <v>2.8</v>
      </c>
      <c r="E7" s="79">
        <v>85.0</v>
      </c>
      <c r="F7" s="80">
        <v>131.0</v>
      </c>
      <c r="G7" s="81" t="s">
        <v>30</v>
      </c>
      <c r="H7" s="82" t="s">
        <v>25</v>
      </c>
      <c r="I7" s="81">
        <v>0.14</v>
      </c>
      <c r="J7" s="87">
        <v>1399.0</v>
      </c>
      <c r="K7" s="88" t="str">
        <f>HYPERLINK("https://amzn.to/2zt8rMC","link*")</f>
        <v>link*</v>
      </c>
      <c r="L7" s="88" t="str">
        <f>HYPERLINK("https://www.bhphotovideo.com/c/product/1492972-REG/sigma_213965_14_24mm_f_2_8_dg_dn.html/BI/19619/KBID/12129/DFF/d10-v21-t1-x976041/SID/EZ","link*")</f>
        <v>link*</v>
      </c>
      <c r="M7" s="89" t="s">
        <v>33</v>
      </c>
      <c r="N7"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7" s="83">
        <v>28.0</v>
      </c>
      <c r="P7" s="84" t="s">
        <v>26</v>
      </c>
      <c r="Q7" s="81">
        <v>11.0</v>
      </c>
      <c r="R7" s="85" t="s">
        <v>44</v>
      </c>
      <c r="S7" s="81" t="s">
        <v>41</v>
      </c>
      <c r="T7" s="86">
        <v>43739.0</v>
      </c>
      <c r="U7" s="68" t="s">
        <v>37</v>
      </c>
    </row>
    <row r="8">
      <c r="A8" s="75" t="s">
        <v>45</v>
      </c>
      <c r="B8" s="76">
        <v>505.0</v>
      </c>
      <c r="C8" s="77">
        <v>14.0</v>
      </c>
      <c r="D8" s="78">
        <v>2.8</v>
      </c>
      <c r="E8" s="79">
        <v>86.0</v>
      </c>
      <c r="F8" s="122">
        <v>98.0</v>
      </c>
      <c r="G8" s="81" t="s">
        <v>30</v>
      </c>
      <c r="H8" s="82" t="s">
        <v>25</v>
      </c>
      <c r="I8" s="81">
        <v>0.12</v>
      </c>
      <c r="J8" s="87">
        <v>799.0</v>
      </c>
      <c r="K8" s="88" t="str">
        <f>HYPERLINK("https://amzn.to/2SX2HUi","link*")</f>
        <v>link*</v>
      </c>
      <c r="L8" s="88" t="str">
        <f>HYPERLINK("https://www.bhphotovideo.com/c/product/1352863-REG/samyang_syio14af_e_14mm_f_2_8_f_f_wide.html/BI/19619/KBID/12129/DFF/d10-v21-t1-x837928/SID/EZ","link*")</f>
        <v>link*</v>
      </c>
      <c r="M8" s="88" t="str">
        <f>HYPERLINK("https://amzn.to/31hwSIL","link*")</f>
        <v>link*</v>
      </c>
      <c r="N8"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8" s="83">
        <v>20.0</v>
      </c>
      <c r="P8" s="84" t="s">
        <v>26</v>
      </c>
      <c r="Q8" s="81">
        <v>7.0</v>
      </c>
      <c r="R8" s="123">
        <v>43752.0</v>
      </c>
      <c r="S8" s="81" t="s">
        <v>46</v>
      </c>
      <c r="T8" s="86">
        <v>43221.0</v>
      </c>
    </row>
    <row r="9">
      <c r="A9" s="131" t="str">
        <f>HYPERLINK("https://phillipreeve.net/blog/review-voigtlander-15mm-4-5-e-super-wide-heliar/","Voigtlander 15mm F4.5 Super Wide Heliar")</f>
        <v>Voigtlander 15mm F4.5 Super Wide Heliar</v>
      </c>
      <c r="B9" s="76">
        <v>298.0</v>
      </c>
      <c r="C9" s="77">
        <v>15.0</v>
      </c>
      <c r="D9" s="78">
        <v>4.5</v>
      </c>
      <c r="E9" s="391">
        <v>67.0</v>
      </c>
      <c r="F9" s="389">
        <v>62.0</v>
      </c>
      <c r="G9" s="84" t="s">
        <v>24</v>
      </c>
      <c r="H9" s="82" t="s">
        <v>47</v>
      </c>
      <c r="I9" s="81">
        <v>0.083</v>
      </c>
      <c r="J9" s="87">
        <v>799.0</v>
      </c>
      <c r="K9" s="88" t="str">
        <f>HYPERLINK("https://amzn.to/2YwplrQ","link*")</f>
        <v>link*</v>
      </c>
      <c r="L9" s="88" t="str">
        <f>HYPERLINK("https://www.bhphotovideo.com/c/product/1219549-REG/voigtlander_ba329b_super_wide_heliar_15mm_f_4_5.html/BI/19619/KBID/12129/DFF/d10-v21-t1-x618202/SID/EZ","link*")</f>
        <v>link*</v>
      </c>
      <c r="M9" s="88" t="str">
        <f>HYPERLINK("https://amzn.to/2ZpTKt5","link*")</f>
        <v>link*</v>
      </c>
      <c r="N9"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9" s="83">
        <v>30.0</v>
      </c>
      <c r="P9" s="84" t="s">
        <v>26</v>
      </c>
      <c r="Q9" s="81">
        <v>10.0</v>
      </c>
      <c r="R9" s="128" t="s">
        <v>38</v>
      </c>
      <c r="S9" s="81" t="s">
        <v>28</v>
      </c>
      <c r="T9" s="86">
        <v>42401.0</v>
      </c>
    </row>
    <row r="10" hidden="1">
      <c r="A10" s="131" t="str">
        <f>HYPERLINK("https://phillipreeve.net/blog/sony-fe-16-35mm-f4-za-t-review/","Sony ZA 4/16-35 OSS ")</f>
        <v>Sony ZA 4/16-35 OSS </v>
      </c>
      <c r="B10" s="76">
        <v>523.0</v>
      </c>
      <c r="C10" s="77">
        <v>16.0</v>
      </c>
      <c r="D10" s="78">
        <v>4.0</v>
      </c>
      <c r="E10" s="79">
        <v>78.0</v>
      </c>
      <c r="F10" s="122">
        <v>98.0</v>
      </c>
      <c r="G10" s="84" t="s">
        <v>30</v>
      </c>
      <c r="H10" s="82" t="s">
        <v>48</v>
      </c>
      <c r="I10" s="81">
        <v>0.19</v>
      </c>
      <c r="J10" s="87">
        <v>1349.0</v>
      </c>
      <c r="K10" s="88" t="str">
        <f>HYPERLINK("http://amzn.to/2v2sY7q","link*")</f>
        <v>link*</v>
      </c>
      <c r="L10" s="88" t="str">
        <f>HYPERLINK("https://www.bhphotovideo.com/c/product/1380866-REG/sony_16_35mm_f_4_vario_tsr.html/BI/19619/KBID/12129/kw/SO16354F/DFF/d10-v2-t1-xSO16354F","link*")</f>
        <v>link*</v>
      </c>
      <c r="M10" s="88" t="str">
        <f>HYPERLINK("http://amzn.to/2wyMLuP","link*")</f>
        <v>link*</v>
      </c>
      <c r="N10"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10" s="83">
        <v>28.0</v>
      </c>
      <c r="P10" s="154" t="s">
        <v>49</v>
      </c>
      <c r="Q10" s="81">
        <v>7.0</v>
      </c>
      <c r="R10" s="128" t="s">
        <v>38</v>
      </c>
      <c r="S10" s="81" t="s">
        <v>32</v>
      </c>
      <c r="T10" s="86">
        <v>41883.0</v>
      </c>
    </row>
    <row r="11" hidden="1">
      <c r="A11" s="75" t="s">
        <v>50</v>
      </c>
      <c r="B11" s="76">
        <v>680.0</v>
      </c>
      <c r="C11" s="77">
        <v>16.0</v>
      </c>
      <c r="D11" s="78">
        <v>2.8</v>
      </c>
      <c r="E11" s="79">
        <v>89.0</v>
      </c>
      <c r="F11" s="122">
        <v>122.0</v>
      </c>
      <c r="G11" s="84" t="s">
        <v>30</v>
      </c>
      <c r="H11" s="82" t="s">
        <v>51</v>
      </c>
      <c r="I11" s="81">
        <v>0.19</v>
      </c>
      <c r="J11" s="87">
        <v>2199.0</v>
      </c>
      <c r="K11" s="88" t="str">
        <f>HYPERLINK("https://amzn.to/2SR0IRl","link*")</f>
        <v>link*</v>
      </c>
      <c r="L11" s="88" t="str">
        <f>HYPERLINK("https://www.bhphotovideo.com/c/product/1338516-REG/sony_sel1635gm_fe_16_35mm_f_2_8_gm.html/BI/19619/KBID/12129/DFF/d10-v21-t1-x822837/SID/EZ","link*")</f>
        <v>link*</v>
      </c>
      <c r="M11" s="88" t="str">
        <f>HYPERLINK("https://amzn.to/2T1ZxOU","link*")</f>
        <v>link*</v>
      </c>
      <c r="N11"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11" s="83">
        <v>28.0</v>
      </c>
      <c r="P11" s="84" t="s">
        <v>26</v>
      </c>
      <c r="Q11" s="81">
        <v>11.0</v>
      </c>
      <c r="R11" s="128" t="s">
        <v>52</v>
      </c>
      <c r="S11" s="81" t="s">
        <v>32</v>
      </c>
      <c r="T11" s="86">
        <v>42856.0</v>
      </c>
    </row>
    <row r="12">
      <c r="A12" s="131" t="str">
        <f>HYPERLINK("https://phillipreeve.net/blog/review-tamron-17-28mm-f-2-8-di-iii-rxd/","Tamron 17-28mm f/2.8 Di III RXD")</f>
        <v>Tamron 17-28mm f/2.8 Di III RXD</v>
      </c>
      <c r="B12" s="76">
        <v>420.0</v>
      </c>
      <c r="C12" s="77">
        <v>17.0</v>
      </c>
      <c r="D12" s="78">
        <v>2.8</v>
      </c>
      <c r="E12" s="379">
        <v>73.0</v>
      </c>
      <c r="F12" s="122">
        <v>99.0</v>
      </c>
      <c r="G12" s="84" t="s">
        <v>30</v>
      </c>
      <c r="H12" s="82" t="s">
        <v>53</v>
      </c>
      <c r="I12" s="81">
        <v>0.19</v>
      </c>
      <c r="J12" s="153">
        <v>899.0</v>
      </c>
      <c r="K12" s="88" t="str">
        <f>HYPERLINK("https://amzn.to/2Hv3AyB","link*")</f>
        <v>link*</v>
      </c>
      <c r="L12" s="88" t="str">
        <f>HYPERLINK("https://www.bhphotovideo.com/c/product/1461529-REG/tamron_a046_17_28mm_f_2_8_di_iii.html/BI/19619/KBID/12129/DFF/d10-v21-t1-x946694/SID/EZ","link*")</f>
        <v>link*</v>
      </c>
      <c r="M12" s="88" t="str">
        <f>HYPERLINK("https://amzn.to/2YkrkQB","link*")</f>
        <v>link*</v>
      </c>
      <c r="N12"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12" s="83">
        <v>19.0</v>
      </c>
      <c r="P12" s="84" t="s">
        <v>26</v>
      </c>
      <c r="Q12" s="81">
        <v>9.0</v>
      </c>
      <c r="R12" s="128" t="s">
        <v>54</v>
      </c>
      <c r="S12" s="81" t="s">
        <v>55</v>
      </c>
      <c r="T12" s="86">
        <v>43647.0</v>
      </c>
      <c r="V12" s="116"/>
    </row>
    <row r="13" hidden="1">
      <c r="A13" s="131" t="str">
        <f>HYPERLINK("https://phillipreeve.net/blog/review-zeiss-batis-18mm-2-8/","Zeiss Batis 2.8/18")</f>
        <v>Zeiss Batis 2.8/18</v>
      </c>
      <c r="B13" s="76">
        <v>330.0</v>
      </c>
      <c r="C13" s="77">
        <v>18.0</v>
      </c>
      <c r="D13" s="78">
        <v>2.8</v>
      </c>
      <c r="E13" s="79">
        <v>100.0</v>
      </c>
      <c r="F13" s="122">
        <v>80.0</v>
      </c>
      <c r="G13" s="84" t="s">
        <v>30</v>
      </c>
      <c r="H13" s="82" t="s">
        <v>56</v>
      </c>
      <c r="I13" s="81">
        <v>0.1</v>
      </c>
      <c r="J13" s="87">
        <v>1499.0</v>
      </c>
      <c r="K13" s="88" t="str">
        <f>HYPERLINK("https://amzn.to/2SRFBhL","link*")</f>
        <v>link*</v>
      </c>
      <c r="L13" s="88" t="str">
        <f>HYPERLINK("https://www.bhphotovideo.com/c/product/1243591-REG/zeiss_2136_691_batis_18mm_f_2_8_lens.html/BI/19619/KBID/12129/DFF/d10-v21-t1-x727488/SID/EZ","link*")</f>
        <v>link*</v>
      </c>
      <c r="M13" s="88" t="str">
        <f>HYPERLINK("https://amzn.to/334PqNT","link*")</f>
        <v>link*</v>
      </c>
      <c r="N13"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13" s="83">
        <v>25.0</v>
      </c>
      <c r="P13" s="84" t="s">
        <v>26</v>
      </c>
      <c r="Q13" s="81">
        <v>9.0</v>
      </c>
      <c r="R13" s="128" t="s">
        <v>57</v>
      </c>
      <c r="S13" s="81" t="s">
        <v>58</v>
      </c>
      <c r="T13" s="86">
        <v>42491.0</v>
      </c>
    </row>
    <row r="14">
      <c r="A14" s="124" t="s">
        <v>59</v>
      </c>
      <c r="B14" s="76">
        <v>145.0</v>
      </c>
      <c r="C14" s="77">
        <v>18.0</v>
      </c>
      <c r="D14" s="78">
        <v>2.8</v>
      </c>
      <c r="E14" s="79">
        <v>63.5</v>
      </c>
      <c r="F14" s="122">
        <v>60.5</v>
      </c>
      <c r="G14" s="84" t="s">
        <v>30</v>
      </c>
      <c r="H14" s="82" t="s">
        <v>47</v>
      </c>
      <c r="I14" s="81">
        <v>0.09</v>
      </c>
      <c r="J14" s="87">
        <v>399.0</v>
      </c>
      <c r="K14" s="130"/>
      <c r="L14" s="88" t="str">
        <f>HYPERLINK("https://www.bhphotovideo.com/c/product/1503295-REG/samyang_syio18af_e_af_18mm_f_2_8_fe.html/BI/19619/KBID/12129/DFF/d10-v21-t1-x985623/SID/EZ","link*")</f>
        <v>link*</v>
      </c>
      <c r="M14" s="130"/>
      <c r="N14" s="130"/>
      <c r="O14" s="83">
        <v>25.0</v>
      </c>
      <c r="P14" s="84" t="s">
        <v>26</v>
      </c>
      <c r="Q14" s="81">
        <v>7.0</v>
      </c>
      <c r="R14" s="128" t="s">
        <v>60</v>
      </c>
      <c r="S14" s="81" t="s">
        <v>46</v>
      </c>
      <c r="T14" s="86">
        <v>43723.0</v>
      </c>
    </row>
    <row r="15" customHeight="1">
      <c r="A15" s="75" t="s">
        <v>61</v>
      </c>
      <c r="B15" s="76">
        <v>950.0</v>
      </c>
      <c r="C15" s="77">
        <v>20.0</v>
      </c>
      <c r="D15" s="380">
        <v>1.4</v>
      </c>
      <c r="E15" s="79">
        <v>91.0</v>
      </c>
      <c r="F15" s="122">
        <v>130.0</v>
      </c>
      <c r="G15" s="81" t="s">
        <v>30</v>
      </c>
      <c r="H15" s="82" t="s">
        <v>25</v>
      </c>
      <c r="I15" s="81">
        <v>0.14</v>
      </c>
      <c r="J15" s="87">
        <v>899.0</v>
      </c>
      <c r="K15" s="88" t="str">
        <f>HYPERLINK("https://amzn.to/2K4J7nh","link*")</f>
        <v>link*</v>
      </c>
      <c r="L15" s="88" t="str">
        <f>HYPERLINK("https://amzn.to/31hxv55","link*")</f>
        <v>link*</v>
      </c>
      <c r="M15" s="88" t="str">
        <f>HYPERLINK("https://amzn.to/2Wy0d3F","link*")</f>
        <v>link*</v>
      </c>
      <c r="N15" s="88"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15" s="83">
        <v>28.0</v>
      </c>
      <c r="P15" s="84" t="s">
        <v>26</v>
      </c>
      <c r="Q15" s="81">
        <v>9.0</v>
      </c>
      <c r="R15" s="123">
        <v>43784.0</v>
      </c>
      <c r="S15" s="81" t="s">
        <v>41</v>
      </c>
      <c r="T15" s="86">
        <v>43221.0</v>
      </c>
      <c r="U15" s="68" t="s">
        <v>42</v>
      </c>
    </row>
    <row r="16">
      <c r="A16" s="75" t="s">
        <v>62</v>
      </c>
      <c r="B16" s="76">
        <v>775.0</v>
      </c>
      <c r="C16" s="77">
        <v>20.0</v>
      </c>
      <c r="D16" s="121">
        <v>1.8</v>
      </c>
      <c r="E16" s="79">
        <v>77.0</v>
      </c>
      <c r="F16" s="122">
        <v>102.0</v>
      </c>
      <c r="G16" s="81" t="s">
        <v>24</v>
      </c>
      <c r="H16" s="82" t="s">
        <v>51</v>
      </c>
      <c r="I16" s="81">
        <v>0.12</v>
      </c>
      <c r="J16" s="87">
        <v>486.0</v>
      </c>
      <c r="K16" s="88" t="str">
        <f>HYPERLINK("https://amzn.to/2LRRbJ5","link*")</f>
        <v>link*</v>
      </c>
      <c r="L16" s="88" t="str">
        <f>HYPERLINK("https://www.bhphotovideo.com/c/product/1469187-REG/viltrox_pfu_rbmh_20mm_f1_8_asph_e_mount_20mm_f_1_8_for_sony.html/BI/19619/KBID/12129/DFF/d10-v21-t1-x954299/SID/EZ","link*")</f>
        <v>link*</v>
      </c>
      <c r="M16" s="88" t="str">
        <f>HYPERLINK("https://amzn.to/2GL8iYV","link*")</f>
        <v>link*</v>
      </c>
      <c r="N16"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16" s="83">
        <v>25.0</v>
      </c>
      <c r="P16" s="84" t="s">
        <v>26</v>
      </c>
      <c r="Q16" s="81">
        <v>14.0</v>
      </c>
      <c r="R16" s="123">
        <v>43720.0</v>
      </c>
      <c r="S16" s="81" t="s">
        <v>63</v>
      </c>
      <c r="T16" s="86">
        <v>43586.0</v>
      </c>
    </row>
    <row r="17">
      <c r="A17" s="131" t="str">
        <f>HYPERLINK("https://phillipreeve.net/blog/tokina-firin-20mm-f2-fe-review-a-good-deal/","Tokina Firin 2/20")</f>
        <v>Tokina Firin 2/20</v>
      </c>
      <c r="B17" s="76">
        <v>492.0</v>
      </c>
      <c r="C17" s="77">
        <v>20.0</v>
      </c>
      <c r="D17" s="125">
        <v>2.0</v>
      </c>
      <c r="E17" s="132">
        <v>69.0</v>
      </c>
      <c r="F17" s="133">
        <v>82.0</v>
      </c>
      <c r="G17" s="84" t="s">
        <v>24</v>
      </c>
      <c r="H17" s="82" t="s">
        <v>66</v>
      </c>
      <c r="I17" s="81">
        <v>0.1</v>
      </c>
      <c r="J17" s="129">
        <v>799.0</v>
      </c>
      <c r="K17" s="88" t="str">
        <f>HYPERLINK("http://amzn.to/2vlG2Yq","link*")</f>
        <v>link*</v>
      </c>
      <c r="L17" s="88" t="str">
        <f>HYPERLINK("https://www.bhphotovideo.com/c/product/1281299-REG/tokina_firin_20mm_f_2_fe.html/BI/19619/KBID/12129/kw/TO202E/DFF/d10-v2-t1-xTO202E","link*")</f>
        <v>link*</v>
      </c>
      <c r="M17" s="88" t="str">
        <f>HYPERLINK("http://amzn.to/2vvtDkM","link*")</f>
        <v>link*</v>
      </c>
      <c r="N17"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17" s="83">
        <v>30.0</v>
      </c>
      <c r="P17" s="84" t="s">
        <v>26</v>
      </c>
      <c r="Q17" s="81">
        <v>9.0</v>
      </c>
      <c r="R17" s="128" t="s">
        <v>54</v>
      </c>
      <c r="S17" s="81" t="s">
        <v>67</v>
      </c>
      <c r="T17" s="86">
        <v>42856.0</v>
      </c>
    </row>
    <row r="18">
      <c r="A18" s="75" t="s">
        <v>68</v>
      </c>
      <c r="B18" s="76">
        <v>464.0</v>
      </c>
      <c r="C18" s="77">
        <v>20.0</v>
      </c>
      <c r="D18" s="125">
        <v>2.0</v>
      </c>
      <c r="E18" s="381">
        <v>73.0</v>
      </c>
      <c r="F18" s="151">
        <v>82.0</v>
      </c>
      <c r="G18" s="84" t="s">
        <v>30</v>
      </c>
      <c r="H18" s="82" t="s">
        <v>66</v>
      </c>
      <c r="I18" s="81">
        <v>0.1</v>
      </c>
      <c r="J18" s="87">
        <v>949.0</v>
      </c>
      <c r="K18" s="88" t="str">
        <f>HYPERLINK("https://amzn.to/2GDurZb","link*")</f>
        <v>link*</v>
      </c>
      <c r="L18" s="88" t="str">
        <f>HYPERLINK("https://www.bhphotovideo.com/c/product/1393327-REG/tokina_firin_20mm_f_2_fe.html/BI/19619/KBID/12129/DFF/d10-v21-t1-x880327/SID/EZ","link*")</f>
        <v>link*</v>
      </c>
      <c r="M18" s="88" t="str">
        <f>HYPERLINK("https://amzn.to/2GJYCxw","link*")</f>
        <v>link*</v>
      </c>
      <c r="N18"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18" s="83">
        <v>30.0</v>
      </c>
      <c r="P18" s="84" t="s">
        <v>26</v>
      </c>
      <c r="Q18" s="81">
        <v>9.0</v>
      </c>
      <c r="R18" s="128" t="s">
        <v>54</v>
      </c>
      <c r="S18" s="81" t="s">
        <v>67</v>
      </c>
      <c r="T18" s="86">
        <v>43221.0</v>
      </c>
    </row>
    <row r="19" hidden="1">
      <c r="A19" s="131" t="str">
        <f>HYPERLINK("https://phillipreeve.net/blog/review_voigtlander_21mm_f14_e/","Voigtlander 21mm F1.4 Nokton")</f>
        <v>Voigtlander 21mm F1.4 Nokton</v>
      </c>
      <c r="B19" s="76">
        <v>540.0</v>
      </c>
      <c r="C19" s="77">
        <v>21.0</v>
      </c>
      <c r="D19" s="149">
        <v>1.4</v>
      </c>
      <c r="E19" s="144">
        <v>70.0</v>
      </c>
      <c r="F19" s="145">
        <v>80.0</v>
      </c>
      <c r="G19" s="84" t="s">
        <v>24</v>
      </c>
      <c r="H19" s="82" t="s">
        <v>66</v>
      </c>
      <c r="I19" s="81"/>
      <c r="J19" s="87">
        <v>1199.0</v>
      </c>
      <c r="K19" s="88" t="str">
        <f>HYPERLINK("https://amzn.to/2K7gHrC","link*")</f>
        <v>link*</v>
      </c>
      <c r="L19" s="88" t="str">
        <f>HYPERLINK("https://www.bhphotovideo.com/c/product/1480269-REG/voigtlander_ba352a_nokton_21mm_f_1_4_aspherical.html/BI/19619/KBID/12129/DFF/d10-v21-t1-x963269/SID/EZ","link*")</f>
        <v>link*</v>
      </c>
      <c r="M19" s="89"/>
      <c r="N19"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19" s="83">
        <v>25.0</v>
      </c>
      <c r="P19" s="84" t="s">
        <v>26</v>
      </c>
      <c r="Q19" s="81">
        <v>12.0</v>
      </c>
      <c r="R19" s="128" t="s">
        <v>54</v>
      </c>
      <c r="S19" s="81" t="s">
        <v>28</v>
      </c>
      <c r="T19" s="86">
        <v>43617.0</v>
      </c>
    </row>
    <row r="20" hidden="1">
      <c r="A20" s="131" t="str">
        <f>HYPERLINK("https://phillipreeve.net/blog/rolling-review-zeiss-loxia-distagon-2-821mm-t/https://phillipreeve.net/blog/rolling-review-zeiss-loxia-distagon-2-821mm-t/","Zeiss Loxia 2.8/21 Distagon T*")</f>
        <v>Zeiss Loxia 2.8/21 Distagon T*</v>
      </c>
      <c r="B20" s="76">
        <v>394.0</v>
      </c>
      <c r="C20" s="77">
        <v>21.0</v>
      </c>
      <c r="D20" s="78">
        <v>2.8</v>
      </c>
      <c r="E20" s="144">
        <v>62.0</v>
      </c>
      <c r="F20" s="145">
        <v>72.0</v>
      </c>
      <c r="G20" s="84" t="s">
        <v>24</v>
      </c>
      <c r="H20" s="82" t="s">
        <v>71</v>
      </c>
      <c r="I20" s="81">
        <v>0.13</v>
      </c>
      <c r="J20" s="87">
        <v>1499.0</v>
      </c>
      <c r="K20" s="88" t="str">
        <f>HYPERLINK("https://amzn.to/2yspzBm","link*")</f>
        <v>link*</v>
      </c>
      <c r="L20" s="88" t="str">
        <f>HYPERLINK("https://www.bhphotovideo.com/c/product/1189220-REG/zeiss_2131_999_loxia_21mm_f_2_8_lens.html/BI/19619/KBID/12129/DFF/d10-v21-t1-x677077/SID/EZ","link*")</f>
        <v>link*</v>
      </c>
      <c r="M20" s="88" t="str">
        <f>HYPERLINK("https://amzn.to/2GHSOoA","link*")</f>
        <v>link*</v>
      </c>
      <c r="N20"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20" s="83">
        <v>25.0</v>
      </c>
      <c r="P20" s="84" t="s">
        <v>26</v>
      </c>
      <c r="Q20" s="81">
        <v>10.0</v>
      </c>
      <c r="R20" s="128" t="s">
        <v>72</v>
      </c>
      <c r="S20" s="81" t="s">
        <v>58</v>
      </c>
      <c r="T20" s="86">
        <v>42339.0</v>
      </c>
    </row>
    <row r="21">
      <c r="A21" s="131" t="str">
        <f>HYPERLINK("https://phillipreeve.net/blog/voigtlander-21mm-f35-review/","Voigtlander 21mm F3.5 Color-Skopar")</f>
        <v>Voigtlander 21mm F3.5 Color-Skopar</v>
      </c>
      <c r="B21" s="76">
        <v>230.0</v>
      </c>
      <c r="C21" s="77">
        <v>21.0</v>
      </c>
      <c r="D21" s="78">
        <v>3.5</v>
      </c>
      <c r="E21" s="144">
        <v>63.0</v>
      </c>
      <c r="F21" s="151">
        <v>40.0</v>
      </c>
      <c r="G21" s="84" t="s">
        <v>24</v>
      </c>
      <c r="H21" s="82" t="s">
        <v>71</v>
      </c>
      <c r="I21" s="346"/>
      <c r="J21" s="87">
        <v>699.0</v>
      </c>
      <c r="K21" s="88" t="str">
        <f>HYPERLINK("https://amzn.to/2JCie75","link*")</f>
        <v>link*</v>
      </c>
      <c r="L21" s="88" t="str">
        <f>HYPERLINK("https://www.bhphotovideo.com/c/product/1437613-REG/voigtlander_color_skopar_21mm_f_3_5_aspherical.html/BI/19619/KBID/12129/kw/VO2135E/DFF/d10-v2-t1-xVO2135E","link*")</f>
        <v>link*</v>
      </c>
      <c r="M21" s="88" t="str">
        <f>HYPERLINK("https://amzn.to/2ZoERan","link*")</f>
        <v>link*</v>
      </c>
      <c r="N21"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21" s="83">
        <v>20.0</v>
      </c>
      <c r="P21" s="84" t="s">
        <v>26</v>
      </c>
      <c r="Q21" s="81">
        <v>10.0</v>
      </c>
      <c r="R21" s="128" t="s">
        <v>60</v>
      </c>
      <c r="S21" s="81" t="s">
        <v>28</v>
      </c>
      <c r="T21" s="86">
        <v>43374.0</v>
      </c>
    </row>
    <row r="22" hidden="1">
      <c r="A22" s="131" t="str">
        <f>HYPERLINK("https://phillipreeve.net/blog/review-sony-fe-24mm-1-4-gm/","Sony GM 1.4/24")</f>
        <v>Sony GM 1.4/24</v>
      </c>
      <c r="B22" s="76">
        <v>445.0</v>
      </c>
      <c r="C22" s="77">
        <v>24.0</v>
      </c>
      <c r="D22" s="149">
        <v>1.4</v>
      </c>
      <c r="E22" s="144">
        <v>75.0</v>
      </c>
      <c r="F22" s="145">
        <v>92.0</v>
      </c>
      <c r="G22" s="84" t="s">
        <v>30</v>
      </c>
      <c r="H22" s="82" t="s">
        <v>53</v>
      </c>
      <c r="I22" s="81">
        <v>0.17</v>
      </c>
      <c r="J22" s="87">
        <v>1399.0</v>
      </c>
      <c r="K22" s="88" t="str">
        <f>HYPERLINK("https://amzn.to/2ywcbw1","link*")</f>
        <v>link*</v>
      </c>
      <c r="L22" s="88" t="str">
        <f>HYPERLINK("https://www.bhphotovideo.com/c/product/1435887-REG/sony_fe_24mm_f_1_4_gm.html/BI/19619/KBID/12129/DFF/d10-v21-t1-x915647/SID/EZ","link*")</f>
        <v>link*</v>
      </c>
      <c r="M22" s="88" t="str">
        <f>HYPERLINK("https://amzn.to/2L2tV9y","link*")</f>
        <v>link*</v>
      </c>
      <c r="N22" s="88" t="str">
        <f>HYPERLINK("https://amzn.to/338yg28","link*")</f>
        <v>link*</v>
      </c>
      <c r="O22" s="83">
        <v>25.0</v>
      </c>
      <c r="P22" s="84" t="s">
        <v>26</v>
      </c>
      <c r="Q22" s="81">
        <v>11.0</v>
      </c>
      <c r="R22" s="128" t="s">
        <v>27</v>
      </c>
      <c r="S22" s="81" t="s">
        <v>32</v>
      </c>
      <c r="T22" s="86">
        <v>43374.0</v>
      </c>
    </row>
    <row r="23">
      <c r="A23" s="75" t="s">
        <v>73</v>
      </c>
      <c r="B23" s="76">
        <v>665.0</v>
      </c>
      <c r="C23" s="77">
        <v>24.0</v>
      </c>
      <c r="D23" s="149">
        <v>1.4</v>
      </c>
      <c r="E23" s="144">
        <v>85.0</v>
      </c>
      <c r="F23" s="145">
        <v>90.0</v>
      </c>
      <c r="G23" s="81" t="s">
        <v>30</v>
      </c>
      <c r="H23" s="82" t="s">
        <v>56</v>
      </c>
      <c r="I23" s="81">
        <v>0.19</v>
      </c>
      <c r="J23" s="87">
        <v>849.0</v>
      </c>
      <c r="K23" s="88" t="str">
        <f>HYPERLINK("https://amzn.to/2Isw2Rv","link*")</f>
        <v>link*</v>
      </c>
      <c r="L23" s="88" t="str">
        <f>HYPERLINK("https://www.bhphotovideo.com/c/product/1393491-REG/sigma_24mm_f_1_4_dg_hsm.html/BI/19619/KBID/12129/kw/SI2414SO/DFF/d10-v2-t1-xSI2414SO","link*")</f>
        <v>link*</v>
      </c>
      <c r="M23" s="88" t="str">
        <f>HYPERLINK("https://amzn.to/2K7sIP4","link*")</f>
        <v>link*</v>
      </c>
      <c r="N23"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23" s="83">
        <v>25.0</v>
      </c>
      <c r="P23" s="84" t="s">
        <v>26</v>
      </c>
      <c r="Q23" s="81">
        <v>9.0</v>
      </c>
      <c r="R23" s="123">
        <v>43784.0</v>
      </c>
      <c r="S23" s="81" t="s">
        <v>41</v>
      </c>
      <c r="T23" s="86">
        <v>43221.0</v>
      </c>
      <c r="U23" s="68" t="s">
        <v>42</v>
      </c>
    </row>
    <row r="24">
      <c r="A24" s="131" t="str">
        <f>HYPERLINK("https://phillipreeve.net/blog/review-samyang-af-2-4-28-fe-at-least-its-small/","Samyang AF 24mm F/2.8")</f>
        <v>Samyang AF 24mm F/2.8</v>
      </c>
      <c r="B24" s="76">
        <v>93.0</v>
      </c>
      <c r="C24" s="77">
        <v>24.0</v>
      </c>
      <c r="D24" s="78">
        <v>2.8</v>
      </c>
      <c r="E24" s="144">
        <v>61.0</v>
      </c>
      <c r="F24" s="151">
        <v>37.0</v>
      </c>
      <c r="G24" s="84" t="s">
        <v>30</v>
      </c>
      <c r="H24" s="82" t="s">
        <v>74</v>
      </c>
      <c r="I24" s="81">
        <v>0.15</v>
      </c>
      <c r="J24" s="129">
        <v>279.0</v>
      </c>
      <c r="K24" s="88" t="str">
        <f>HYPERLINK("https://amzn.to/2NEHZ7c","link*")</f>
        <v>link*</v>
      </c>
      <c r="L24" s="88" t="str">
        <f>HYPERLINK("https://www.bhphotovideo.com/c/product/1413350-REG/samyang_syio24af_e_af_24mm_f_2_8_fe.html/BI/19619/KBID/12129/kw/SASYIO24AFE/DFF/d10-v2-t1-xSASYIO24AFE","link*")</f>
        <v>link*</v>
      </c>
      <c r="M24" s="88" t="str">
        <f>HYPERLINK("https://amzn.to/2Onv1QE","link*")</f>
        <v>link*</v>
      </c>
      <c r="N24"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24" s="83">
        <v>20.0</v>
      </c>
      <c r="P24" s="84" t="s">
        <v>26</v>
      </c>
      <c r="Q24" s="81">
        <v>9.0</v>
      </c>
      <c r="R24" s="128" t="s">
        <v>75</v>
      </c>
      <c r="S24" s="81" t="s">
        <v>46</v>
      </c>
      <c r="T24" s="86">
        <v>43282.0</v>
      </c>
    </row>
    <row r="25" hidden="1">
      <c r="A25" s="152" t="str">
        <f>HYPERLINK("https://phillipreeve.net/blog/review-sony-fe-2-824-70mm-gm/","Sony GM 2.8/24-70")</f>
        <v>Sony GM 2.8/24-70</v>
      </c>
      <c r="B25" s="76">
        <v>886.0</v>
      </c>
      <c r="C25" s="77">
        <v>24.0</v>
      </c>
      <c r="D25" s="78">
        <v>2.8</v>
      </c>
      <c r="E25" s="144">
        <v>88.0</v>
      </c>
      <c r="F25" s="151">
        <v>136.0</v>
      </c>
      <c r="G25" s="84" t="s">
        <v>30</v>
      </c>
      <c r="H25" s="82" t="s">
        <v>51</v>
      </c>
      <c r="I25" s="140">
        <v>0.25</v>
      </c>
      <c r="J25" s="87">
        <v>2199.0</v>
      </c>
      <c r="K25" s="88" t="str">
        <f>HYPERLINK("https://amzn.to/2STHavK","link*")</f>
        <v>link*</v>
      </c>
      <c r="L25" s="88" t="str">
        <f>HYPERLINK("https://www.bhphotovideo.com/c/search?Ntt=gm%2024-70&amp;N=0&amp;InitialSearch=yes&amp;sts=ma&amp;Top+Nav-Search=&amp;BI=19619&amp;KBID=12129&amp;KWID=EZ","link*")</f>
        <v>link*</v>
      </c>
      <c r="M25" s="88" t="str">
        <f>HYPERLINK("https://amzn.to/2ZwoyU7","link*")</f>
        <v>link*</v>
      </c>
      <c r="N25"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25" s="83">
        <v>38.0</v>
      </c>
      <c r="P25" s="84" t="s">
        <v>26</v>
      </c>
      <c r="Q25" s="81">
        <v>11.0</v>
      </c>
      <c r="R25" s="128" t="s">
        <v>44</v>
      </c>
      <c r="S25" s="81" t="s">
        <v>32</v>
      </c>
      <c r="T25" s="86">
        <v>42401.0</v>
      </c>
    </row>
    <row r="26">
      <c r="A26" s="75" t="s">
        <v>79</v>
      </c>
      <c r="B26" s="76">
        <v>780.0</v>
      </c>
      <c r="C26" s="77">
        <v>24.0</v>
      </c>
      <c r="D26" s="78" t="s">
        <v>80</v>
      </c>
      <c r="E26" s="144">
        <v>80.0</v>
      </c>
      <c r="F26" s="151">
        <v>119.0</v>
      </c>
      <c r="G26" s="84" t="s">
        <v>30</v>
      </c>
      <c r="H26" s="82" t="s">
        <v>48</v>
      </c>
      <c r="I26" s="140">
        <v>0.27</v>
      </c>
      <c r="J26" s="87">
        <v>998.0</v>
      </c>
      <c r="K26" s="88" t="str">
        <f>HYPERLINK("http://amzn.to/2fbX5FU","link*")</f>
        <v>link*</v>
      </c>
      <c r="L26" s="88" t="str">
        <f>HYPERLINK("https://www.bhphotovideo.com/c/search?Ntt=sony%2024-240&amp;N=0&amp;InitialSearch=yes&amp;sts=ma&amp;Top+Nav-Search=&amp;BI=19619&amp;KBID=12129&amp;KWID=EZ","link*")</f>
        <v>link*</v>
      </c>
      <c r="M26" s="88" t="str">
        <f>HYPERLINK("http://amzn.to/2wyrL7A","link*")</f>
        <v>link*</v>
      </c>
      <c r="N26"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26" s="83">
        <v>50.0</v>
      </c>
      <c r="P26" s="154" t="s">
        <v>49</v>
      </c>
      <c r="Q26" s="81">
        <v>7.0</v>
      </c>
      <c r="R26" s="128" t="s">
        <v>81</v>
      </c>
      <c r="S26" s="81" t="s">
        <v>32</v>
      </c>
      <c r="T26" s="86">
        <v>42064.0</v>
      </c>
    </row>
    <row r="27" hidden="1">
      <c r="A27" s="75" t="s">
        <v>82</v>
      </c>
      <c r="B27" s="76">
        <v>663.0</v>
      </c>
      <c r="C27" s="77">
        <v>24.0</v>
      </c>
      <c r="D27" s="78">
        <v>4.0</v>
      </c>
      <c r="E27" s="144">
        <v>83.0</v>
      </c>
      <c r="F27" s="145">
        <v>113.0</v>
      </c>
      <c r="G27" s="84" t="s">
        <v>30</v>
      </c>
      <c r="H27" s="82" t="s">
        <v>56</v>
      </c>
      <c r="I27" s="140">
        <v>0.31</v>
      </c>
      <c r="J27" s="87">
        <v>1398.0</v>
      </c>
      <c r="K27" s="88" t="str">
        <f>HYPERLINK("https://amzn.to/2K7LwMR","link*")</f>
        <v>link*</v>
      </c>
      <c r="L27" s="88" t="str">
        <f>HYPERLINK("https://www.bhphotovideo.com/c/search?Ntt=sony%2024-105&amp;N=0&amp;InitialSearch=yes&amp;sts=ma&amp;Top+Nav-Search=&amp;BI=19619&amp;KBID=12129&amp;KWID=EZ","link*")</f>
        <v>link*</v>
      </c>
      <c r="M27" s="88" t="str">
        <f>HYPERLINK("https://amzn.to/2Ld8hOS","link*")</f>
        <v>link*</v>
      </c>
      <c r="N27"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27" s="83">
        <v>38.0</v>
      </c>
      <c r="P27" s="154" t="s">
        <v>49</v>
      </c>
      <c r="Q27" s="81">
        <v>9.0</v>
      </c>
      <c r="R27" s="128" t="s">
        <v>35</v>
      </c>
      <c r="S27" s="81" t="s">
        <v>32</v>
      </c>
      <c r="T27" s="86">
        <v>43009.0</v>
      </c>
    </row>
    <row r="28">
      <c r="A28" s="131" t="str">
        <f>HYPERLINK("https://phillipreeve.net/blog/rolling-review-carl-zeiss-vario-tessar-t-fe-424-70-za/","Sony ZA 4/24-70 OSS")</f>
        <v>Sony ZA 4/24-70 OSS</v>
      </c>
      <c r="B28" s="76">
        <v>426.0</v>
      </c>
      <c r="C28" s="77">
        <v>24.0</v>
      </c>
      <c r="D28" s="78">
        <v>4.0</v>
      </c>
      <c r="E28" s="144">
        <v>73.0</v>
      </c>
      <c r="F28" s="145">
        <v>95.0</v>
      </c>
      <c r="G28" s="84" t="s">
        <v>30</v>
      </c>
      <c r="H28" s="82" t="s">
        <v>53</v>
      </c>
      <c r="I28" s="81">
        <v>0.2</v>
      </c>
      <c r="J28" s="87">
        <v>898.0</v>
      </c>
      <c r="K28" s="88" t="str">
        <f>HYPERLINK("http://amzn.to/2vlG2Yq","link*")</f>
        <v>link*</v>
      </c>
      <c r="L28" s="88" t="str">
        <f>HYPERLINK("https://www.bhphotovideo.com/c/product/1008126-REG/sony_sel2470z_vario_tessar_t_fe_24_70mm.html/BI/19619/KBID/12129/DFF/d10-v21-t1-x466842/SID/EZ","link*")</f>
        <v>link*</v>
      </c>
      <c r="M28" s="88" t="str">
        <f>HYPERLINK("http://amzn.to/2fl1XZk","link*")</f>
        <v>link*</v>
      </c>
      <c r="N28"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28" s="83">
        <v>40.0</v>
      </c>
      <c r="P28" s="154" t="s">
        <v>49</v>
      </c>
      <c r="Q28" s="81">
        <v>7.0</v>
      </c>
      <c r="R28" s="128" t="s">
        <v>38</v>
      </c>
      <c r="S28" s="81" t="s">
        <v>32</v>
      </c>
      <c r="T28" s="86">
        <v>41640.0</v>
      </c>
    </row>
    <row r="29" hidden="1">
      <c r="A29" s="131" t="str">
        <f>HYPERLINK("https://phillipreeve.net/blog/review-zeiss-batis-distagon-t-25mm-f2/","Zeiss Batis 2/25")</f>
        <v>Zeiss Batis 2/25</v>
      </c>
      <c r="B29" s="76">
        <v>335.0</v>
      </c>
      <c r="C29" s="77">
        <v>25.0</v>
      </c>
      <c r="D29" s="78">
        <v>2.0</v>
      </c>
      <c r="E29" s="144">
        <v>92.0</v>
      </c>
      <c r="F29" s="145">
        <v>78.0</v>
      </c>
      <c r="G29" s="84" t="s">
        <v>30</v>
      </c>
      <c r="H29" s="82" t="s">
        <v>53</v>
      </c>
      <c r="I29" s="81">
        <v>0.19</v>
      </c>
      <c r="J29" s="87">
        <v>1299.0</v>
      </c>
      <c r="K29" s="88" t="str">
        <f>HYPERLINK("https://amzn.to/2ypHQiT","link*")</f>
        <v>link*</v>
      </c>
      <c r="L29" s="88" t="str">
        <f>HYPERLINK("https://www.bhphotovideo.com/c/product/1140832-REG/zeiss_2103_750_25mm_f_2_0_batis_wide.html/BI/19619/KBID/12129/DFF/d10-v21-t1-x627141/SID/EZ","link*")</f>
        <v>link*</v>
      </c>
      <c r="M29" s="88" t="str">
        <f>HYPERLINK("https://amzn.to/2L20DIj","link*")</f>
        <v>link*</v>
      </c>
      <c r="N29"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29" s="83">
        <v>20.0</v>
      </c>
      <c r="P29" s="84" t="s">
        <v>26</v>
      </c>
      <c r="Q29" s="81">
        <v>9.0</v>
      </c>
      <c r="R29" s="128" t="s">
        <v>83</v>
      </c>
      <c r="S29" s="81" t="s">
        <v>58</v>
      </c>
      <c r="T29" s="86">
        <v>42125.0</v>
      </c>
    </row>
    <row r="30" hidden="1">
      <c r="A30" s="131" t="str">
        <f>HYPERLINK("https://phillipreeve.net/blog/review-zeiss-loxia-2-4-25mm-distagon/","Zeiss Loxia 2.4/25")</f>
        <v>Zeiss Loxia 2.4/25</v>
      </c>
      <c r="B30" s="76">
        <v>393.0</v>
      </c>
      <c r="C30" s="77">
        <v>25.0</v>
      </c>
      <c r="D30" s="78">
        <v>2.4</v>
      </c>
      <c r="E30" s="144">
        <v>62.0</v>
      </c>
      <c r="F30" s="145">
        <v>75.0</v>
      </c>
      <c r="G30" s="84" t="s">
        <v>24</v>
      </c>
      <c r="H30" s="82" t="s">
        <v>71</v>
      </c>
      <c r="I30" s="81">
        <v>0.16</v>
      </c>
      <c r="J30" s="87">
        <v>1299.0</v>
      </c>
      <c r="K30" s="88" t="str">
        <f>HYPERLINK("https://amzn.to/2OlyeAf","link*")</f>
        <v>link*</v>
      </c>
      <c r="L30" s="88" t="str">
        <f>HYPERLINK("https://www.bhphotovideo.com/c/product/1389169-REG/zeiss_000000_2218_783_loxia_25mm_f_2_4_lens.html/BI/19619/KBID/12129/kw/ZE2524L/DFF/d10-v2-t1-xZE2524L","link*")</f>
        <v>link*</v>
      </c>
      <c r="M30" s="88" t="str">
        <f>HYPERLINK("https://amzn.to/2OlyeAf","link*")</f>
        <v>link*</v>
      </c>
      <c r="N30"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30" s="83">
        <v>25.0</v>
      </c>
      <c r="P30" s="84" t="s">
        <v>26</v>
      </c>
      <c r="Q30" s="81">
        <v>10.0</v>
      </c>
      <c r="R30" s="128" t="s">
        <v>83</v>
      </c>
      <c r="S30" s="81" t="s">
        <v>58</v>
      </c>
      <c r="T30" s="86">
        <v>43160.0</v>
      </c>
    </row>
    <row r="31" hidden="1">
      <c r="A31" s="75" t="s">
        <v>84</v>
      </c>
      <c r="B31" s="76">
        <v>965.0</v>
      </c>
      <c r="C31" s="77">
        <v>28.0</v>
      </c>
      <c r="D31" s="78">
        <v>1.4</v>
      </c>
      <c r="E31" s="144">
        <v>83.0</v>
      </c>
      <c r="F31" s="145">
        <v>134.0</v>
      </c>
      <c r="G31" s="84" t="s">
        <v>30</v>
      </c>
      <c r="H31" s="82" t="s">
        <v>56</v>
      </c>
      <c r="I31" s="81">
        <v>0.19</v>
      </c>
      <c r="J31" s="87">
        <v>1399.0</v>
      </c>
      <c r="K31" s="88" t="str">
        <f>HYPERLINK("https://amzn.to/2Wn0pxO","link*")</f>
        <v>link*</v>
      </c>
      <c r="L31" s="88" t="str">
        <f>HYPERLINK("https://www.bhphotovideo.com/c/product/1436285-REG/sigma_28mm_f_1_4_dg_hsm.html/BI/19619/KBID/12129/kw/SI2814DGSE/DFF/d10-v2-t1-xSI2814DGSE","link*")</f>
        <v>link*</v>
      </c>
      <c r="M31" s="88" t="str">
        <f>HYPERLINK("https://amzn.to/2WzVkHd","link*")</f>
        <v>link*</v>
      </c>
      <c r="N31" s="88"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31" s="83">
        <v>28.0</v>
      </c>
      <c r="P31" s="84" t="s">
        <v>26</v>
      </c>
      <c r="Q31" s="81">
        <v>9.0</v>
      </c>
      <c r="R31" s="128" t="s">
        <v>81</v>
      </c>
      <c r="S31" s="81" t="s">
        <v>41</v>
      </c>
      <c r="T31" s="86">
        <v>43435.0</v>
      </c>
    </row>
    <row r="32">
      <c r="A32" s="131" t="str">
        <f>HYPERLINK("https://www.systemkamera-forum.de/blog/2015/05/sony-fe-28mm-f2-test-und-erfahrungsbericht/","Sony FE 2/28")</f>
        <v>Sony FE 2/28</v>
      </c>
      <c r="B32" s="76">
        <v>200.0</v>
      </c>
      <c r="C32" s="77">
        <v>28.0</v>
      </c>
      <c r="D32" s="78">
        <v>2.0</v>
      </c>
      <c r="E32" s="144">
        <v>60.0</v>
      </c>
      <c r="F32" s="145">
        <v>60.0</v>
      </c>
      <c r="G32" s="84" t="s">
        <v>30</v>
      </c>
      <c r="H32" s="82" t="s">
        <v>74</v>
      </c>
      <c r="I32" s="81">
        <v>0.13</v>
      </c>
      <c r="J32" s="153">
        <v>448.0</v>
      </c>
      <c r="K32" s="88" t="str">
        <f>HYPERLINK("https://amzn.to/2GXJWdo","link*")</f>
        <v>link*</v>
      </c>
      <c r="L32" s="88" t="str">
        <f>HYPERLINK("https://www.bhphotovideo.com/c/product/1402637-REG/sony_fe_28mm_f_2_lens.html/BI/19619/KBID/12129/kw/SO2820F/DFF/d10-v2-t1-xSO2820F","link*")</f>
        <v>link*</v>
      </c>
      <c r="M32" s="88" t="str">
        <f>HYPERLINK("http://amzn.to/2wyLOCO","link*")</f>
        <v>link*</v>
      </c>
      <c r="N32"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32" s="83">
        <v>29.0</v>
      </c>
      <c r="P32" s="84" t="s">
        <v>26</v>
      </c>
      <c r="Q32" s="81">
        <v>9.0</v>
      </c>
      <c r="R32" s="128" t="s">
        <v>60</v>
      </c>
      <c r="S32" s="81" t="s">
        <v>32</v>
      </c>
      <c r="T32" s="86">
        <v>42064.0</v>
      </c>
    </row>
    <row r="33">
      <c r="A33" s="131" t="str">
        <f>HYPERLINK("https://phillipreeve.net/blog/review-tamron-28-75mm-f-2-8-di-iii-rxd-sony-e-mount/","Tamron 2.8/28-75")</f>
        <v>Tamron 2.8/28-75</v>
      </c>
      <c r="B33" s="76">
        <v>550.0</v>
      </c>
      <c r="C33" s="77">
        <v>28.0</v>
      </c>
      <c r="D33" s="78">
        <v>2.8</v>
      </c>
      <c r="E33" s="144">
        <v>73.0</v>
      </c>
      <c r="F33" s="145">
        <v>118.0</v>
      </c>
      <c r="G33" s="84" t="s">
        <v>30</v>
      </c>
      <c r="H33" s="82" t="s">
        <v>53</v>
      </c>
      <c r="I33" s="140">
        <v>0.34</v>
      </c>
      <c r="J33" s="153">
        <v>879.0</v>
      </c>
      <c r="K33" s="88" t="str">
        <f>HYPERLINK("https://amzn.to/2ST5uxq","link*")</f>
        <v>link*</v>
      </c>
      <c r="L33" s="88" t="str">
        <f>HYPERLINK("https://www.bhphotovideo.com/c/product/1393332-REG/tamron_a036_28_75mm_f_2_8_di_iii.html/BI/19619/KBID/12129/DFF/d10-v21-t1-x892059/SID/EZ","link*")</f>
        <v>link*</v>
      </c>
      <c r="M33" s="88" t="str">
        <f>HYPERLINK("https://amzn.to/2ZmSzdU","link*")</f>
        <v>link*</v>
      </c>
      <c r="N33"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33" s="83">
        <v>19.0</v>
      </c>
      <c r="P33" s="84" t="s">
        <v>26</v>
      </c>
      <c r="Q33" s="81">
        <v>9.0</v>
      </c>
      <c r="R33" s="128" t="s">
        <v>85</v>
      </c>
      <c r="S33" s="81" t="s">
        <v>55</v>
      </c>
      <c r="T33" s="86">
        <v>43252.0</v>
      </c>
    </row>
    <row r="34">
      <c r="A34" s="75" t="s">
        <v>88</v>
      </c>
      <c r="B34" s="76">
        <v>295.0</v>
      </c>
      <c r="C34" s="77">
        <v>28.0</v>
      </c>
      <c r="D34" s="78" t="s">
        <v>89</v>
      </c>
      <c r="E34" s="144">
        <v>73.0</v>
      </c>
      <c r="F34" s="145">
        <v>83.0</v>
      </c>
      <c r="G34" s="84" t="s">
        <v>30</v>
      </c>
      <c r="H34" s="82" t="s">
        <v>90</v>
      </c>
      <c r="I34" s="81">
        <v>0.19</v>
      </c>
      <c r="J34" s="87">
        <v>398.0</v>
      </c>
      <c r="K34" s="88" t="str">
        <f>HYPERLINK("https://www.amazon.com/gp/product/B00FYOFADE/ref=as_li_tl?ie=UTF8&amp;tag=wwwphillipree-20&amp;camp=1789&amp;creative=9325&amp;linkCode=as2&amp;creativeASIN=B00FYOFADE&amp;linkId=96720b245156eae53bb1a672d4453d3f","link*")</f>
        <v>link*</v>
      </c>
      <c r="L34" s="88" t="str">
        <f>HYPERLINK("https://www.bhphotovideo.com/c/product/1015472-REG/sony_sel2870_fe_28_70mm_f_3_5_5_6_oss.html/BI/19619/KBID/12129/DFF/d10-v21-t1-x473993/SID/EZ","link*")</f>
        <v>link*</v>
      </c>
      <c r="M34" s="88" t="str">
        <f>HYPERLINK("https://www.amazon.de/gp/product/B00HSHFPD0/ref=as_li_tl?ie=UTF8&amp;tag=wwwphillipree-21&amp;camp=1638&amp;creative=6742&amp;linkCode=as2&amp;creativeASIN=B00HSHFPD0&amp;linkId=6701f30673f8a4071232ca85e1953506","link*")</f>
        <v>link*</v>
      </c>
      <c r="N34"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34" s="83">
        <v>30.0</v>
      </c>
      <c r="P34" s="154" t="s">
        <v>49</v>
      </c>
      <c r="Q34" s="81">
        <v>7.0</v>
      </c>
      <c r="R34" s="128" t="s">
        <v>60</v>
      </c>
      <c r="S34" s="81" t="s">
        <v>32</v>
      </c>
      <c r="T34" s="86">
        <v>41548.0</v>
      </c>
    </row>
    <row r="35">
      <c r="A35" s="75" t="s">
        <v>91</v>
      </c>
      <c r="B35" s="76">
        <v>1215.0</v>
      </c>
      <c r="C35" s="77">
        <v>28.0</v>
      </c>
      <c r="D35" s="78">
        <v>4.0</v>
      </c>
      <c r="E35" s="144">
        <v>105.0</v>
      </c>
      <c r="F35" s="145">
        <v>165.0</v>
      </c>
      <c r="G35" s="84" t="s">
        <v>30</v>
      </c>
      <c r="H35" s="382" t="s">
        <v>92</v>
      </c>
      <c r="I35" s="346"/>
      <c r="J35" s="87">
        <v>249.0</v>
      </c>
      <c r="K35" s="88" t="str">
        <f>HYPERLINK("http://amzn.to/2v2kiy9","link*")</f>
        <v>link*</v>
      </c>
      <c r="L35" s="88" t="str">
        <f>HYPERLINK("https://www.bhphotovideo.com/c/product/1082051-REG/sony_selp28135g_e_pz_28_135mm_f_4.html/BI/19619/KBID/12129/DFF/d10-v21-t1-x556056/SID/EZ","link*")</f>
        <v>link*</v>
      </c>
      <c r="M35" s="88" t="str">
        <f>HYPERLINK("http://amzn.to/2wlpg9b","link*")</f>
        <v>link*</v>
      </c>
      <c r="N35"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35" s="83">
        <v>40.0</v>
      </c>
      <c r="P35" s="154" t="s">
        <v>49</v>
      </c>
      <c r="Q35" s="81">
        <v>9.0</v>
      </c>
      <c r="R35" s="128" t="s">
        <v>93</v>
      </c>
      <c r="S35" s="81" t="s">
        <v>32</v>
      </c>
      <c r="T35" s="86">
        <v>41883.0</v>
      </c>
      <c r="U35" s="68" t="s">
        <v>94</v>
      </c>
    </row>
    <row r="36" hidden="1" customHeight="1">
      <c r="A36" s="131" t="str">
        <f>HYPERLINK("https://phillipreeve.net/blog/review-sigma-35mm-1-2-art-dg-dn/","Sigma Art 1.2/35")</f>
        <v>Sigma Art 1.2/35</v>
      </c>
      <c r="B36" s="76">
        <v>1090.0</v>
      </c>
      <c r="C36" s="77">
        <v>35.0</v>
      </c>
      <c r="D36" s="383">
        <v>1.2</v>
      </c>
      <c r="E36" s="144">
        <v>88.0</v>
      </c>
      <c r="F36" s="145">
        <v>136.0</v>
      </c>
      <c r="G36" s="81" t="s">
        <v>30</v>
      </c>
      <c r="H36" s="270" t="s">
        <v>51</v>
      </c>
      <c r="I36" s="81">
        <v>0.19</v>
      </c>
      <c r="J36" s="87">
        <v>1499.0</v>
      </c>
      <c r="K36" s="88" t="str">
        <f>HYPERLINK("https://amzn.to/2LiHhxc","link*")</f>
        <v>link*</v>
      </c>
      <c r="L36" s="88" t="str">
        <f>HYPERLINK("https://www.bhphotovideo.com/c/product/1492967-REG/sigma_341969_35mm_f_1_2_dg_dn.html/BI/19619/KBID/12129/DFF/d10-v21-t1-x976038/SID/EZ","link*")</f>
        <v>link*</v>
      </c>
      <c r="M36" s="89"/>
      <c r="N36" s="88"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36" s="83">
        <v>30.0</v>
      </c>
      <c r="P36" s="84" t="s">
        <v>26</v>
      </c>
      <c r="Q36" s="81">
        <v>11.0</v>
      </c>
      <c r="R36" s="123">
        <v>43816.0</v>
      </c>
      <c r="S36" s="81" t="s">
        <v>41</v>
      </c>
      <c r="T36" s="86">
        <v>43647.0</v>
      </c>
    </row>
    <row r="37" hidden="1">
      <c r="A37" s="131" t="str">
        <f>HYPERLINK("https://phillipreeve.net/blog/review-sony-fe-35mm-1-4-za/","Sony ZA 1.4/35")</f>
        <v>Sony ZA 1.4/35</v>
      </c>
      <c r="B37" s="76">
        <v>630.0</v>
      </c>
      <c r="C37" s="77">
        <v>35.0</v>
      </c>
      <c r="D37" s="78">
        <v>1.4</v>
      </c>
      <c r="E37" s="144">
        <v>79.0</v>
      </c>
      <c r="F37" s="145">
        <v>112.0</v>
      </c>
      <c r="G37" s="81" t="s">
        <v>30</v>
      </c>
      <c r="H37" s="82" t="s">
        <v>48</v>
      </c>
      <c r="I37" s="81">
        <v>0.18</v>
      </c>
      <c r="J37" s="87">
        <v>1599.0</v>
      </c>
      <c r="K37" s="88" t="str">
        <f>HYPERLINK("https://amzn.to/2LRSMOS","link*")</f>
        <v>link*</v>
      </c>
      <c r="L37" s="88" t="str">
        <f>HYPERLINK("https://www.bhphotovideo.com/c/product/1126137-REG/sony_sel35f14z_distagon_t_fe_35mm.html/BI/19619/KBID/12129/DFF/d10-v21-t1-x612725/SID/EZ","link*")</f>
        <v>link*</v>
      </c>
      <c r="M37" s="88" t="str">
        <f>HYPERLINK("https://amzn.to/2ZmfSnX","link*")</f>
        <v>link*</v>
      </c>
      <c r="N37"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37" s="83">
        <v>30.0</v>
      </c>
      <c r="P37" s="84" t="s">
        <v>26</v>
      </c>
      <c r="Q37" s="81">
        <v>9.0</v>
      </c>
      <c r="R37" s="123">
        <v>43689.0</v>
      </c>
      <c r="S37" s="81" t="s">
        <v>32</v>
      </c>
      <c r="T37" s="86">
        <v>42064.0</v>
      </c>
    </row>
    <row r="38">
      <c r="A38" s="75" t="s">
        <v>226</v>
      </c>
      <c r="B38" s="76">
        <v>645.0</v>
      </c>
      <c r="C38" s="77">
        <v>35.0</v>
      </c>
      <c r="D38" s="78">
        <v>1.4</v>
      </c>
      <c r="E38" s="144">
        <v>76.0</v>
      </c>
      <c r="F38" s="151">
        <v>115.0</v>
      </c>
      <c r="G38" s="81" t="s">
        <v>30</v>
      </c>
      <c r="H38" s="82" t="s">
        <v>53</v>
      </c>
      <c r="I38" s="81">
        <v>0.17</v>
      </c>
      <c r="J38" s="87">
        <v>799.0</v>
      </c>
      <c r="K38" s="88" t="str">
        <f>HYPERLINK("https://amzn.to/2K8DDXH","link*")</f>
        <v>link*</v>
      </c>
      <c r="L38" s="88" t="str">
        <f t="shared" ref="L38:L39" si="1">HYPERLINK("https://www.bhphotovideo.com/c/product/1381712-REG/voigtlander_nokton_classic_35mm_f_1_4.html/BI/19619/KBID/12129/DFF/d10-v21-t1-x877353/SID/EZ","link*")</f>
        <v>link*</v>
      </c>
      <c r="M38" s="88" t="str">
        <f>HYPERLINK("https://amzn.to/2Zhl3FI","link*")</f>
        <v>link*</v>
      </c>
      <c r="N38"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38" s="83">
        <v>30.0</v>
      </c>
      <c r="P38" s="84" t="s">
        <v>26</v>
      </c>
      <c r="Q38" s="81">
        <v>9.0</v>
      </c>
      <c r="R38" s="123">
        <v>43719.0</v>
      </c>
      <c r="S38" s="81" t="s">
        <v>46</v>
      </c>
      <c r="T38" s="86">
        <v>43009.0</v>
      </c>
      <c r="U38" s="68" t="s">
        <v>99</v>
      </c>
    </row>
    <row r="39">
      <c r="A39" s="131" t="str">
        <f>HYPERLINK("https://phillipreeve.net/blog/review-voigtlander-35mm-1-4-nokton-e-classic/","Voigtlander 35mm F1.4 Nokton Classic")</f>
        <v>Voigtlander 35mm F1.4 Nokton Classic</v>
      </c>
      <c r="B39" s="76">
        <v>262.0</v>
      </c>
      <c r="C39" s="77">
        <v>35.0</v>
      </c>
      <c r="D39" s="78">
        <v>1.4</v>
      </c>
      <c r="E39" s="144">
        <v>67.0</v>
      </c>
      <c r="F39" s="151">
        <v>40.0</v>
      </c>
      <c r="G39" s="81" t="s">
        <v>24</v>
      </c>
      <c r="H39" s="82" t="s">
        <v>47</v>
      </c>
      <c r="I39" s="81">
        <v>0.16</v>
      </c>
      <c r="J39" s="87">
        <v>799.0</v>
      </c>
      <c r="K39" s="88" t="str">
        <f>HYPERLINK("https://amzn.to/2M1M8WH","link*")</f>
        <v>link*</v>
      </c>
      <c r="L39" s="88" t="str">
        <f t="shared" si="1"/>
        <v>link*</v>
      </c>
      <c r="M39" s="88" t="str">
        <f>HYPERLINK("https://amzn.to/2ZswTZ3","link*")</f>
        <v>link*</v>
      </c>
      <c r="N39"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39" s="83">
        <v>30.0</v>
      </c>
      <c r="P39" s="84" t="s">
        <v>26</v>
      </c>
      <c r="Q39" s="81">
        <v>10.0</v>
      </c>
      <c r="R39" s="123">
        <v>43624.0</v>
      </c>
      <c r="S39" s="81" t="s">
        <v>28</v>
      </c>
      <c r="T39" s="86">
        <v>43132.0</v>
      </c>
    </row>
    <row r="40" customHeight="1">
      <c r="A40" s="131" t="str">
        <f>HYPERLINK("https://phillipreeve.net/blog/review-sigma-35mm-1-4-art/","Sigma Art 1.4/35")</f>
        <v>Sigma Art 1.4/35</v>
      </c>
      <c r="B40" s="76">
        <v>740.0</v>
      </c>
      <c r="C40" s="77">
        <v>35.0</v>
      </c>
      <c r="D40" s="78">
        <v>1.4</v>
      </c>
      <c r="E40" s="144">
        <v>77.0</v>
      </c>
      <c r="F40" s="151">
        <v>94.0</v>
      </c>
      <c r="G40" s="81" t="s">
        <v>30</v>
      </c>
      <c r="H40" s="82" t="s">
        <v>53</v>
      </c>
      <c r="I40" s="81">
        <v>0.19</v>
      </c>
      <c r="J40" s="153">
        <v>899.0</v>
      </c>
      <c r="K40" s="88" t="str">
        <f>HYPERLINK("https://amzn.to/2LOaQcZ","link*")</f>
        <v>link*</v>
      </c>
      <c r="L40" s="88" t="str">
        <f>HYPERLINK("https://www.bhphotovideo.com/c/product/1393492-REG/sigma_35mm_f_1_4_dg_hsm.html/BI/19619/KBID/12129/DFF/d10-v21-t1-x881157/SID/EZ","link*")</f>
        <v>link*</v>
      </c>
      <c r="M40" s="88" t="str">
        <f>HYPERLINK("https://amzn.to/2ZrfakE","link*")</f>
        <v>link*</v>
      </c>
      <c r="N40"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40" s="83">
        <v>30.0</v>
      </c>
      <c r="P40" s="84" t="s">
        <v>26</v>
      </c>
      <c r="Q40" s="81">
        <v>9.0</v>
      </c>
      <c r="R40" s="123">
        <v>43782.0</v>
      </c>
      <c r="S40" s="81" t="s">
        <v>41</v>
      </c>
      <c r="T40" s="86">
        <v>43221.0</v>
      </c>
      <c r="U40" s="68" t="s">
        <v>42</v>
      </c>
    </row>
    <row r="41">
      <c r="A41" s="75" t="s">
        <v>227</v>
      </c>
      <c r="B41" s="76">
        <v>280.0</v>
      </c>
      <c r="C41" s="77">
        <v>35.0</v>
      </c>
      <c r="D41" s="78">
        <v>1.8</v>
      </c>
      <c r="E41" s="144">
        <v>66.0</v>
      </c>
      <c r="F41" s="151">
        <v>73.0</v>
      </c>
      <c r="G41" s="81" t="s">
        <v>30</v>
      </c>
      <c r="H41" s="82" t="s">
        <v>90</v>
      </c>
      <c r="I41" s="185">
        <v>0.24</v>
      </c>
      <c r="J41" s="87">
        <v>749.0</v>
      </c>
      <c r="K41" s="89"/>
      <c r="L41" s="88" t="str">
        <f>HYPERLINK("https://www.bhphotovideo.com/c/product/1492866-REG/sony_sel35f18f_35mm_f_1_8_fe_lens.html/BI/19619/KBID/12129/DFF/d10-v21-t1-x975763/SID/EZ","link*")</f>
        <v>link*</v>
      </c>
      <c r="M41" s="88" t="str">
        <f>HYPERLINK("https://amzn.to/2PiATLC","link*")</f>
        <v>link*</v>
      </c>
      <c r="N41"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41" s="83">
        <v>22.0</v>
      </c>
      <c r="P41" s="84" t="s">
        <v>26</v>
      </c>
      <c r="Q41" s="81">
        <v>9.0</v>
      </c>
      <c r="R41" s="123">
        <v>43719.0</v>
      </c>
      <c r="S41" s="81" t="s">
        <v>32</v>
      </c>
      <c r="T41" s="86">
        <v>43647.0</v>
      </c>
    </row>
    <row r="42" hidden="1">
      <c r="A42" s="131" t="str">
        <f>HYPERLINK("https://phillipreeve.net/blog/review-zeiss-loxia-35mm-2-0/","Zeiss Loxia 2/35 Biogon T*")</f>
        <v>Zeiss Loxia 2/35 Biogon T*</v>
      </c>
      <c r="B42" s="76">
        <v>340.0</v>
      </c>
      <c r="C42" s="77">
        <v>35.0</v>
      </c>
      <c r="D42" s="78">
        <v>2.0</v>
      </c>
      <c r="E42" s="144">
        <v>62.0</v>
      </c>
      <c r="F42" s="145">
        <v>66.0</v>
      </c>
      <c r="G42" s="81" t="s">
        <v>24</v>
      </c>
      <c r="H42" s="82" t="s">
        <v>71</v>
      </c>
      <c r="I42" s="81">
        <v>0.17</v>
      </c>
      <c r="J42" s="87">
        <v>1299.0</v>
      </c>
      <c r="K42" s="88" t="str">
        <f>HYPERLINK("https://amzn.to/2T2sJWe","link*")</f>
        <v>link*</v>
      </c>
      <c r="L42" s="88" t="str">
        <f>HYPERLINK("https://www.bhphotovideo.com/c/product/1080388-REG/zeiss_2103_749_loxia_35mm_f_2_biogon.html/BI/19619/KBID/12129/DFF/d10-v21-t1-x553792/SID/EZ","link*")</f>
        <v>link*</v>
      </c>
      <c r="M42" s="89" t="s">
        <v>33</v>
      </c>
      <c r="N42"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42" s="83">
        <v>30.0</v>
      </c>
      <c r="P42" s="84" t="s">
        <v>26</v>
      </c>
      <c r="Q42" s="81">
        <v>10.0</v>
      </c>
      <c r="R42" s="123">
        <v>43625.0</v>
      </c>
      <c r="S42" s="81" t="s">
        <v>58</v>
      </c>
      <c r="T42" s="86">
        <v>41974.0</v>
      </c>
      <c r="U42" s="68" t="s">
        <v>101</v>
      </c>
    </row>
    <row r="43">
      <c r="A43" s="131" t="str">
        <f>HYPERLINK("http://www.photozone.de/sonyalphaff/865-zeiss35f28ff","Sony ZA 2.8/35")</f>
        <v>Sony ZA 2.8/35</v>
      </c>
      <c r="B43" s="76">
        <v>120.0</v>
      </c>
      <c r="C43" s="77">
        <v>35.0</v>
      </c>
      <c r="D43" s="78">
        <v>2.8</v>
      </c>
      <c r="E43" s="144">
        <v>62.0</v>
      </c>
      <c r="F43" s="145">
        <v>37.0</v>
      </c>
      <c r="G43" s="81" t="s">
        <v>30</v>
      </c>
      <c r="H43" s="82" t="s">
        <v>74</v>
      </c>
      <c r="I43" s="81">
        <v>0.12</v>
      </c>
      <c r="J43" s="87">
        <v>798.0</v>
      </c>
      <c r="K43" s="88" t="str">
        <f>HYPERLINK("https://amzn.to/2yvhL24","link*")</f>
        <v>link*</v>
      </c>
      <c r="L43" s="88" t="str">
        <f>HYPERLINK("https://www.bhphotovideo.com/c/product/1008123-REG/sony_sel35f28z_sonnar_t_fe_35mm.html/BI/19619/KBID/12129/DFF/d10-v21-t1-x466840/SID/EZ","link*")</f>
        <v>link*</v>
      </c>
      <c r="M43" s="89" t="s">
        <v>33</v>
      </c>
      <c r="N43"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43" s="83">
        <v>35.0</v>
      </c>
      <c r="P43" s="84" t="s">
        <v>26</v>
      </c>
      <c r="Q43" s="81">
        <v>9.0</v>
      </c>
      <c r="R43" s="123">
        <v>43592.0</v>
      </c>
      <c r="S43" s="81" t="s">
        <v>32</v>
      </c>
      <c r="T43" s="86">
        <v>41487.0</v>
      </c>
    </row>
    <row r="44">
      <c r="A44" s="75" t="s">
        <v>102</v>
      </c>
      <c r="B44" s="76">
        <v>86.0</v>
      </c>
      <c r="C44" s="77">
        <v>35.0</v>
      </c>
      <c r="D44" s="78">
        <v>2.8</v>
      </c>
      <c r="E44" s="144">
        <v>62.0</v>
      </c>
      <c r="F44" s="145">
        <v>33.0</v>
      </c>
      <c r="G44" s="81" t="s">
        <v>30</v>
      </c>
      <c r="H44" s="82" t="s">
        <v>74</v>
      </c>
      <c r="I44" s="81">
        <v>0.12</v>
      </c>
      <c r="J44" s="211">
        <v>399.0</v>
      </c>
      <c r="K44" s="88" t="str">
        <f t="shared" ref="K44:K45" si="2">HYPERLINK("https://amzn.to/2MGKrxp","link*")</f>
        <v>link*</v>
      </c>
      <c r="L44" s="88" t="str">
        <f>HYPERLINK("https://www.bhphotovideo.com/c/product/1348365-REG/samyang_syio35af_e_35mm_f2_8_compact_wide.html/BI/19619/KBID/12129/DFF/d10-v21-t1-x832776/SID/EZ","link*")</f>
        <v>link*</v>
      </c>
      <c r="M44" s="89" t="s">
        <v>33</v>
      </c>
      <c r="N44"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44" s="83">
        <v>35.0</v>
      </c>
      <c r="P44" s="84" t="s">
        <v>26</v>
      </c>
      <c r="Q44" s="81">
        <v>9.0</v>
      </c>
      <c r="R44" s="123">
        <v>43623.0</v>
      </c>
      <c r="S44" s="81" t="s">
        <v>46</v>
      </c>
      <c r="T44" s="86">
        <v>42917.0</v>
      </c>
    </row>
    <row r="45" hidden="1">
      <c r="A45" s="131" t="str">
        <f>HYPERLINK("https://phillipreeve.net/blog/voigtlander-40mm-f1-2-nokton-aspherical-rolling-review/","Voigtlander 40mm F1.2 Nokton")</f>
        <v>Voigtlander 40mm F1.2 Nokton</v>
      </c>
      <c r="B45" s="76">
        <v>420.0</v>
      </c>
      <c r="C45" s="77">
        <v>40.0</v>
      </c>
      <c r="D45" s="392">
        <v>1.2</v>
      </c>
      <c r="E45" s="144">
        <v>70.0</v>
      </c>
      <c r="F45" s="145">
        <v>59.0</v>
      </c>
      <c r="G45" s="81" t="s">
        <v>24</v>
      </c>
      <c r="H45" s="82" t="s">
        <v>47</v>
      </c>
      <c r="I45" s="81">
        <v>0.16</v>
      </c>
      <c r="J45" s="87">
        <v>1099.0</v>
      </c>
      <c r="K45" s="88" t="str">
        <f t="shared" si="2"/>
        <v>link*</v>
      </c>
      <c r="L45" s="88" t="str">
        <f>HYPERLINK("https://www.bhphotovideo.com/c/product/1362557-REG/voigtlander_nokton_40mm_f_1_2_aspherical.html/BI/19619/KBID/12129/DFF/d10-v21-t1-x851241/SID/EZ","link*")</f>
        <v>link*</v>
      </c>
      <c r="M45" s="89" t="s">
        <v>33</v>
      </c>
      <c r="N45"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45" s="83">
        <v>35.0</v>
      </c>
      <c r="P45" s="84" t="s">
        <v>26</v>
      </c>
      <c r="Q45" s="81">
        <v>10.0</v>
      </c>
      <c r="R45" s="123">
        <v>43624.0</v>
      </c>
      <c r="S45" s="81" t="s">
        <v>28</v>
      </c>
      <c r="T45" s="86">
        <v>43040.0</v>
      </c>
    </row>
    <row r="46" hidden="1">
      <c r="A46" s="131" t="str">
        <f>HYPERLINK("https://phillipreeve.net/blog/review-sigma-40mm-1-4-art/","Sigma Art 1.4/40")</f>
        <v>Sigma Art 1.4/40</v>
      </c>
      <c r="B46" s="76">
        <v>1200.0</v>
      </c>
      <c r="C46" s="77">
        <v>40.0</v>
      </c>
      <c r="D46" s="78">
        <v>1.4</v>
      </c>
      <c r="E46" s="144">
        <v>88.0</v>
      </c>
      <c r="F46" s="151">
        <v>157.0</v>
      </c>
      <c r="G46" s="81" t="s">
        <v>30</v>
      </c>
      <c r="H46" s="198" t="s">
        <v>51</v>
      </c>
      <c r="I46" s="81">
        <v>0.15</v>
      </c>
      <c r="J46" s="87">
        <v>1399.0</v>
      </c>
      <c r="K46" s="88" t="str">
        <f>HYPERLINK("https://amzn.to/2SYXFXq","link*")</f>
        <v>link*</v>
      </c>
      <c r="L46" s="88" t="str">
        <f>HYPERLINK("https://www.bhphotovideo.com/c/product/1436292-REG/sigma_40mm_f_1_4_dg_hsm.html/BI/19619/KBID/12129/DFF/d10-v21-t1-x925196/SID/EZ","link*")</f>
        <v>link*</v>
      </c>
      <c r="M46" s="89" t="s">
        <v>33</v>
      </c>
      <c r="N46"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46" s="83">
        <v>40.0</v>
      </c>
      <c r="P46" s="84" t="s">
        <v>26</v>
      </c>
      <c r="Q46" s="81">
        <v>9.0</v>
      </c>
      <c r="R46" s="123">
        <v>43815.0</v>
      </c>
      <c r="S46" s="81" t="s">
        <v>41</v>
      </c>
      <c r="T46" s="86">
        <v>43435.0</v>
      </c>
      <c r="U46" s="68" t="s">
        <v>42</v>
      </c>
    </row>
    <row r="47" hidden="1">
      <c r="A47" s="131" t="str">
        <f>HYPERLINK("https://phillipreeve.net/blog/review-zeiss-batis-2-40-cf/","Zeiss Batis 2/40 CF T*")</f>
        <v>Zeiss Batis 2/40 CF T*</v>
      </c>
      <c r="B47" s="76">
        <v>361.0</v>
      </c>
      <c r="C47" s="77">
        <v>40.0</v>
      </c>
      <c r="D47" s="78">
        <v>2.0</v>
      </c>
      <c r="E47" s="144">
        <v>91.0</v>
      </c>
      <c r="F47" s="151">
        <v>93.0</v>
      </c>
      <c r="G47" s="81" t="s">
        <v>30</v>
      </c>
      <c r="H47" s="82" t="s">
        <v>53</v>
      </c>
      <c r="I47" s="185">
        <v>0.3</v>
      </c>
      <c r="J47" s="87">
        <v>1299.0</v>
      </c>
      <c r="K47" s="88" t="str">
        <f>HYPERLINK("https://amzn.to/2LUN0MF","link*")</f>
        <v>link*</v>
      </c>
      <c r="L47" s="88" t="str">
        <f>HYPERLINK("https://www.bhphotovideo.com/c/product/1436738-REG/zeiss_000000_2239_137_batis_40mm_f_2_cf.html/BI/19619/KBID/12129/DFF/d10-v21-t1-x915694/SID/EZ","link*")</f>
        <v>link*</v>
      </c>
      <c r="M47" s="89" t="s">
        <v>33</v>
      </c>
      <c r="N47"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47" s="83">
        <v>24.0</v>
      </c>
      <c r="P47" s="84" t="s">
        <v>26</v>
      </c>
      <c r="Q47" s="81">
        <v>9.0</v>
      </c>
      <c r="R47" s="123">
        <v>43686.0</v>
      </c>
      <c r="S47" s="81" t="s">
        <v>58</v>
      </c>
      <c r="T47" s="86">
        <v>43435.0</v>
      </c>
      <c r="U47" s="68" t="s">
        <v>228</v>
      </c>
    </row>
    <row r="48">
      <c r="A48" s="75" t="s">
        <v>106</v>
      </c>
      <c r="B48" s="76">
        <v>162.0</v>
      </c>
      <c r="C48" s="77">
        <v>45.0</v>
      </c>
      <c r="D48" s="78">
        <v>1.8</v>
      </c>
      <c r="E48" s="144">
        <v>62.0</v>
      </c>
      <c r="F48" s="151">
        <v>56.0</v>
      </c>
      <c r="G48" s="81" t="s">
        <v>30</v>
      </c>
      <c r="H48" s="82" t="s">
        <v>74</v>
      </c>
      <c r="I48" s="81">
        <v>0.12</v>
      </c>
      <c r="J48" s="129">
        <v>399.0</v>
      </c>
      <c r="K48" s="88" t="str">
        <f>HYPERLINK("https://amzn.to/2YC6MST","link*")</f>
        <v>link*</v>
      </c>
      <c r="L48" s="88" t="str">
        <f>HYPERLINK("https://www.bhphotovideo.com/c/product/1478738-REG/samyang_af_45mm_f_1_8_fe.html/BI/19619/KBID/12129/DFF/d10-v21-t1-x964329/SID/EZ","link*")</f>
        <v>link*</v>
      </c>
      <c r="M48" s="89" t="s">
        <v>33</v>
      </c>
      <c r="N48"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48" s="83">
        <v>45.0</v>
      </c>
      <c r="P48" s="84" t="s">
        <v>26</v>
      </c>
      <c r="Q48" s="81">
        <v>9.0</v>
      </c>
      <c r="R48" s="123">
        <v>43623.0</v>
      </c>
      <c r="S48" s="81" t="s">
        <v>46</v>
      </c>
      <c r="T48" s="86">
        <v>43647.0</v>
      </c>
    </row>
    <row r="49">
      <c r="A49" s="75" t="s">
        <v>107</v>
      </c>
      <c r="B49" s="76">
        <v>215.0</v>
      </c>
      <c r="C49" s="77">
        <v>45.0</v>
      </c>
      <c r="D49" s="78">
        <v>2.8</v>
      </c>
      <c r="E49" s="144">
        <v>64.0</v>
      </c>
      <c r="F49" s="145">
        <v>46.0</v>
      </c>
      <c r="G49" s="81" t="s">
        <v>30</v>
      </c>
      <c r="H49" s="82" t="s">
        <v>90</v>
      </c>
      <c r="I49" s="140">
        <v>0.25</v>
      </c>
      <c r="J49" s="87">
        <v>549.0</v>
      </c>
      <c r="K49" s="88" t="str">
        <f>HYPERLINK("https://amzn.to/2SYEvAX","link*")</f>
        <v>link*</v>
      </c>
      <c r="L49" s="88" t="str">
        <f>HYPERLINK("https://www.bhphotovideo.com/c/product/1492966-REG/sigma_360965_45mm_f_2_8_dg_dn.html/BI/19619/KBID/12129/DFF/d10-v21-t1-x976020/SID/EZ","link*")</f>
        <v>link*</v>
      </c>
      <c r="M49" s="89" t="s">
        <v>33</v>
      </c>
      <c r="N49" s="88"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49" s="83">
        <v>24.0</v>
      </c>
      <c r="P49" s="84" t="s">
        <v>26</v>
      </c>
      <c r="Q49" s="81">
        <v>7.0</v>
      </c>
      <c r="R49" s="123">
        <v>43654.0</v>
      </c>
      <c r="S49" s="81" t="s">
        <v>41</v>
      </c>
      <c r="T49" s="86">
        <v>43647.0</v>
      </c>
      <c r="U49" s="68" t="s">
        <v>108</v>
      </c>
    </row>
    <row r="50" hidden="1">
      <c r="A50" s="131" t="str">
        <f>HYPERLINK("https://phillipreeve.net/blog/review-voigtlander-50mm-1-2-nokton-e/","Voigtlander 50mm F1.2 Nokton")</f>
        <v>Voigtlander 50mm F1.2 Nokton</v>
      </c>
      <c r="B50" s="76">
        <v>440.0</v>
      </c>
      <c r="C50" s="77">
        <v>50.0</v>
      </c>
      <c r="D50" s="392">
        <v>1.2</v>
      </c>
      <c r="E50" s="144">
        <v>70.0</v>
      </c>
      <c r="F50" s="145">
        <v>58.0</v>
      </c>
      <c r="G50" s="81" t="s">
        <v>24</v>
      </c>
      <c r="H50" s="82" t="s">
        <v>47</v>
      </c>
      <c r="I50" s="346"/>
      <c r="J50" s="87">
        <v>1099.0</v>
      </c>
      <c r="K50" s="88" t="str">
        <f>HYPERLINK("https://amzn.to/2OAfE7N","link*")</f>
        <v>link*</v>
      </c>
      <c r="L50" s="88" t="str">
        <f>HYPERLINK("https://www.bhphotovideo.com/c/product/1433349-REG/voigtlander_ba348a_nokton_50mm_f_1_2_aspherical.html/BI/19619/KBID/12129/DFF/d10-v21-t1-x915623/SID/EZ","link*")</f>
        <v>link*</v>
      </c>
      <c r="M50" s="89" t="s">
        <v>33</v>
      </c>
      <c r="N50"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50" s="83">
        <v>45.0</v>
      </c>
      <c r="P50" s="84" t="s">
        <v>26</v>
      </c>
      <c r="Q50" s="81">
        <v>12.0</v>
      </c>
      <c r="R50" s="123">
        <v>43624.0</v>
      </c>
      <c r="S50" s="81" t="s">
        <v>28</v>
      </c>
      <c r="T50" s="86">
        <v>43556.0</v>
      </c>
    </row>
    <row r="51" hidden="1">
      <c r="A51" s="75" t="s">
        <v>109</v>
      </c>
      <c r="B51" s="76">
        <v>778.0</v>
      </c>
      <c r="C51" s="77">
        <v>50.0</v>
      </c>
      <c r="D51" s="78">
        <v>1.4</v>
      </c>
      <c r="E51" s="144">
        <v>84.0</v>
      </c>
      <c r="F51" s="145">
        <v>108.0</v>
      </c>
      <c r="G51" s="81" t="s">
        <v>30</v>
      </c>
      <c r="H51" s="82" t="s">
        <v>48</v>
      </c>
      <c r="I51" s="81">
        <v>0.15</v>
      </c>
      <c r="J51" s="87">
        <v>1499.0</v>
      </c>
      <c r="K51" s="88" t="str">
        <f>HYPERLINK("https://amzn.to/2K88EL7","link*")</f>
        <v>link*</v>
      </c>
      <c r="L51" s="89" t="s">
        <v>33</v>
      </c>
      <c r="M51" s="89" t="s">
        <v>33</v>
      </c>
      <c r="N51"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51" s="83">
        <v>45.0</v>
      </c>
      <c r="P51" s="84" t="s">
        <v>26</v>
      </c>
      <c r="Q51" s="81">
        <v>11.0</v>
      </c>
      <c r="R51" s="123">
        <v>43720.0</v>
      </c>
      <c r="S51" s="81" t="s">
        <v>32</v>
      </c>
      <c r="T51" s="86">
        <v>42583.0</v>
      </c>
    </row>
    <row r="52">
      <c r="A52" s="75" t="s">
        <v>110</v>
      </c>
      <c r="B52" s="76">
        <v>815.0</v>
      </c>
      <c r="C52" s="77">
        <v>50.0</v>
      </c>
      <c r="D52" s="78">
        <v>1.4</v>
      </c>
      <c r="E52" s="144">
        <v>85.0</v>
      </c>
      <c r="F52" s="145">
        <v>100.0</v>
      </c>
      <c r="G52" s="81" t="s">
        <v>30</v>
      </c>
      <c r="H52" s="82" t="s">
        <v>56</v>
      </c>
      <c r="I52" s="81">
        <v>0.18</v>
      </c>
      <c r="J52" s="87">
        <v>949.0</v>
      </c>
      <c r="K52" s="88" t="str">
        <f>HYPERLINK("https://amzn.to/2K4JmyT","link*")</f>
        <v>link*</v>
      </c>
      <c r="L52" s="88" t="str">
        <f>HYPERLINK("https://www.bhphotovideo.com/c/product/1393493-REG/sigma_50mm_f_1_4_dg_hsm.html/BI/19619/KBID/12129/kw/SI5014SO/DFF/d10-v2-t1-xSI5014SO","link*")</f>
        <v>link*</v>
      </c>
      <c r="M52" s="88" t="str">
        <f>HYPERLINK("https://amzn.to/2Wpdoz5","link*")</f>
        <v>link*</v>
      </c>
      <c r="N52" s="88"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52" s="83">
        <v>40.0</v>
      </c>
      <c r="P52" s="84" t="s">
        <v>26</v>
      </c>
      <c r="Q52" s="81">
        <v>9.0</v>
      </c>
      <c r="R52" s="123">
        <v>43690.0</v>
      </c>
      <c r="S52" s="81" t="s">
        <v>41</v>
      </c>
      <c r="T52" s="86">
        <v>43221.0</v>
      </c>
      <c r="U52" s="68" t="s">
        <v>42</v>
      </c>
    </row>
    <row r="53">
      <c r="A53" s="75" t="s">
        <v>111</v>
      </c>
      <c r="B53" s="76">
        <v>585.0</v>
      </c>
      <c r="C53" s="77">
        <v>50.0</v>
      </c>
      <c r="D53" s="78">
        <v>1.4</v>
      </c>
      <c r="E53" s="144">
        <v>74.0</v>
      </c>
      <c r="F53" s="145">
        <v>98.0</v>
      </c>
      <c r="G53" s="81" t="s">
        <v>30</v>
      </c>
      <c r="H53" s="82" t="s">
        <v>53</v>
      </c>
      <c r="I53" s="81">
        <v>0.15</v>
      </c>
      <c r="J53" s="87">
        <v>699.0</v>
      </c>
      <c r="K53" s="88" t="str">
        <f>HYPERLINK("https://amzn.to/2SY1Pyr","link*")</f>
        <v>link*</v>
      </c>
      <c r="L53" s="88" t="str">
        <f>HYPERLINK("https://www.bhphotovideo.com/c/product/1352862-REG/samyang_syio50af_e_50mm_f_1_4_auto_focus.html/BI/19619/KBID/12129/DFF/d10-v21-t1-x837927/SID/EZ","link*")</f>
        <v>link*</v>
      </c>
      <c r="M53" s="89" t="s">
        <v>33</v>
      </c>
      <c r="N53"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53" s="83">
        <v>45.0</v>
      </c>
      <c r="P53" s="84" t="s">
        <v>26</v>
      </c>
      <c r="Q53" s="81">
        <v>9.0</v>
      </c>
      <c r="R53" s="123">
        <v>43686.0</v>
      </c>
      <c r="S53" s="81" t="s">
        <v>46</v>
      </c>
      <c r="T53" s="86">
        <v>42583.0</v>
      </c>
    </row>
    <row r="54">
      <c r="A54" s="131" t="str">
        <f>HYPERLINK("https://phillipreeve.net/blog/review-sony-fe-1-850/","Sony 50mm F1.8")</f>
        <v>Sony 50mm F1.8</v>
      </c>
      <c r="B54" s="76">
        <v>186.0</v>
      </c>
      <c r="C54" s="77">
        <v>50.0</v>
      </c>
      <c r="D54" s="78">
        <v>1.8</v>
      </c>
      <c r="E54" s="144">
        <v>69.0</v>
      </c>
      <c r="F54" s="145">
        <v>60.0</v>
      </c>
      <c r="G54" s="81" t="s">
        <v>30</v>
      </c>
      <c r="H54" s="82" t="s">
        <v>74</v>
      </c>
      <c r="I54" s="81">
        <v>0.14</v>
      </c>
      <c r="J54" s="153">
        <v>249.0</v>
      </c>
      <c r="K54" s="88" t="str">
        <f>HYPERLINK("http://amzn.to/2v2F5Se","link*")</f>
        <v>link*</v>
      </c>
      <c r="L54" s="88" t="str">
        <f>HYPERLINK("https://www.bhphotovideo.com/c/product/1242613-REG/sony_sel50f18f_fe_50mm_f_1_8_lens.html/BI/19619/KBID/12129/kw/SO5018F/DFF/d10-v2-t1-xSO5018F","link*")</f>
        <v>link*</v>
      </c>
      <c r="M54" s="88" t="str">
        <f>HYPERLINK("http://amzn.to/2wyHB25","link*")</f>
        <v>link*</v>
      </c>
      <c r="N54"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54" s="83">
        <v>45.0</v>
      </c>
      <c r="P54" s="84" t="s">
        <v>26</v>
      </c>
      <c r="Q54" s="81">
        <v>7.0</v>
      </c>
      <c r="R54" s="123">
        <v>43591.0</v>
      </c>
      <c r="S54" s="81" t="s">
        <v>32</v>
      </c>
      <c r="T54" s="86">
        <v>42430.0</v>
      </c>
    </row>
    <row r="55">
      <c r="A55" s="131" t="str">
        <f>HYPERLINK("https://phillipreeve.net/blog/review-zeiss-loxia-planar-250-t/","Zeiss Loxia 50mm F2")</f>
        <v>Zeiss Loxia 50mm F2</v>
      </c>
      <c r="B55" s="76">
        <v>320.0</v>
      </c>
      <c r="C55" s="77">
        <v>50.0</v>
      </c>
      <c r="D55" s="78">
        <v>2.0</v>
      </c>
      <c r="E55" s="144">
        <v>62.0</v>
      </c>
      <c r="F55" s="145">
        <v>60.0</v>
      </c>
      <c r="G55" s="81" t="s">
        <v>24</v>
      </c>
      <c r="H55" s="82" t="s">
        <v>71</v>
      </c>
      <c r="I55" s="81">
        <v>0.15</v>
      </c>
      <c r="J55" s="87">
        <v>949.0</v>
      </c>
      <c r="K55" s="88" t="str">
        <f>HYPERLINK("http://amzn.to/2faVsIu","link*")</f>
        <v>link*</v>
      </c>
      <c r="L55" s="88" t="str">
        <f>HYPERLINK("https://www.bhphotovideo.com/c/product/1080387-REG/zeiss_2103_748_loxia_50mm_f_2_planar.html/BI/19619/KBID/12129/kw/ZE502LFE/DFF/d10-v2-t1-xZE502LFE","link*")</f>
        <v>link*</v>
      </c>
      <c r="M55" s="88" t="str">
        <f>HYPERLINK("http://amzn.to/2wyJAU4","link*")</f>
        <v>link*</v>
      </c>
      <c r="N55"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55" s="83">
        <v>45.0</v>
      </c>
      <c r="P55" s="84" t="s">
        <v>26</v>
      </c>
      <c r="Q55" s="81">
        <v>10.0</v>
      </c>
      <c r="R55" s="123">
        <v>43561.0</v>
      </c>
      <c r="S55" s="81" t="s">
        <v>58</v>
      </c>
      <c r="T55" s="86">
        <v>41913.0</v>
      </c>
      <c r="U55" s="68" t="s">
        <v>101</v>
      </c>
    </row>
    <row r="56">
      <c r="A56" s="131" t="str">
        <f>HYPERLINK("https://phillipreeve.net/blog/rolling-review-sony-fe-2-850-macro/","Sony 50mm F/2.8 Macro")</f>
        <v>Sony 50mm F/2.8 Macro</v>
      </c>
      <c r="B56" s="76">
        <v>236.0</v>
      </c>
      <c r="C56" s="77">
        <v>50.0</v>
      </c>
      <c r="D56" s="78">
        <v>1.8</v>
      </c>
      <c r="E56" s="144">
        <v>72.0</v>
      </c>
      <c r="F56" s="145">
        <v>71.0</v>
      </c>
      <c r="G56" s="81" t="s">
        <v>30</v>
      </c>
      <c r="H56" s="82" t="s">
        <v>90</v>
      </c>
      <c r="I56" s="259">
        <v>1.0</v>
      </c>
      <c r="J56" s="129">
        <v>499.0</v>
      </c>
      <c r="K56" s="88" t="str">
        <f>HYPERLINK("http://amzn.to/2v2g0qz","link*")</f>
        <v>link*</v>
      </c>
      <c r="L56" s="88" t="str">
        <f>HYPERLINK("https://www.bhphotovideo.com/c/product/1277527-REG/sony_sel50m28_fe_50mm_f_2_8_macro.html/BI/19619/KBID/12129/kw/SO5028FF/DFF/d10-v2-t1-xSO5028FF","link*")</f>
        <v>link*</v>
      </c>
      <c r="M56" s="88" t="str">
        <f>HYPERLINK("http://amzn.to/2vbknRN","link*")</f>
        <v>link*</v>
      </c>
      <c r="N56"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56" s="83">
        <v>16.0</v>
      </c>
      <c r="P56" s="84" t="s">
        <v>26</v>
      </c>
      <c r="Q56" s="81">
        <v>7.0</v>
      </c>
      <c r="R56" s="123">
        <v>43654.0</v>
      </c>
      <c r="S56" s="81" t="s">
        <v>32</v>
      </c>
      <c r="T56" s="86">
        <v>42614.0</v>
      </c>
    </row>
    <row r="57">
      <c r="A57" s="131" t="str">
        <f>HYPERLINK("https://phillipreeve.net/blog/sony-fe-1-855-za-sonnar-t-review/","Sony ZA 55mm F1.8 Sonnar")</f>
        <v>Sony ZA 55mm F1.8 Sonnar</v>
      </c>
      <c r="B57" s="76">
        <v>281.0</v>
      </c>
      <c r="C57" s="77">
        <v>55.0</v>
      </c>
      <c r="D57" s="78">
        <v>1.8</v>
      </c>
      <c r="E57" s="144">
        <v>64.0</v>
      </c>
      <c r="F57" s="145">
        <v>71.0</v>
      </c>
      <c r="G57" s="81" t="s">
        <v>30</v>
      </c>
      <c r="H57" s="82" t="s">
        <v>74</v>
      </c>
      <c r="I57" s="81">
        <v>0.14</v>
      </c>
      <c r="J57" s="87">
        <v>999.0</v>
      </c>
      <c r="K57" s="88" t="str">
        <f>HYPERLINK("https://amzn.to/2ywdgEk","link*")</f>
        <v>link*</v>
      </c>
      <c r="L57" s="88" t="str">
        <f>HYPERLINK("https://www.bhphotovideo.com/c/product/1008124-REG/sony_sel55f18z_sonnar_t_fe_55mm.html/BI/19619/KBID/12129/DFF/d10-v21-t1-x466841/SID/EZ","link*")</f>
        <v>link*</v>
      </c>
      <c r="M57" s="89" t="s">
        <v>33</v>
      </c>
      <c r="N57"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57" s="83">
        <v>50.0</v>
      </c>
      <c r="P57" s="84" t="s">
        <v>26</v>
      </c>
      <c r="Q57" s="81">
        <v>9.0</v>
      </c>
      <c r="R57" s="123">
        <v>43592.0</v>
      </c>
      <c r="S57" s="81" t="s">
        <v>32</v>
      </c>
      <c r="T57" s="86">
        <v>41548.0</v>
      </c>
    </row>
    <row r="58">
      <c r="A58" s="131" t="str">
        <f>HYPERLINK("https://phillipreeve.net/blog/voigtlander-65-f2-apo-macro-review/","Voigtlander Macro 65mm F2 Apo Lanthar")</f>
        <v>Voigtlander Macro 65mm F2 Apo Lanthar</v>
      </c>
      <c r="B58" s="76">
        <v>635.0</v>
      </c>
      <c r="C58" s="77">
        <v>65.0</v>
      </c>
      <c r="D58" s="78">
        <v>2.0</v>
      </c>
      <c r="E58" s="144">
        <v>78.0</v>
      </c>
      <c r="F58" s="145">
        <v>91.0</v>
      </c>
      <c r="G58" s="81" t="s">
        <v>24</v>
      </c>
      <c r="H58" s="82" t="s">
        <v>53</v>
      </c>
      <c r="I58" s="393">
        <v>0.5</v>
      </c>
      <c r="J58" s="87">
        <v>999.0</v>
      </c>
      <c r="K58" s="88" t="str">
        <f>HYPERLINK("https://amzn.to/2LU48SI","link*")</f>
        <v>link*</v>
      </c>
      <c r="L58" s="88" t="str">
        <f>HYPERLINK("https://www.bhphotovideo.com/c/product/1350400-REG/voigtlander_macro_apo_lanthar_65mm_f2.html/BI/19619/KBID/12129/DFF/d10-v21-t1-x835677/SID/EZ","link*")</f>
        <v>link*</v>
      </c>
      <c r="M58" s="89" t="s">
        <v>33</v>
      </c>
      <c r="N58"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58" s="83">
        <v>31.0</v>
      </c>
      <c r="P58" s="84" t="s">
        <v>26</v>
      </c>
      <c r="Q58" s="81">
        <v>10.0</v>
      </c>
      <c r="R58" s="123">
        <v>43687.0</v>
      </c>
      <c r="S58" s="81" t="s">
        <v>28</v>
      </c>
      <c r="T58" s="281">
        <v>42917.0</v>
      </c>
    </row>
    <row r="59">
      <c r="A59" s="75" t="s">
        <v>112</v>
      </c>
      <c r="B59" s="76">
        <v>562.0</v>
      </c>
      <c r="C59" s="77">
        <v>70.0</v>
      </c>
      <c r="D59" s="78">
        <v>2.8</v>
      </c>
      <c r="E59" s="144">
        <v>71.0</v>
      </c>
      <c r="F59" s="145">
        <v>106.0</v>
      </c>
      <c r="G59" s="81" t="s">
        <v>30</v>
      </c>
      <c r="H59" s="82" t="s">
        <v>74</v>
      </c>
      <c r="I59" s="259">
        <v>1.0</v>
      </c>
      <c r="J59" s="211">
        <v>569.0</v>
      </c>
      <c r="K59" s="88" t="str">
        <f>HYPERLINK("https://amzn.to/2YGO9te","link*")</f>
        <v>link*</v>
      </c>
      <c r="L59" s="88" t="str">
        <f>HYPERLINK("https://www.bhphotovideo.com/c/product/1393483-REG/sigma_70mm_f_2_8_dg_macro.html/BI/19619/KBID/12129/DFF/d10-v21-t1-x895111/SID/EZ","link*")</f>
        <v>link*</v>
      </c>
      <c r="M59" s="89" t="s">
        <v>33</v>
      </c>
      <c r="N59" s="88"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59" s="83">
        <v>26.0</v>
      </c>
      <c r="P59" s="84" t="s">
        <v>26</v>
      </c>
      <c r="Q59" s="81">
        <v>9.0</v>
      </c>
      <c r="R59" s="123">
        <v>43751.0</v>
      </c>
      <c r="S59" s="81" t="s">
        <v>41</v>
      </c>
      <c r="T59" s="86">
        <v>43221.0</v>
      </c>
      <c r="U59" s="68" t="s">
        <v>42</v>
      </c>
    </row>
    <row r="60" hidden="1">
      <c r="A60" s="75" t="s">
        <v>113</v>
      </c>
      <c r="B60" s="76">
        <v>1480.0</v>
      </c>
      <c r="C60" s="77">
        <v>70.0</v>
      </c>
      <c r="D60" s="78">
        <v>2.8</v>
      </c>
      <c r="E60" s="144">
        <v>88.0</v>
      </c>
      <c r="F60" s="145">
        <v>200.0</v>
      </c>
      <c r="G60" s="81" t="s">
        <v>30</v>
      </c>
      <c r="H60" s="82" t="s">
        <v>56</v>
      </c>
      <c r="I60" s="185">
        <v>0.25</v>
      </c>
      <c r="J60" s="87">
        <v>2599.0</v>
      </c>
      <c r="K60" s="88" t="str">
        <f>HYPERLINK("https://amzn.to/2KbaJGn","link*")</f>
        <v>link*</v>
      </c>
      <c r="L60" s="88" t="str">
        <f>HYPERLINK("https://www.bhphotovideo.com/c/product/1222776-REG/sony_sel70200gm_fe_70_200mm_f_2_8_gm.html/BI/19619/KBID/12129/DFF/d10-v21-t1-x746807/SID/EZ","link*")</f>
        <v>link*</v>
      </c>
      <c r="M60" s="89" t="s">
        <v>33</v>
      </c>
      <c r="N60"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60" s="83">
        <v>96.0</v>
      </c>
      <c r="P60" s="154" t="s">
        <v>49</v>
      </c>
      <c r="Q60" s="81">
        <v>11.0</v>
      </c>
      <c r="R60" s="85" t="s">
        <v>114</v>
      </c>
      <c r="S60" s="81" t="s">
        <v>32</v>
      </c>
      <c r="T60" s="86">
        <v>42401.0</v>
      </c>
    </row>
    <row r="61" hidden="1">
      <c r="A61" s="75" t="s">
        <v>117</v>
      </c>
      <c r="B61" s="76">
        <v>854.0</v>
      </c>
      <c r="C61" s="77">
        <v>70.0</v>
      </c>
      <c r="D61" s="78" t="s">
        <v>118</v>
      </c>
      <c r="E61" s="144">
        <v>84.0</v>
      </c>
      <c r="F61" s="145">
        <v>144.0</v>
      </c>
      <c r="G61" s="81" t="s">
        <v>30</v>
      </c>
      <c r="H61" s="82" t="s">
        <v>48</v>
      </c>
      <c r="I61" s="140">
        <v>0.31</v>
      </c>
      <c r="J61" s="87">
        <v>1198.0</v>
      </c>
      <c r="K61" s="88" t="str">
        <f>HYPERLINK("https://amzn.to/2SVN1Ao","link*")</f>
        <v>link*</v>
      </c>
      <c r="L61" s="88" t="str">
        <f>HYPERLINK("https://www.bhphotovideo.com/c/product/1242614-REG/sony_sel70300g_fe_70_300mm_f_4_5_5_6_g.html/BI/19619/KBID/12129/DFF/d10-v21-t1-x722726/SID/EZ","link*")</f>
        <v>link*</v>
      </c>
      <c r="M61" s="89" t="s">
        <v>33</v>
      </c>
      <c r="N61"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61" s="83">
        <v>90.0</v>
      </c>
      <c r="P61" s="154" t="s">
        <v>49</v>
      </c>
      <c r="Q61" s="81">
        <v>9.0</v>
      </c>
      <c r="R61" s="85" t="s">
        <v>52</v>
      </c>
      <c r="S61" s="81" t="s">
        <v>32</v>
      </c>
      <c r="T61" s="86">
        <v>42430.0</v>
      </c>
    </row>
    <row r="62" hidden="1">
      <c r="A62" s="131" t="str">
        <f>HYPERLINK("https://phillipreeve.net/blog/review-sony-fe-470-200-g-oss/https://phillipreeve.net/blog/review-sony-fe-470-200-g-oss/","Sony G 4/70-200 OSS")</f>
        <v>Sony G 4/70-200 OSS</v>
      </c>
      <c r="B62" s="76">
        <v>840.0</v>
      </c>
      <c r="C62" s="77">
        <v>70.0</v>
      </c>
      <c r="D62" s="78">
        <v>4.0</v>
      </c>
      <c r="E62" s="144">
        <v>80.0</v>
      </c>
      <c r="F62" s="145">
        <v>175.0</v>
      </c>
      <c r="G62" s="81" t="s">
        <v>30</v>
      </c>
      <c r="H62" s="82" t="s">
        <v>48</v>
      </c>
      <c r="I62" s="81">
        <v>0.18</v>
      </c>
      <c r="J62" s="87">
        <v>1498.0</v>
      </c>
      <c r="K62" s="88" t="str">
        <f>HYPERLINK("http://amzn.to/2fbeX3x","link*")</f>
        <v>link*</v>
      </c>
      <c r="L62" s="88" t="str">
        <f>HYPERLINK("https://www.bhphotovideo.com/c/product/1380865-REG/sony_fe_70_200mm_f_4_g.html/BI/19619/KBID/12129/kw/SO702004F/DFF/d10-v2-t1-xSO702004F","link*")</f>
        <v>link*</v>
      </c>
      <c r="M62" s="88" t="str">
        <f>HYPERLINK("http://amzn.to/2vbFQKj","link*")</f>
        <v>link*</v>
      </c>
      <c r="N62"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62" s="83">
        <v>100.0</v>
      </c>
      <c r="P62" s="154" t="s">
        <v>49</v>
      </c>
      <c r="Q62" s="81">
        <v>9.0</v>
      </c>
      <c r="R62" s="85" t="s">
        <v>121</v>
      </c>
      <c r="S62" s="81" t="s">
        <v>32</v>
      </c>
      <c r="T62" s="86">
        <v>41548.0</v>
      </c>
    </row>
    <row r="63" hidden="1">
      <c r="A63" s="131" t="str">
        <f>HYPERLINK("https://phillipreeve.net/blog/review-sony-fe-85mm-1-4-gm/","Sony GM 1.4/85")</f>
        <v>Sony GM 1.4/85</v>
      </c>
      <c r="B63" s="76">
        <v>854.0</v>
      </c>
      <c r="C63" s="77">
        <v>85.0</v>
      </c>
      <c r="D63" s="78">
        <v>1.4</v>
      </c>
      <c r="E63" s="144">
        <v>84.0</v>
      </c>
      <c r="F63" s="145">
        <v>108.0</v>
      </c>
      <c r="G63" s="81" t="s">
        <v>30</v>
      </c>
      <c r="H63" s="82" t="s">
        <v>56</v>
      </c>
      <c r="I63" s="81">
        <v>0.12</v>
      </c>
      <c r="J63" s="87">
        <v>1799.0</v>
      </c>
      <c r="K63" s="88" t="str">
        <f>HYPERLINK("https://amzn.to/2SZeKAh","link*")</f>
        <v>link*</v>
      </c>
      <c r="L63" s="88" t="str">
        <f>HYPERLINK("https://www.bhphotovideo.com/c/product/1222775-REG/sony_sel85f14gm_fe_85mm_f_1_4_gm.html/BI/19619/KBID/12129/DFF/d10-v21-t1-x707644/SID/EZ","link*")</f>
        <v>link*</v>
      </c>
      <c r="M63" s="89" t="s">
        <v>33</v>
      </c>
      <c r="N63"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63" s="83">
        <v>80.0</v>
      </c>
      <c r="P63" s="84" t="s">
        <v>26</v>
      </c>
      <c r="Q63" s="81">
        <v>11.0</v>
      </c>
      <c r="R63" s="123">
        <v>43688.0</v>
      </c>
      <c r="S63" s="81" t="s">
        <v>32</v>
      </c>
      <c r="T63" s="86">
        <v>42401.0</v>
      </c>
    </row>
    <row r="64" hidden="1">
      <c r="A64" s="75" t="s">
        <v>123</v>
      </c>
      <c r="B64" s="76">
        <v>1130.0</v>
      </c>
      <c r="C64" s="77">
        <v>85.0</v>
      </c>
      <c r="D64" s="78">
        <v>1.4</v>
      </c>
      <c r="E64" s="144">
        <v>95.0</v>
      </c>
      <c r="F64" s="145">
        <v>152.0</v>
      </c>
      <c r="G64" s="81" t="s">
        <v>30</v>
      </c>
      <c r="H64" s="232" t="s">
        <v>124</v>
      </c>
      <c r="I64" s="81">
        <v>0.12</v>
      </c>
      <c r="J64" s="87">
        <v>1199.0</v>
      </c>
      <c r="K64" s="88" t="str">
        <f>HYPERLINK("https://amzn.to/2MBd68k","link*")</f>
        <v>link*</v>
      </c>
      <c r="L64" s="88" t="str">
        <f>HYPERLINK("https://www.bhphotovideo.com/c/product/1393494-REG/sigma_85mm_f_1_4_dg_hsm.html/BI/19619/KBID/12129/kw/SI8514SO/DFF/d10-v2-t1-xSI8514SO","link*")</f>
        <v>link*</v>
      </c>
      <c r="M64" s="88" t="str">
        <f>HYPERLINK("https://amzn.to/2Wto6JH","link*")</f>
        <v>link*</v>
      </c>
      <c r="N64"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64" s="83">
        <v>85.0</v>
      </c>
      <c r="P64" s="84" t="s">
        <v>26</v>
      </c>
      <c r="Q64" s="81">
        <v>9.0</v>
      </c>
      <c r="R64" s="123">
        <v>43724.0</v>
      </c>
      <c r="S64" s="81" t="s">
        <v>41</v>
      </c>
      <c r="T64" s="86">
        <v>43221.0</v>
      </c>
      <c r="U64" s="68" t="s">
        <v>42</v>
      </c>
    </row>
    <row r="65">
      <c r="A65" s="75" t="s">
        <v>125</v>
      </c>
      <c r="B65" s="76">
        <v>568.0</v>
      </c>
      <c r="C65" s="77">
        <v>85.0</v>
      </c>
      <c r="D65" s="78">
        <v>1.4</v>
      </c>
      <c r="E65" s="144">
        <v>88.0</v>
      </c>
      <c r="F65" s="145">
        <v>100.0</v>
      </c>
      <c r="G65" s="81" t="s">
        <v>30</v>
      </c>
      <c r="H65" s="82" t="s">
        <v>56</v>
      </c>
      <c r="I65" s="81">
        <v>0.11</v>
      </c>
      <c r="J65" s="153">
        <v>699.0</v>
      </c>
      <c r="K65" s="88" t="str">
        <f>HYPERLINK("https://amzn.to/2T0yJ1A","link*")</f>
        <v>link*</v>
      </c>
      <c r="L65" s="88" t="str">
        <f>HYPERLINK("https://www.bhphotovideo.com/c/product/1470654-REG/samyang_syio85af_e_af_85mm_f_1_4_lens.html/BI/19619/KBID/12129/DFF/d10-v21-t1-x955078/SID/EZ","link*")</f>
        <v>link*</v>
      </c>
      <c r="M65" s="89" t="s">
        <v>33</v>
      </c>
      <c r="N65"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65" s="83">
        <v>90.0</v>
      </c>
      <c r="P65" s="84" t="s">
        <v>26</v>
      </c>
      <c r="Q65" s="81">
        <v>9.0</v>
      </c>
      <c r="R65" s="123">
        <v>43688.0</v>
      </c>
      <c r="S65" s="81" t="s">
        <v>46</v>
      </c>
      <c r="T65" s="86">
        <v>43586.0</v>
      </c>
    </row>
    <row r="66">
      <c r="A66" s="131" t="str">
        <f>HYPERLINK("https://phillipreeve.net/blog/review-sony-fe-85-mm-1-8/","Sony FE 85mm f/1.8")</f>
        <v>Sony FE 85mm f/1.8</v>
      </c>
      <c r="B66" s="76">
        <v>371.0</v>
      </c>
      <c r="C66" s="77">
        <v>85.0</v>
      </c>
      <c r="D66" s="78">
        <v>1.8</v>
      </c>
      <c r="E66" s="144">
        <v>77.0</v>
      </c>
      <c r="F66" s="145">
        <v>82.0</v>
      </c>
      <c r="G66" s="81" t="s">
        <v>30</v>
      </c>
      <c r="H66" s="82" t="s">
        <v>53</v>
      </c>
      <c r="I66" s="81">
        <v>0.13</v>
      </c>
      <c r="J66" s="153">
        <v>599.0</v>
      </c>
      <c r="K66" s="88" t="str">
        <f>HYPERLINK("https://amzn.to/2YB4RxU","link*")</f>
        <v>link*</v>
      </c>
      <c r="L66" s="88" t="str">
        <f t="shared" ref="L66:L67" si="3">HYPERLINK("https://www.bhphotovideo.com/c/product/1140833-REG/zeiss_2103_751_85mm_f_1_8_batis_short.html/BI/19619/KBID/12129/DFF/d10-v21-t1-x627139/SID/EZ","link*")</f>
        <v>link*</v>
      </c>
      <c r="M66" s="89" t="s">
        <v>33</v>
      </c>
      <c r="N66"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66" s="83">
        <v>80.0</v>
      </c>
      <c r="P66" s="84" t="s">
        <v>26</v>
      </c>
      <c r="Q66" s="81">
        <v>9.0</v>
      </c>
      <c r="R66" s="123">
        <v>43686.0</v>
      </c>
      <c r="S66" s="81" t="s">
        <v>32</v>
      </c>
      <c r="T66" s="86">
        <v>42767.0</v>
      </c>
    </row>
    <row r="67" hidden="1">
      <c r="A67" s="131" t="str">
        <f>HYPERLINK("https://phillipreeve.net/blog/zeiss-batis-sonnar-t-85mm-f1-8-a-review/","Zeiss Batis 1.8/85")</f>
        <v>Zeiss Batis 1.8/85</v>
      </c>
      <c r="B67" s="76">
        <v>475.0</v>
      </c>
      <c r="C67" s="77">
        <v>85.0</v>
      </c>
      <c r="D67" s="78">
        <v>1.8</v>
      </c>
      <c r="E67" s="144">
        <v>92.0</v>
      </c>
      <c r="F67" s="145">
        <v>81.0</v>
      </c>
      <c r="G67" s="81" t="s">
        <v>30</v>
      </c>
      <c r="H67" s="82" t="s">
        <v>53</v>
      </c>
      <c r="I67" s="81">
        <v>0.13</v>
      </c>
      <c r="J67" s="87">
        <v>1199.0</v>
      </c>
      <c r="K67" s="88" t="str">
        <f>HYPERLINK("https://amzn.to/2T8oWqt","link*")</f>
        <v>link*</v>
      </c>
      <c r="L67" s="88" t="str">
        <f t="shared" si="3"/>
        <v>link*</v>
      </c>
      <c r="M67" s="89" t="s">
        <v>33</v>
      </c>
      <c r="N67"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67" s="83">
        <v>80.0</v>
      </c>
      <c r="P67" s="154" t="s">
        <v>49</v>
      </c>
      <c r="Q67" s="81">
        <v>9.0</v>
      </c>
      <c r="R67" s="123">
        <v>43688.0</v>
      </c>
      <c r="S67" s="81" t="s">
        <v>58</v>
      </c>
      <c r="T67" s="86">
        <v>42125.0</v>
      </c>
    </row>
    <row r="68">
      <c r="A68" s="75" t="s">
        <v>129</v>
      </c>
      <c r="B68" s="76">
        <v>665.0</v>
      </c>
      <c r="C68" s="77">
        <v>85.0</v>
      </c>
      <c r="D68" s="78">
        <v>1.8</v>
      </c>
      <c r="E68" s="144">
        <v>79.0</v>
      </c>
      <c r="F68" s="145">
        <v>92.0</v>
      </c>
      <c r="G68" s="81" t="s">
        <v>24</v>
      </c>
      <c r="H68" s="82" t="s">
        <v>48</v>
      </c>
      <c r="I68" s="81">
        <v>0.13</v>
      </c>
      <c r="J68" s="87">
        <v>299.0</v>
      </c>
      <c r="K68" s="88" t="str">
        <f>HYPERLINK("https://amzn.to/2LVVOBV","link*")</f>
        <v>link*</v>
      </c>
      <c r="L68" s="88" t="str">
        <f>HYPERLINK("https://www.bhphotovideo.com/c/product/1469189-REG/viltrox_pfu_rbmh_85mm_f1_8_e_mount_85mm_f_1_8_for_sony.html/BI/19619/KBID/12129/DFF/d10-v21-t1-x954301/SID/EZ","link*")</f>
        <v>link*</v>
      </c>
      <c r="M68" s="89" t="s">
        <v>33</v>
      </c>
      <c r="N68"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68" s="83">
        <v>80.0</v>
      </c>
      <c r="P68" s="84" t="s">
        <v>26</v>
      </c>
      <c r="Q68" s="81">
        <v>9.0</v>
      </c>
      <c r="R68" s="123">
        <v>43656.0</v>
      </c>
      <c r="S68" s="81" t="s">
        <v>63</v>
      </c>
      <c r="T68" s="233">
        <v>43586.0</v>
      </c>
      <c r="U68" s="68" t="s">
        <v>236</v>
      </c>
    </row>
    <row r="69">
      <c r="A69" s="75" t="s">
        <v>229</v>
      </c>
      <c r="B69" s="76">
        <v>636.0</v>
      </c>
      <c r="C69" s="77">
        <v>85.0</v>
      </c>
      <c r="D69" s="78">
        <v>1.8</v>
      </c>
      <c r="E69" s="144">
        <v>79.0</v>
      </c>
      <c r="F69" s="145">
        <v>92.0</v>
      </c>
      <c r="G69" s="81" t="s">
        <v>30</v>
      </c>
      <c r="H69" s="82" t="s">
        <v>48</v>
      </c>
      <c r="I69" s="81">
        <v>0.13</v>
      </c>
      <c r="J69" s="87">
        <v>379.0</v>
      </c>
      <c r="K69" s="88" t="str">
        <f>HYPERLINK("https://amzn.to/2SZfd5v","link*")</f>
        <v>link*</v>
      </c>
      <c r="L69" s="88" t="str">
        <f>HYPERLINK("https://www.bhphotovideo.com/c/product/1470585-REG/viltrox_pfu_rbmh_85mm_f1_8_stm_e_mount_85mm_f_1_8_lens_for.html/BI/19619/KBID/12129/DFF/d10-v21-t1-x955239/SID/EZ","link*")</f>
        <v>link*</v>
      </c>
      <c r="M69" s="89" t="s">
        <v>33</v>
      </c>
      <c r="N69"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69" s="83">
        <v>80.0</v>
      </c>
      <c r="P69" s="84" t="s">
        <v>26</v>
      </c>
      <c r="Q69" s="81">
        <v>9.0</v>
      </c>
      <c r="R69" s="123">
        <v>43656.0</v>
      </c>
      <c r="S69" s="81" t="s">
        <v>63</v>
      </c>
      <c r="T69" s="86">
        <v>43586.0</v>
      </c>
    </row>
    <row r="70" hidden="1">
      <c r="A70" s="131" t="str">
        <f>HYPERLINK("https://phillipreeve.net/blog/rolling-review-zeiss-loxia-85mm-2-4/","Zeiss Loxia 2.4/85")</f>
        <v>Zeiss Loxia 2.4/85</v>
      </c>
      <c r="B70" s="76">
        <v>594.0</v>
      </c>
      <c r="C70" s="77">
        <v>85.0</v>
      </c>
      <c r="D70" s="78">
        <v>2.4</v>
      </c>
      <c r="E70" s="144">
        <v>63.0</v>
      </c>
      <c r="F70" s="145">
        <v>95.0</v>
      </c>
      <c r="G70" s="81" t="s">
        <v>24</v>
      </c>
      <c r="H70" s="82" t="s">
        <v>71</v>
      </c>
      <c r="I70" s="81">
        <v>0.14</v>
      </c>
      <c r="J70" s="87">
        <v>1399.0</v>
      </c>
      <c r="K70" s="88" t="str">
        <f>HYPERLINK("https://amzn.to/2SY4PLd","link*")</f>
        <v>link*</v>
      </c>
      <c r="L70" s="88" t="str">
        <f>HYPERLINK("https://www.bhphotovideo.com/c/product/1282150-REG/zeiss_2162_636_loxia_85mm_f_2_4_lens.html/BI/19619/KBID/12129/DFF/d10-v21-t1-x762761/SID/EZ","link*")</f>
        <v>link*</v>
      </c>
      <c r="M70" s="89" t="s">
        <v>33</v>
      </c>
      <c r="N70"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70" s="83">
        <v>80.0</v>
      </c>
      <c r="P70" s="84" t="s">
        <v>26</v>
      </c>
      <c r="Q70" s="81">
        <v>10.0</v>
      </c>
      <c r="R70" s="123">
        <v>43653.0</v>
      </c>
      <c r="S70" s="81" t="s">
        <v>58</v>
      </c>
      <c r="T70" s="86">
        <v>42644.0</v>
      </c>
    </row>
    <row r="71" hidden="1">
      <c r="A71" s="131" t="str">
        <f>HYPERLINK("https://phillipreeve.net/blog/review-sony-fe-90mm-f2-8-macro-oss-one-of-sonys-finest/","Sony 2.8/90 G OSS")</f>
        <v>Sony 2.8/90 G OSS</v>
      </c>
      <c r="B71" s="76">
        <v>602.0</v>
      </c>
      <c r="C71" s="77">
        <v>90.0</v>
      </c>
      <c r="D71" s="78">
        <v>2.8</v>
      </c>
      <c r="E71" s="144">
        <v>79.0</v>
      </c>
      <c r="F71" s="145">
        <v>131.0</v>
      </c>
      <c r="G71" s="81" t="s">
        <v>30</v>
      </c>
      <c r="H71" s="82" t="s">
        <v>66</v>
      </c>
      <c r="I71" s="259">
        <v>1.0</v>
      </c>
      <c r="J71" s="87">
        <v>1099.0</v>
      </c>
      <c r="K71" s="88" t="str">
        <f>HYPERLINK("http://amzn.to/2fbeX3x","link*")</f>
        <v>link*</v>
      </c>
      <c r="L71" s="88" t="str">
        <f>HYPERLINK("https://www.bhphotovideo.com/c/product/1380868-REG/sony_fe_90mm_f_2_8_macro.html/BI/19619/KBID/12129/kw/SO9028F/DFF/d10-v2-t1-xSO9028F","link*")</f>
        <v>link*</v>
      </c>
      <c r="M71" s="88" t="str">
        <f>HYPERLINK("http://amzn.to/2vvvHcw","link*")</f>
        <v>link*</v>
      </c>
      <c r="N71"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71" s="83">
        <v>28.0</v>
      </c>
      <c r="P71" s="154" t="s">
        <v>49</v>
      </c>
      <c r="Q71" s="81">
        <v>9.0</v>
      </c>
      <c r="R71" s="123">
        <v>43784.0</v>
      </c>
      <c r="S71" s="81" t="s">
        <v>32</v>
      </c>
      <c r="T71" s="86">
        <v>42064.0</v>
      </c>
    </row>
    <row r="72" hidden="1">
      <c r="A72" s="131" t="str">
        <f>HYPERLINK("https://phillipreeve.net/blog/review-sony-fe-100-f-2-8-stf-gm-oss-lens/","Sony GM 2.8/100 STF OSS")</f>
        <v>Sony GM 2.8/100 STF OSS</v>
      </c>
      <c r="B72" s="76">
        <v>700.0</v>
      </c>
      <c r="C72" s="77">
        <v>100.0</v>
      </c>
      <c r="D72" s="78">
        <v>2.8</v>
      </c>
      <c r="E72" s="144">
        <v>85.0</v>
      </c>
      <c r="F72" s="145">
        <v>118.0</v>
      </c>
      <c r="G72" s="81" t="s">
        <v>30</v>
      </c>
      <c r="H72" s="82" t="s">
        <v>48</v>
      </c>
      <c r="I72" s="185">
        <v>0.25</v>
      </c>
      <c r="J72" s="87">
        <v>1499.0</v>
      </c>
      <c r="K72" s="88" t="str">
        <f>HYPERLINK("https://amzn.to/2YD8rn4","link*")</f>
        <v>link*</v>
      </c>
      <c r="L72" s="88" t="str">
        <f>HYPERLINK("https://www.bhphotovideo.com/c/product/1317561-REG/sony_sel100f28gm_fe_100mm_f_2_8_stf.html/BI/19619/KBID/12129/DFF/d10-v21-t1-x795192/SID/EZ","link*")</f>
        <v>link*</v>
      </c>
      <c r="M72" s="89" t="s">
        <v>33</v>
      </c>
      <c r="N72"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72" s="83">
        <v>57.0</v>
      </c>
      <c r="P72" s="154" t="s">
        <v>49</v>
      </c>
      <c r="Q72" s="81">
        <v>11.0</v>
      </c>
      <c r="R72" s="123">
        <v>43752.0</v>
      </c>
      <c r="S72" s="81" t="s">
        <v>32</v>
      </c>
      <c r="T72" s="86">
        <v>42767.0</v>
      </c>
      <c r="U72" s="68" t="s">
        <v>132</v>
      </c>
    </row>
    <row r="73">
      <c r="A73" s="131" t="str">
        <f>HYPERLINK("https://phillipreeve.net/blog/review-tokina-firin-100mm-f2-8-fe-macro/","Tokina Firin 2.8/100 Macro")</f>
        <v>Tokina Firin 2.8/100 Macro</v>
      </c>
      <c r="B73" s="76">
        <v>570.0</v>
      </c>
      <c r="C73" s="77">
        <v>100.0</v>
      </c>
      <c r="D73" s="78">
        <v>2.8</v>
      </c>
      <c r="E73" s="144">
        <v>74.0</v>
      </c>
      <c r="F73" s="151">
        <v>123.0</v>
      </c>
      <c r="G73" s="81" t="s">
        <v>30</v>
      </c>
      <c r="H73" s="82" t="s">
        <v>90</v>
      </c>
      <c r="I73" s="259">
        <v>1.0</v>
      </c>
      <c r="J73" s="129">
        <v>599.0</v>
      </c>
      <c r="K73" s="88" t="str">
        <f>HYPERLINK("http://amzn.to/2fbeX3x","link*")</f>
        <v>link*</v>
      </c>
      <c r="L73" s="88" t="str">
        <f>HYPERLINK("https://www.bhphotovideo.com/c/product/1473390-REG/tokina_frn_afm100fxse_firin_100mm_f_2_8_fe.html/BI/19619/KBID/12129/kw/TO100AF/DFF/d10-v2-t1-xTO100AF","link*")</f>
        <v>link*</v>
      </c>
      <c r="M73"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73"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73" s="83">
        <v>30.0</v>
      </c>
      <c r="P73" s="84" t="s">
        <v>26</v>
      </c>
      <c r="Q73" s="81">
        <v>9.0</v>
      </c>
      <c r="R73" s="123">
        <v>43686.0</v>
      </c>
      <c r="S73" s="81" t="s">
        <v>67</v>
      </c>
      <c r="T73" s="86">
        <v>43617.0</v>
      </c>
      <c r="U73" s="68" t="s">
        <v>42</v>
      </c>
    </row>
    <row r="74" hidden="1">
      <c r="A74" s="75" t="s">
        <v>135</v>
      </c>
      <c r="B74" s="76">
        <v>1395.0</v>
      </c>
      <c r="C74" s="77">
        <v>100.0</v>
      </c>
      <c r="D74" s="78" t="s">
        <v>118</v>
      </c>
      <c r="E74" s="144">
        <v>94.0</v>
      </c>
      <c r="F74" s="151">
        <v>205.0</v>
      </c>
      <c r="G74" s="81" t="s">
        <v>30</v>
      </c>
      <c r="H74" s="82" t="s">
        <v>56</v>
      </c>
      <c r="I74" s="185">
        <v>0.35</v>
      </c>
      <c r="J74" s="87">
        <v>2499.0</v>
      </c>
      <c r="K74" s="88" t="str">
        <f>HYPERLINK("https://amzn.to/2SZ0aZO","link*")</f>
        <v>link*</v>
      </c>
      <c r="L74" s="88" t="str">
        <f>HYPERLINK("https://www.bhphotovideo.com/c/product/1333230-REG/sony_sel100400gm_fe_100_400mm_f_4_5_5_6_gm.html/BI/19619/KBID/12129/DFF/d10-v21-t1-x817745/SID/EZ","link*")</f>
        <v>link*</v>
      </c>
      <c r="M74" s="89" t="s">
        <v>33</v>
      </c>
      <c r="N74"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74" s="83">
        <v>98.0</v>
      </c>
      <c r="P74" s="154" t="s">
        <v>49</v>
      </c>
      <c r="Q74" s="81">
        <v>11.0</v>
      </c>
      <c r="R74" s="85" t="s">
        <v>134</v>
      </c>
      <c r="S74" s="81" t="s">
        <v>32</v>
      </c>
      <c r="T74" s="86">
        <v>42826.0</v>
      </c>
    </row>
    <row r="75" hidden="1" customHeight="1">
      <c r="A75" s="75" t="s">
        <v>136</v>
      </c>
      <c r="B75" s="76">
        <v>1600.0</v>
      </c>
      <c r="C75" s="77">
        <v>105.0</v>
      </c>
      <c r="D75" s="78">
        <v>1.4</v>
      </c>
      <c r="E75" s="144">
        <v>116.0</v>
      </c>
      <c r="F75" s="151">
        <v>132.0</v>
      </c>
      <c r="G75" s="81" t="s">
        <v>30</v>
      </c>
      <c r="H75" s="384" t="s">
        <v>137</v>
      </c>
      <c r="I75" s="81">
        <v>0.12</v>
      </c>
      <c r="J75" s="87">
        <v>1599.0</v>
      </c>
      <c r="K75" s="88" t="str">
        <f>HYPERLINK("https://amzn.to/2EWeThZ","link*")</f>
        <v>link*</v>
      </c>
      <c r="L75" s="88" t="str">
        <f>HYPERLINK("https://www.bhphotovideo.com/c/product/1393488-REG/sigma_105mm_f_1_4_dg_hsm.html/BI/19619/KBID/12129/kw/SI10514SO/DFF/d10-v2-t1-xSI10514SO","link*")</f>
        <v>link*</v>
      </c>
      <c r="M75" s="88" t="str">
        <f>HYPERLINK("https://amzn.to/2WpOvTy","link*")</f>
        <v>link*</v>
      </c>
      <c r="N75"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75" s="83">
        <v>100.0</v>
      </c>
      <c r="P75" s="84" t="s">
        <v>26</v>
      </c>
      <c r="Q75" s="81">
        <v>9.0</v>
      </c>
      <c r="R75" s="123">
        <v>43816.0</v>
      </c>
      <c r="S75" s="81" t="s">
        <v>138</v>
      </c>
      <c r="T75" s="86">
        <v>43221.0</v>
      </c>
      <c r="U75" s="68" t="s">
        <v>42</v>
      </c>
    </row>
    <row r="76" hidden="1">
      <c r="A76" s="131" t="str">
        <f>HYPERLINK("https://phillipreeve.net/blog/voigtlander-110mm-f2-5-apo-review/","Voigtlander 110mm F2.5 APO Macro")</f>
        <v>Voigtlander 110mm F2.5 APO Macro</v>
      </c>
      <c r="B76" s="76">
        <v>771.0</v>
      </c>
      <c r="C76" s="77">
        <v>110.0</v>
      </c>
      <c r="D76" s="78">
        <v>2.5</v>
      </c>
      <c r="E76" s="144">
        <v>78.0</v>
      </c>
      <c r="F76" s="145">
        <v>100.0</v>
      </c>
      <c r="G76" s="81" t="s">
        <v>24</v>
      </c>
      <c r="H76" s="82" t="s">
        <v>47</v>
      </c>
      <c r="I76" s="259">
        <v>1.0</v>
      </c>
      <c r="J76" s="87">
        <v>1099.0</v>
      </c>
      <c r="K76" s="88" t="str">
        <f>HYPERLINK("https://amzn.to/2SXYsrm","link*")</f>
        <v>link*</v>
      </c>
      <c r="L76" s="88" t="str">
        <f>HYPERLINK("https://www.bhphotovideo.com/c/product/1418780-REG/voigtlander_ba349a_macro_apo_lanthar_110mm_f_2_5.html/BI/19619/KBID/12129/kw/VO11025/DFF/d10-v2-t1-xVO11025","link*")</f>
        <v>link*</v>
      </c>
      <c r="M76" s="89" t="s">
        <v>33</v>
      </c>
      <c r="N76"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76" s="83">
        <v>35.0</v>
      </c>
      <c r="P76" s="84" t="s">
        <v>26</v>
      </c>
      <c r="Q76" s="81">
        <v>10.0</v>
      </c>
      <c r="R76" s="123">
        <v>43813.0</v>
      </c>
      <c r="S76" s="81" t="s">
        <v>28</v>
      </c>
      <c r="T76" s="86">
        <v>43405.0</v>
      </c>
    </row>
    <row r="77" hidden="1">
      <c r="A77" s="131" t="str">
        <f>HYPERLINK("https://phillipreeve.net/blog/review-sony-fe-135mm-f1-8-gm/","Sony 1.8/135 GM")</f>
        <v>Sony 1.8/135 GM</v>
      </c>
      <c r="B77" s="76">
        <v>950.0</v>
      </c>
      <c r="C77" s="77">
        <v>135.0</v>
      </c>
      <c r="D77" s="78">
        <v>1.8</v>
      </c>
      <c r="E77" s="144">
        <v>90.0</v>
      </c>
      <c r="F77" s="145">
        <v>127.0</v>
      </c>
      <c r="G77" s="81" t="s">
        <v>30</v>
      </c>
      <c r="H77" s="270" t="s">
        <v>51</v>
      </c>
      <c r="I77" s="185">
        <v>0.25</v>
      </c>
      <c r="J77" s="87">
        <v>1899.0</v>
      </c>
      <c r="K77" s="88" t="str">
        <f>HYPERLINK("https://amzn.to/2WtonMJ","link*")</f>
        <v>link*</v>
      </c>
      <c r="L77" s="88" t="str">
        <f>HYPERLINK("https://www.bhphotovideo.com/c/product/1393495-REG/sigma_135mm_f_1_8_dg_hsm.html/BI/19619/KBID/12129/kw/SI13518SO/DFF/d10-v2-t1-xSI13518SO","link*")</f>
        <v>link*</v>
      </c>
      <c r="M77" s="88" t="str">
        <f>HYPERLINK("https://amzn.to/2Z9KKDE","link*")</f>
        <v>link*</v>
      </c>
      <c r="N77"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77" s="83">
        <v>70.0</v>
      </c>
      <c r="P77" s="84" t="s">
        <v>26</v>
      </c>
      <c r="Q77" s="81">
        <v>11.0</v>
      </c>
      <c r="R77" s="123">
        <v>43751.0</v>
      </c>
      <c r="S77" s="81" t="s">
        <v>32</v>
      </c>
      <c r="T77" s="86">
        <v>43525.0</v>
      </c>
    </row>
    <row r="78" hidden="1">
      <c r="A78" s="75" t="s">
        <v>142</v>
      </c>
      <c r="B78" s="76">
        <v>1130.0</v>
      </c>
      <c r="C78" s="77">
        <v>135.0</v>
      </c>
      <c r="D78" s="78">
        <v>1.8</v>
      </c>
      <c r="E78" s="144">
        <v>91.0</v>
      </c>
      <c r="F78" s="145">
        <v>115.0</v>
      </c>
      <c r="G78" s="81" t="s">
        <v>30</v>
      </c>
      <c r="H78" s="270" t="s">
        <v>51</v>
      </c>
      <c r="I78" s="81">
        <v>0.2</v>
      </c>
      <c r="J78" s="129">
        <v>1399.0</v>
      </c>
      <c r="K78" s="88" t="str">
        <f>HYPERLINK("https://amzn.to/2yxIM4R","link*")</f>
        <v>link*</v>
      </c>
      <c r="L78" s="88" t="str">
        <f>HYPERLINK("https://www.bhphotovideo.com/c/product/1393495-REG/sigma_135mm_f_1_8_dg_hsm.html/BI/19619/KBID/12129/DFF/d10-v21-t1-x881160/SID/EZ","link*")</f>
        <v>link*</v>
      </c>
      <c r="M78" s="89" t="s">
        <v>33</v>
      </c>
      <c r="N78"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78" s="83">
        <v>87.0</v>
      </c>
      <c r="P78" s="84" t="s">
        <v>26</v>
      </c>
      <c r="Q78" s="81">
        <v>9.0</v>
      </c>
      <c r="R78" s="123">
        <v>43751.0</v>
      </c>
      <c r="S78" s="81" t="s">
        <v>41</v>
      </c>
      <c r="T78" s="86">
        <v>43221.0</v>
      </c>
      <c r="U78" s="68" t="s">
        <v>42</v>
      </c>
    </row>
    <row r="79" hidden="1">
      <c r="A79" s="131" t="str">
        <f>HYPERLINK("https://phillipreeve.net/blog/zeiss-batis-apo-sonnar-t-135mm-f2-8/","Zeiss 2.8/135 APO")</f>
        <v>Zeiss 2.8/135 APO</v>
      </c>
      <c r="B79" s="76">
        <v>614.0</v>
      </c>
      <c r="C79" s="77">
        <v>135.0</v>
      </c>
      <c r="D79" s="78">
        <v>2.8</v>
      </c>
      <c r="E79" s="144">
        <v>99.0</v>
      </c>
      <c r="F79" s="145">
        <v>120.0</v>
      </c>
      <c r="G79" s="81" t="s">
        <v>30</v>
      </c>
      <c r="H79" s="82" t="s">
        <v>53</v>
      </c>
      <c r="I79" s="81">
        <v>0.19</v>
      </c>
      <c r="J79" s="87">
        <v>1699.0</v>
      </c>
      <c r="K79" s="88" t="str">
        <f>HYPERLINK("https://amzn.to/319GJA4","link*")</f>
        <v>link*</v>
      </c>
      <c r="L79" s="88" t="str">
        <f>HYPERLINK("https://www.bhphotovideo.com/c/product/1330083-REG/zeiss_2136_695_batis_135mm_f_2_8_lens.html/BI/19619/KBID/12129/DFF/d10-v21-t1-x814884/SID/EZ","link*")</f>
        <v>link*</v>
      </c>
      <c r="M79" s="89" t="s">
        <v>33</v>
      </c>
      <c r="N79"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79" s="83">
        <v>87.0</v>
      </c>
      <c r="P79" s="154" t="s">
        <v>49</v>
      </c>
      <c r="Q79" s="81">
        <v>9.0</v>
      </c>
      <c r="R79" s="123">
        <v>43783.0</v>
      </c>
      <c r="S79" s="81" t="s">
        <v>58</v>
      </c>
      <c r="T79" s="86">
        <v>42826.0</v>
      </c>
    </row>
    <row r="80" hidden="1">
      <c r="A80" s="75" t="s">
        <v>144</v>
      </c>
      <c r="B80" s="76">
        <v>2215.0</v>
      </c>
      <c r="C80" s="77">
        <v>200.0</v>
      </c>
      <c r="D80" s="78" t="s">
        <v>145</v>
      </c>
      <c r="E80" s="144">
        <v>112.0</v>
      </c>
      <c r="F80" s="145">
        <v>318.0</v>
      </c>
      <c r="G80" s="81" t="s">
        <v>30</v>
      </c>
      <c r="H80" s="198" t="s">
        <v>92</v>
      </c>
      <c r="I80" s="81">
        <v>0.2</v>
      </c>
      <c r="J80" s="87">
        <v>1999.0</v>
      </c>
      <c r="K80" s="89"/>
      <c r="L80" s="88" t="str">
        <f>HYPERLINK("https://www.bhphotovideo.com/c/product/1485540-REG/sony_sel200600g_fe_200_600mm_f_5_6_6_3_g.html/BI/19619/KBID/12129/DFF/d10-v21-t1-x968882/SID/EZ","link*")</f>
        <v>link*</v>
      </c>
      <c r="M80" s="89" t="s">
        <v>33</v>
      </c>
      <c r="N80"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80" s="83">
        <v>240.0</v>
      </c>
      <c r="P80" s="154" t="s">
        <v>49</v>
      </c>
      <c r="Q80" s="81">
        <v>11.0</v>
      </c>
      <c r="R80" s="85" t="s">
        <v>146</v>
      </c>
      <c r="S80" s="81" t="s">
        <v>32</v>
      </c>
      <c r="T80" s="86">
        <v>43647.0</v>
      </c>
    </row>
    <row r="81" hidden="1">
      <c r="A81" s="75" t="s">
        <v>147</v>
      </c>
      <c r="B81" s="76">
        <v>2895.0</v>
      </c>
      <c r="C81" s="77">
        <v>400.0</v>
      </c>
      <c r="D81" s="78">
        <v>2.8</v>
      </c>
      <c r="E81" s="144">
        <v>158.0</v>
      </c>
      <c r="F81" s="145">
        <v>359.0</v>
      </c>
      <c r="G81" s="81" t="s">
        <v>30</v>
      </c>
      <c r="H81" s="82" t="s">
        <v>148</v>
      </c>
      <c r="I81" s="81">
        <v>0.16</v>
      </c>
      <c r="J81" s="87">
        <v>11999.0</v>
      </c>
      <c r="K81" s="89"/>
      <c r="L81" s="88" t="str">
        <f>HYPERLINK("https://www.bhphotovideo.com/c/product/1369634-REG/sony_fe_400mm_f_2_8_gm.html/BI/19619/KBID/12129/DFF/d10-v21-t1-x905722/SID/EZ","link*")</f>
        <v>link*</v>
      </c>
      <c r="M81" s="89" t="s">
        <v>33</v>
      </c>
      <c r="N81"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81" s="83">
        <v>270.0</v>
      </c>
      <c r="P81" s="154" t="s">
        <v>49</v>
      </c>
      <c r="Q81" s="81">
        <v>11.0</v>
      </c>
      <c r="R81" s="85" t="s">
        <v>149</v>
      </c>
      <c r="S81" s="81" t="s">
        <v>32</v>
      </c>
      <c r="T81" s="86">
        <v>43313.0</v>
      </c>
    </row>
    <row r="82" hidden="1">
      <c r="A82" s="212" t="s">
        <v>150</v>
      </c>
      <c r="B82" s="213">
        <v>3040.0</v>
      </c>
      <c r="C82" s="214">
        <v>600.0</v>
      </c>
      <c r="D82" s="215">
        <v>4.0</v>
      </c>
      <c r="E82" s="144">
        <v>164.0</v>
      </c>
      <c r="F82" s="145">
        <v>449.0</v>
      </c>
      <c r="G82" s="218" t="s">
        <v>30</v>
      </c>
      <c r="H82" s="219" t="s">
        <v>25</v>
      </c>
      <c r="I82" s="218">
        <v>0.14</v>
      </c>
      <c r="J82" s="141" t="s">
        <v>230</v>
      </c>
      <c r="K82" s="89"/>
      <c r="L82" s="88" t="str">
        <f>HYPERLINK("https://www.bhphotovideo.com/c/product/1485539-REG/sony_sel600f40gm_fe_600mm_f_4_gm.html/BI/19619/KBID/12129/DFF/d10-v21-t1-x968881/SID/EZ","link*")</f>
        <v>link*</v>
      </c>
      <c r="M82" s="89" t="s">
        <v>33</v>
      </c>
      <c r="N82"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82" s="221">
        <v>451.0</v>
      </c>
      <c r="P82" s="154" t="s">
        <v>49</v>
      </c>
      <c r="Q82" s="218">
        <v>11.0</v>
      </c>
      <c r="R82" s="262" t="s">
        <v>151</v>
      </c>
      <c r="S82" s="218" t="s">
        <v>32</v>
      </c>
      <c r="T82" s="224">
        <v>43678.0</v>
      </c>
    </row>
    <row r="83" hidden="1">
      <c r="A83" s="275"/>
      <c r="B83" s="276"/>
      <c r="C83" s="277"/>
      <c r="D83" s="278"/>
      <c r="E83" s="144"/>
      <c r="F83" s="145"/>
      <c r="G83" s="68"/>
      <c r="H83" s="279"/>
      <c r="I83" s="68"/>
      <c r="J83" s="282"/>
      <c r="K83" s="283"/>
      <c r="L83" s="283"/>
      <c r="M83" s="283"/>
      <c r="N83" s="283"/>
      <c r="O83" s="280"/>
      <c r="P83" s="68"/>
      <c r="Q83" s="68"/>
      <c r="R83" s="68"/>
      <c r="S83" s="68"/>
      <c r="T83" s="281"/>
    </row>
    <row r="84" hidden="1">
      <c r="A84" s="275"/>
      <c r="B84" s="276"/>
      <c r="C84" s="277"/>
      <c r="D84" s="278"/>
      <c r="E84" s="144"/>
      <c r="F84" s="145"/>
      <c r="G84" s="68"/>
      <c r="H84" s="279"/>
      <c r="I84" s="68"/>
      <c r="J84" s="282"/>
      <c r="K84" s="283"/>
      <c r="L84" s="283"/>
      <c r="M84" s="283"/>
      <c r="N84" s="283"/>
      <c r="O84" s="280"/>
      <c r="P84" s="68"/>
      <c r="Q84" s="68"/>
      <c r="R84" s="68"/>
      <c r="S84" s="68"/>
      <c r="T84" s="281"/>
    </row>
    <row r="85" hidden="1">
      <c r="A85" s="275"/>
      <c r="B85" s="276"/>
      <c r="C85" s="277"/>
      <c r="D85" s="278"/>
      <c r="E85" s="144"/>
      <c r="F85" s="145"/>
      <c r="G85" s="68"/>
      <c r="H85" s="279"/>
      <c r="I85" s="68"/>
      <c r="J85" s="282"/>
      <c r="K85" s="283"/>
      <c r="L85" s="283"/>
      <c r="M85" s="283"/>
      <c r="N85" s="283"/>
      <c r="O85" s="280"/>
      <c r="P85" s="68"/>
      <c r="Q85" s="68"/>
      <c r="R85" s="68"/>
      <c r="S85" s="68"/>
      <c r="T85" s="281"/>
    </row>
    <row r="86" hidden="1">
      <c r="A86" s="275"/>
      <c r="B86" s="276"/>
      <c r="C86" s="277"/>
      <c r="D86" s="278"/>
      <c r="E86" s="144"/>
      <c r="F86" s="145"/>
      <c r="G86" s="68"/>
      <c r="H86" s="279"/>
      <c r="I86" s="68"/>
      <c r="J86" s="282"/>
      <c r="K86" s="283"/>
      <c r="L86" s="283"/>
      <c r="M86" s="283"/>
      <c r="N86" s="283"/>
      <c r="O86" s="280"/>
      <c r="P86" s="68"/>
      <c r="Q86" s="68"/>
      <c r="R86" s="68"/>
      <c r="S86" s="68"/>
      <c r="T86" s="281"/>
    </row>
    <row r="87" hidden="1">
      <c r="A87" s="275"/>
      <c r="B87" s="276"/>
      <c r="C87" s="277"/>
      <c r="D87" s="278"/>
      <c r="E87" s="144"/>
      <c r="F87" s="151"/>
      <c r="G87" s="68"/>
      <c r="H87" s="279"/>
      <c r="I87" s="68"/>
      <c r="J87" s="282"/>
      <c r="K87" s="283"/>
      <c r="L87" s="283"/>
      <c r="M87" s="283"/>
      <c r="N87" s="283"/>
      <c r="O87" s="280"/>
      <c r="P87" s="68"/>
      <c r="Q87" s="68"/>
      <c r="R87" s="68"/>
      <c r="S87" s="68"/>
      <c r="T87" s="281"/>
    </row>
    <row r="88" hidden="1">
      <c r="A88" s="275"/>
      <c r="B88" s="276"/>
      <c r="C88" s="277"/>
      <c r="D88" s="278"/>
      <c r="E88" s="144"/>
      <c r="F88" s="145"/>
      <c r="G88" s="68"/>
      <c r="H88" s="279"/>
      <c r="I88" s="68"/>
      <c r="J88" s="282"/>
      <c r="K88" s="283"/>
      <c r="L88" s="283"/>
      <c r="M88" s="283"/>
      <c r="N88" s="283"/>
      <c r="O88" s="280"/>
      <c r="P88" s="68"/>
      <c r="Q88" s="68"/>
      <c r="R88" s="68"/>
      <c r="S88" s="68"/>
      <c r="T88" s="281"/>
    </row>
    <row r="89" hidden="1">
      <c r="A89" s="275"/>
      <c r="B89" s="276"/>
      <c r="C89" s="277"/>
      <c r="D89" s="278"/>
      <c r="E89" s="144"/>
      <c r="F89" s="145"/>
      <c r="G89" s="68"/>
      <c r="H89" s="279"/>
      <c r="I89" s="68"/>
      <c r="J89" s="282"/>
      <c r="K89" s="283"/>
      <c r="L89" s="283"/>
      <c r="M89" s="283"/>
      <c r="N89" s="283"/>
      <c r="O89" s="280"/>
      <c r="P89" s="68"/>
      <c r="Q89" s="68"/>
      <c r="R89" s="68"/>
      <c r="S89" s="68"/>
      <c r="T89" s="281"/>
    </row>
    <row r="90" hidden="1">
      <c r="A90" s="275"/>
      <c r="B90" s="276"/>
      <c r="C90" s="277"/>
      <c r="D90" s="278"/>
      <c r="E90" s="144"/>
      <c r="F90" s="145"/>
      <c r="G90" s="68"/>
      <c r="H90" s="279"/>
      <c r="I90" s="68"/>
      <c r="J90" s="282"/>
      <c r="K90" s="283"/>
      <c r="L90" s="283"/>
      <c r="M90" s="283"/>
      <c r="N90" s="283"/>
      <c r="O90" s="280"/>
      <c r="P90" s="68"/>
      <c r="Q90" s="68"/>
      <c r="R90" s="68"/>
      <c r="S90" s="68"/>
      <c r="T90" s="281"/>
    </row>
    <row r="91" hidden="1">
      <c r="A91" s="275"/>
      <c r="B91" s="276"/>
      <c r="C91" s="277"/>
      <c r="D91" s="278"/>
      <c r="E91" s="144"/>
      <c r="F91" s="145"/>
      <c r="G91" s="68"/>
      <c r="H91" s="279"/>
      <c r="I91" s="68"/>
      <c r="J91" s="282"/>
      <c r="K91" s="283"/>
      <c r="L91" s="283"/>
      <c r="M91" s="283"/>
      <c r="N91" s="283"/>
      <c r="O91" s="280"/>
      <c r="P91" s="68"/>
      <c r="Q91" s="68"/>
      <c r="R91" s="68"/>
      <c r="S91" s="68"/>
      <c r="T91" s="281"/>
    </row>
    <row r="92" hidden="1">
      <c r="A92" s="275"/>
      <c r="B92" s="276"/>
      <c r="C92" s="277"/>
      <c r="D92" s="278"/>
      <c r="E92" s="144"/>
      <c r="F92" s="145"/>
      <c r="G92" s="68"/>
      <c r="H92" s="279"/>
      <c r="I92" s="68"/>
      <c r="J92" s="282"/>
      <c r="K92" s="283"/>
      <c r="L92" s="283"/>
      <c r="M92" s="283"/>
      <c r="N92" s="283"/>
      <c r="O92" s="280"/>
      <c r="P92" s="68"/>
      <c r="Q92" s="68"/>
      <c r="R92" s="68"/>
      <c r="S92" s="68"/>
      <c r="T92" s="281"/>
    </row>
    <row r="93" hidden="1">
      <c r="A93" s="275"/>
      <c r="B93" s="276"/>
      <c r="C93" s="277"/>
      <c r="D93" s="278"/>
      <c r="E93" s="144"/>
      <c r="F93" s="151"/>
      <c r="G93" s="68"/>
      <c r="H93" s="279"/>
      <c r="I93" s="68"/>
      <c r="J93" s="282"/>
      <c r="K93" s="283"/>
      <c r="L93" s="283"/>
      <c r="M93" s="283"/>
      <c r="N93" s="283"/>
      <c r="O93" s="280"/>
      <c r="P93" s="68"/>
      <c r="Q93" s="68"/>
      <c r="R93" s="68"/>
      <c r="S93" s="68"/>
      <c r="T93" s="281"/>
    </row>
    <row r="94" hidden="1">
      <c r="A94" s="275"/>
      <c r="B94" s="276"/>
      <c r="C94" s="277"/>
      <c r="D94" s="278"/>
      <c r="E94" s="144"/>
      <c r="F94" s="145"/>
      <c r="G94" s="68"/>
      <c r="H94" s="279"/>
      <c r="I94" s="68"/>
      <c r="J94" s="282"/>
      <c r="K94" s="283"/>
      <c r="L94" s="283"/>
      <c r="M94" s="283"/>
      <c r="N94" s="283"/>
      <c r="O94" s="280"/>
      <c r="P94" s="68"/>
      <c r="Q94" s="68"/>
      <c r="R94" s="68"/>
      <c r="S94" s="68"/>
      <c r="T94" s="281"/>
    </row>
    <row r="95" hidden="1">
      <c r="A95" s="275"/>
      <c r="B95" s="276"/>
      <c r="C95" s="277"/>
      <c r="D95" s="278"/>
      <c r="E95" s="175"/>
      <c r="F95" s="176"/>
      <c r="G95" s="68"/>
      <c r="H95" s="279"/>
      <c r="I95" s="68"/>
      <c r="J95" s="282"/>
      <c r="K95" s="283"/>
      <c r="L95" s="283"/>
      <c r="M95" s="283"/>
      <c r="N95" s="283"/>
      <c r="O95" s="280"/>
      <c r="P95" s="68"/>
      <c r="Q95" s="68"/>
      <c r="R95" s="68"/>
      <c r="S95" s="68"/>
      <c r="T95" s="281"/>
    </row>
    <row r="96" hidden="1">
      <c r="A96" s="275"/>
      <c r="B96" s="276"/>
      <c r="C96" s="277"/>
      <c r="D96" s="278"/>
      <c r="E96" s="284"/>
      <c r="F96" s="284"/>
      <c r="G96" s="68"/>
      <c r="H96" s="279"/>
      <c r="I96" s="68"/>
      <c r="J96" s="282"/>
      <c r="K96" s="283"/>
      <c r="L96" s="283"/>
      <c r="M96" s="283"/>
      <c r="N96" s="283"/>
      <c r="O96" s="280"/>
      <c r="P96" s="68"/>
      <c r="Q96" s="68"/>
      <c r="R96" s="68"/>
      <c r="S96" s="68"/>
      <c r="T96" s="281"/>
    </row>
    <row r="97" hidden="1">
      <c r="A97" s="275"/>
      <c r="B97" s="276"/>
      <c r="C97" s="277"/>
      <c r="D97" s="278"/>
      <c r="E97" s="284"/>
      <c r="F97" s="284"/>
      <c r="G97" s="68"/>
      <c r="H97" s="279"/>
      <c r="I97" s="68"/>
      <c r="J97" s="282"/>
      <c r="K97" s="283"/>
      <c r="L97" s="283"/>
      <c r="M97" s="283"/>
      <c r="N97" s="283"/>
      <c r="O97" s="280"/>
      <c r="P97" s="68"/>
      <c r="Q97" s="68"/>
      <c r="R97" s="68"/>
      <c r="S97" s="68"/>
      <c r="T97" s="281"/>
    </row>
    <row r="98" hidden="1">
      <c r="A98" s="275"/>
      <c r="B98" s="276"/>
      <c r="C98" s="277"/>
      <c r="D98" s="278"/>
      <c r="E98" s="284"/>
      <c r="F98" s="284"/>
      <c r="G98" s="68"/>
      <c r="H98" s="279"/>
      <c r="I98" s="68"/>
      <c r="J98" s="282"/>
      <c r="K98" s="283"/>
      <c r="L98" s="283"/>
      <c r="M98" s="283"/>
      <c r="N98" s="283"/>
      <c r="O98" s="280"/>
      <c r="P98" s="68"/>
      <c r="Q98" s="68"/>
      <c r="R98" s="68"/>
      <c r="S98" s="68"/>
      <c r="T98" s="281"/>
    </row>
    <row r="99" hidden="1">
      <c r="A99" s="275"/>
      <c r="B99" s="276"/>
      <c r="C99" s="277"/>
      <c r="D99" s="278"/>
      <c r="E99" s="284"/>
      <c r="F99" s="284"/>
      <c r="G99" s="68"/>
      <c r="H99" s="279"/>
      <c r="I99" s="68"/>
      <c r="J99" s="282"/>
      <c r="K99" s="283"/>
      <c r="L99" s="283"/>
      <c r="M99" s="283"/>
      <c r="N99" s="283"/>
      <c r="O99" s="280"/>
      <c r="P99" s="68"/>
      <c r="Q99" s="68"/>
      <c r="R99" s="68"/>
      <c r="S99" s="68"/>
      <c r="T99" s="281"/>
    </row>
    <row r="100" hidden="1">
      <c r="A100" s="275"/>
      <c r="B100" s="276"/>
      <c r="C100" s="277"/>
      <c r="D100" s="278"/>
      <c r="E100" s="284"/>
      <c r="F100" s="284"/>
      <c r="G100" s="68"/>
      <c r="H100" s="279"/>
      <c r="I100" s="68"/>
      <c r="J100" s="282"/>
      <c r="K100" s="283"/>
      <c r="L100" s="283"/>
      <c r="M100" s="283"/>
      <c r="N100" s="283"/>
      <c r="O100" s="280"/>
      <c r="P100" s="68"/>
      <c r="Q100" s="68"/>
      <c r="R100" s="68"/>
      <c r="S100" s="68"/>
      <c r="T100" s="281"/>
    </row>
    <row r="101" hidden="1">
      <c r="A101" s="275"/>
      <c r="B101" s="276"/>
      <c r="C101" s="277"/>
      <c r="D101" s="278"/>
      <c r="E101" s="284"/>
      <c r="F101" s="284"/>
      <c r="G101" s="68"/>
      <c r="H101" s="279"/>
      <c r="I101" s="68"/>
      <c r="J101" s="282"/>
      <c r="K101" s="283"/>
      <c r="L101" s="283"/>
      <c r="M101" s="283"/>
      <c r="N101" s="283"/>
      <c r="O101" s="280"/>
      <c r="P101" s="68"/>
      <c r="Q101" s="68"/>
      <c r="R101" s="68"/>
      <c r="S101" s="68"/>
      <c r="T101" s="281"/>
    </row>
    <row r="102" hidden="1">
      <c r="A102" s="275"/>
      <c r="B102" s="276"/>
      <c r="C102" s="277"/>
      <c r="D102" s="278"/>
      <c r="E102" s="284"/>
      <c r="F102" s="284"/>
      <c r="G102" s="68"/>
      <c r="H102" s="279"/>
      <c r="I102" s="68"/>
      <c r="J102" s="282"/>
      <c r="K102" s="283"/>
      <c r="L102" s="283"/>
      <c r="M102" s="283"/>
      <c r="N102" s="283"/>
      <c r="O102" s="280"/>
      <c r="P102" s="68"/>
      <c r="Q102" s="68"/>
      <c r="R102" s="68"/>
      <c r="S102" s="68"/>
      <c r="T102" s="281"/>
    </row>
    <row r="103" hidden="1">
      <c r="A103" s="291" t="s">
        <v>153</v>
      </c>
      <c r="B103" s="376">
        <f>Count(B2:B101)</f>
        <v>80</v>
      </c>
      <c r="C103" s="68" t="s">
        <v>231</v>
      </c>
      <c r="D103" s="68"/>
      <c r="E103" s="284"/>
      <c r="F103" s="293"/>
      <c r="G103" s="68"/>
      <c r="H103" s="279"/>
      <c r="I103" s="68"/>
      <c r="J103" s="68"/>
      <c r="K103" s="283"/>
      <c r="L103" s="283"/>
      <c r="M103" s="283"/>
      <c r="N103" s="283"/>
      <c r="O103" s="68"/>
      <c r="P103" s="68"/>
      <c r="Q103" s="68"/>
      <c r="R103" s="68"/>
      <c r="S103" s="68"/>
      <c r="T103" s="68"/>
    </row>
    <row r="104" hidden="1">
      <c r="A104" s="294" t="s">
        <v>232</v>
      </c>
      <c r="E104" s="284"/>
      <c r="F104" s="293"/>
      <c r="H104" s="295"/>
      <c r="K104" s="283"/>
      <c r="L104" s="283"/>
      <c r="M104" s="283"/>
      <c r="N104" s="283"/>
    </row>
    <row r="105" hidden="1">
      <c r="A105" s="275"/>
      <c r="B105" s="68"/>
      <c r="C105" s="68"/>
      <c r="D105" s="68"/>
      <c r="E105" s="284"/>
      <c r="F105" s="293"/>
      <c r="G105" s="68"/>
      <c r="H105" s="279"/>
      <c r="I105" s="68"/>
      <c r="J105" s="68"/>
      <c r="K105" s="283"/>
      <c r="L105" s="283"/>
      <c r="M105" s="283"/>
      <c r="N105" s="283"/>
      <c r="O105" s="68"/>
      <c r="P105" s="68"/>
      <c r="Q105" s="68"/>
      <c r="R105" s="68"/>
      <c r="S105" s="68"/>
      <c r="T105" s="68"/>
    </row>
    <row r="106" hidden="1">
      <c r="A106" s="377" t="str">
        <f>HYPERLINK("https://phillipreeve.net/blog/sony-fe-lenses/fe-list/","If you have a question or want to report any mistake please leave a comment on the blog.")</f>
        <v>If you have a question or want to report any mistake please leave a comment on the blog.</v>
      </c>
      <c r="B106" s="297"/>
      <c r="C106" s="297"/>
      <c r="D106" s="297"/>
      <c r="E106" s="298"/>
      <c r="F106" s="299"/>
      <c r="G106" s="297"/>
      <c r="H106" s="300"/>
      <c r="I106" s="297"/>
      <c r="J106" s="297"/>
      <c r="K106" s="283"/>
      <c r="L106" s="283"/>
      <c r="M106" s="283"/>
      <c r="N106" s="283"/>
    </row>
    <row r="107" hidden="1">
      <c r="E107" s="284"/>
      <c r="F107" s="293"/>
      <c r="H107" s="295"/>
      <c r="K107" s="283"/>
      <c r="L107" s="283"/>
      <c r="M107" s="283"/>
      <c r="N107" s="283"/>
    </row>
    <row r="108" hidden="1">
      <c r="A108" s="275" t="s">
        <v>155</v>
      </c>
      <c r="E108" s="284"/>
      <c r="F108" s="293"/>
      <c r="H108" s="295"/>
      <c r="K108" s="283"/>
      <c r="L108" s="283"/>
      <c r="M108" s="283"/>
      <c r="N108" s="283"/>
    </row>
    <row r="109" hidden="1">
      <c r="A109" s="301" t="str">
        <f>HYPERLINK("https://phillipreeve.net/blog/fe-lenses-sony-comprehensive-independent-guide/","Our Guide to FE-mount lenses - If you need any help on finding the right lens.")</f>
        <v>Our Guide to FE-mount lenses - If you need any help on finding the right lens.</v>
      </c>
      <c r="E109" s="284"/>
      <c r="F109" s="293"/>
      <c r="H109" s="295"/>
      <c r="K109" s="283"/>
      <c r="L109" s="283"/>
      <c r="M109" s="283"/>
      <c r="N109" s="283"/>
    </row>
    <row r="110" hidden="1">
      <c r="A110" s="301" t="str">
        <f>HYPERLINK("https://phillipreeve.net/blog/9-golden-rules-to-buy-the-wrong-lens/","10 golden rules to buy the wrong lens.")</f>
        <v>10 golden rules to buy the wrong lens.</v>
      </c>
      <c r="E110" s="284"/>
      <c r="F110" s="293"/>
      <c r="H110" s="295"/>
      <c r="K110" s="283"/>
      <c r="L110" s="283"/>
      <c r="M110" s="283"/>
      <c r="N110" s="283"/>
    </row>
    <row r="111" hidden="1">
      <c r="A111" s="301" t="str">
        <f>HYPERLINK("https://phillipreeve.net/blog/user-guide-ultra-wideangle-lenses-sony-alpha-7-series/","Our Guide to Ultra-Wideangle lenses")</f>
        <v>Our Guide to Ultra-Wideangle lenses</v>
      </c>
      <c r="E111" s="284"/>
      <c r="F111" s="293"/>
      <c r="H111" s="295"/>
      <c r="K111" s="283"/>
      <c r="L111" s="283"/>
      <c r="M111" s="283"/>
      <c r="N111" s="283"/>
    </row>
    <row r="112" hidden="1">
      <c r="A112" s="301" t="str">
        <f>HYPERLINK("https://phillipreeve.net/blog/wideangle-lenses-for-the-sony-alpha-7-series/","Our Guide to Wideangle lenses")</f>
        <v>Our Guide to Wideangle lenses</v>
      </c>
      <c r="E112" s="284"/>
      <c r="F112" s="293"/>
      <c r="H112" s="295"/>
      <c r="K112" s="283"/>
      <c r="L112" s="283"/>
      <c r="M112" s="283"/>
      <c r="N112" s="283"/>
    </row>
    <row r="113" hidden="1">
      <c r="A113" s="301" t="str">
        <f>HYPERLINK("https://phillipreeve.net/blog/guide-to-macro-lenses-for-the-sony-a7-series/","Our Guide to Macro lenses")</f>
        <v>Our Guide to Macro lenses</v>
      </c>
      <c r="E113" s="284"/>
      <c r="F113" s="293"/>
      <c r="H113" s="295"/>
      <c r="K113" s="283"/>
      <c r="L113" s="283"/>
      <c r="M113" s="283"/>
      <c r="N113" s="283"/>
    </row>
    <row r="114" hidden="1">
      <c r="A114" s="301" t="str">
        <f>HYPERLINK("https://phillipreeve.net/blog/user-guide-to-portrait-lenses-sony-a7-series/","Our Guide to Portrait lenses")</f>
        <v>Our Guide to Portrait lenses</v>
      </c>
      <c r="E114" s="284"/>
      <c r="F114" s="293"/>
      <c r="H114" s="295"/>
      <c r="K114" s="283"/>
      <c r="L114" s="283"/>
      <c r="M114" s="283"/>
      <c r="N114" s="283"/>
    </row>
    <row r="115" hidden="1">
      <c r="A115" s="301" t="str">
        <f>HYPERLINK("https://phillipreeve.net/blog/building-a-lens-kit/","Building a lens kit")</f>
        <v>Building a lens kit</v>
      </c>
      <c r="E115" s="284"/>
      <c r="F115" s="293"/>
      <c r="H115" s="295"/>
      <c r="K115" s="283"/>
      <c r="L115" s="283"/>
      <c r="M115" s="283"/>
      <c r="N115" s="283"/>
    </row>
    <row r="116" hidden="1">
      <c r="A116" s="68"/>
      <c r="H116" s="295"/>
      <c r="K116" s="283"/>
      <c r="L116" s="283"/>
      <c r="M116" s="283"/>
      <c r="N116" s="283"/>
    </row>
    <row r="117" hidden="1">
      <c r="A117" s="275" t="s">
        <v>158</v>
      </c>
      <c r="H117" s="295"/>
      <c r="K117" s="283"/>
      <c r="L117" s="283"/>
      <c r="M117" s="283"/>
      <c r="N117" s="283"/>
    </row>
    <row r="118" hidden="1">
      <c r="A118" s="68" t="s">
        <v>159</v>
      </c>
      <c r="H118" s="295"/>
      <c r="K118" s="283"/>
      <c r="L118" s="283"/>
      <c r="M118" s="283"/>
      <c r="N118" s="283"/>
    </row>
    <row r="119" hidden="1">
      <c r="A119" s="68" t="s">
        <v>160</v>
      </c>
      <c r="H119" s="295"/>
      <c r="K119" s="283"/>
      <c r="L119" s="283"/>
      <c r="M119" s="283"/>
      <c r="N119" s="283"/>
    </row>
    <row r="120" hidden="1">
      <c r="A120" s="68" t="s">
        <v>161</v>
      </c>
      <c r="H120" s="295"/>
      <c r="K120" s="283"/>
      <c r="L120" s="283"/>
      <c r="M120" s="283"/>
      <c r="N120" s="283"/>
    </row>
    <row r="121" hidden="1">
      <c r="A121" s="68" t="s">
        <v>162</v>
      </c>
      <c r="H121" s="295"/>
      <c r="K121" s="283"/>
      <c r="L121" s="283"/>
      <c r="M121" s="283"/>
      <c r="N121" s="283"/>
    </row>
    <row r="122" hidden="1">
      <c r="A122" s="302"/>
      <c r="H122" s="295"/>
      <c r="K122" s="283"/>
      <c r="L122" s="283"/>
      <c r="M122" s="283"/>
      <c r="N122" s="283"/>
    </row>
    <row r="123" hidden="1">
      <c r="A123" s="275" t="s">
        <v>163</v>
      </c>
      <c r="H123" s="295"/>
      <c r="K123" s="283"/>
      <c r="L123" s="283"/>
      <c r="M123" s="283"/>
      <c r="N123" s="283"/>
    </row>
    <row r="124" hidden="1">
      <c r="A124" s="68" t="s">
        <v>233</v>
      </c>
      <c r="D124" s="302"/>
      <c r="H124" s="295"/>
      <c r="K124" s="283"/>
      <c r="L124" s="283"/>
      <c r="M124" s="283"/>
      <c r="N124" s="283"/>
    </row>
    <row r="125" hidden="1">
      <c r="A125" s="68" t="s">
        <v>164</v>
      </c>
      <c r="D125" s="302"/>
      <c r="H125" s="295"/>
      <c r="K125" s="283"/>
      <c r="L125" s="283"/>
      <c r="M125" s="283"/>
      <c r="N125" s="283"/>
    </row>
    <row r="126" hidden="1">
      <c r="H126" s="295"/>
      <c r="K126" s="283"/>
      <c r="L126" s="283"/>
      <c r="M126" s="283"/>
      <c r="N126" s="283"/>
    </row>
    <row r="127" hidden="1">
      <c r="A127" s="301" t="str">
        <f>HYPERLINK("https://phillipreeve.net/blog/impressum/","Impressum")</f>
        <v>Impressum</v>
      </c>
      <c r="H127" s="295"/>
      <c r="K127" s="283"/>
      <c r="L127" s="283"/>
      <c r="M127" s="283"/>
      <c r="N127" s="283"/>
    </row>
    <row r="128" hidden="1">
      <c r="H128" s="295"/>
      <c r="K128" s="283"/>
      <c r="L128" s="283"/>
      <c r="M128" s="283"/>
      <c r="N128" s="283"/>
    </row>
    <row r="129" hidden="1">
      <c r="H129" s="295"/>
      <c r="K129" s="283"/>
      <c r="L129" s="283"/>
      <c r="M129" s="283"/>
      <c r="N129" s="283"/>
    </row>
    <row r="130" hidden="1">
      <c r="H130" s="295"/>
      <c r="K130" s="283"/>
      <c r="L130" s="283"/>
      <c r="M130" s="283"/>
      <c r="N130" s="283"/>
    </row>
    <row r="131" hidden="1">
      <c r="H131" s="295"/>
      <c r="K131" s="283"/>
      <c r="L131" s="283"/>
      <c r="M131" s="283"/>
      <c r="N131" s="283"/>
    </row>
    <row r="132" hidden="1">
      <c r="H132" s="295"/>
      <c r="K132" s="283"/>
      <c r="L132" s="283"/>
      <c r="M132" s="283"/>
      <c r="N132" s="283"/>
    </row>
    <row r="133" hidden="1">
      <c r="A133" s="275"/>
      <c r="H133" s="295"/>
      <c r="K133" s="283"/>
      <c r="L133" s="283"/>
      <c r="M133" s="283"/>
      <c r="N133" s="283"/>
    </row>
    <row r="134" hidden="1">
      <c r="A134" s="275"/>
      <c r="H134" s="295"/>
      <c r="K134" s="283"/>
      <c r="L134" s="283"/>
      <c r="M134" s="283"/>
      <c r="N134" s="283"/>
    </row>
    <row r="135" hidden="1">
      <c r="A135" s="275"/>
      <c r="H135" s="295"/>
      <c r="K135" s="283"/>
      <c r="L135" s="283"/>
      <c r="M135" s="283"/>
      <c r="N135" s="283"/>
    </row>
    <row r="136" hidden="1">
      <c r="A136" s="275"/>
      <c r="H136" s="295"/>
      <c r="K136" s="283"/>
      <c r="L136" s="283"/>
      <c r="M136" s="283"/>
      <c r="N136" s="283"/>
    </row>
    <row r="137" hidden="1">
      <c r="A137" s="275"/>
      <c r="H137" s="295"/>
      <c r="K137" s="283"/>
      <c r="L137" s="283"/>
      <c r="M137" s="283"/>
      <c r="N137" s="283"/>
    </row>
    <row r="138" hidden="1">
      <c r="A138" s="275"/>
      <c r="H138" s="295"/>
      <c r="K138" s="283"/>
      <c r="L138" s="283"/>
      <c r="M138" s="283"/>
      <c r="N138" s="283"/>
    </row>
    <row r="139" hidden="1">
      <c r="A139" s="302"/>
      <c r="H139" s="295"/>
      <c r="K139" s="283"/>
      <c r="L139" s="283"/>
      <c r="M139" s="283"/>
      <c r="N139" s="283"/>
    </row>
    <row r="140" hidden="1">
      <c r="A140" s="275"/>
      <c r="H140" s="295"/>
      <c r="K140" s="283"/>
      <c r="L140" s="283"/>
      <c r="M140" s="283"/>
      <c r="N140" s="283"/>
    </row>
    <row r="141" hidden="1">
      <c r="A141" s="275"/>
      <c r="H141" s="295"/>
      <c r="K141" s="283"/>
      <c r="L141" s="283"/>
      <c r="M141" s="283"/>
      <c r="N141" s="283"/>
    </row>
    <row r="142" hidden="1">
      <c r="A142" s="302"/>
      <c r="H142" s="295"/>
      <c r="K142" s="283"/>
      <c r="L142" s="283"/>
      <c r="M142" s="283"/>
      <c r="N142" s="283"/>
    </row>
    <row r="143" hidden="1">
      <c r="A143" s="275"/>
      <c r="H143" s="295"/>
      <c r="K143" s="283"/>
      <c r="L143" s="283"/>
      <c r="M143" s="283"/>
      <c r="N143" s="283"/>
    </row>
    <row r="144" hidden="1">
      <c r="A144" s="275"/>
      <c r="H144" s="295"/>
      <c r="K144" s="283"/>
      <c r="L144" s="283"/>
      <c r="M144" s="283"/>
      <c r="N144" s="283"/>
    </row>
    <row r="145" hidden="1">
      <c r="A145" s="275"/>
      <c r="H145" s="295"/>
      <c r="K145" s="283"/>
      <c r="L145" s="283"/>
      <c r="M145" s="283"/>
      <c r="N145" s="283"/>
    </row>
    <row r="146" hidden="1">
      <c r="A146" s="275"/>
      <c r="H146" s="295"/>
      <c r="K146" s="283"/>
      <c r="L146" s="283"/>
      <c r="M146" s="283"/>
      <c r="N146" s="283"/>
    </row>
    <row r="147" hidden="1">
      <c r="A147" s="275"/>
      <c r="H147" s="295"/>
      <c r="K147" s="283"/>
      <c r="L147" s="283"/>
      <c r="M147" s="283"/>
      <c r="N147" s="283"/>
    </row>
    <row r="148" hidden="1">
      <c r="A148" s="275"/>
      <c r="H148" s="295"/>
      <c r="K148" s="283"/>
      <c r="L148" s="283"/>
      <c r="M148" s="283"/>
      <c r="N148" s="283"/>
    </row>
    <row r="149" hidden="1">
      <c r="A149" s="275"/>
      <c r="H149" s="295"/>
      <c r="K149" s="283"/>
      <c r="L149" s="283"/>
      <c r="M149" s="283"/>
      <c r="N149" s="283"/>
    </row>
    <row r="150" hidden="1">
      <c r="A150" s="275"/>
      <c r="H150" s="295"/>
      <c r="K150" s="283"/>
      <c r="L150" s="283"/>
      <c r="M150" s="283"/>
      <c r="N150" s="283"/>
    </row>
    <row r="151" hidden="1">
      <c r="A151" s="275"/>
      <c r="H151" s="295"/>
      <c r="K151" s="283"/>
      <c r="L151" s="283"/>
      <c r="M151" s="283"/>
      <c r="N151" s="283"/>
    </row>
    <row r="152" hidden="1">
      <c r="A152" s="302"/>
      <c r="H152" s="295"/>
      <c r="K152" s="283"/>
      <c r="L152" s="283"/>
      <c r="M152" s="283"/>
      <c r="N152" s="283"/>
    </row>
    <row r="153" hidden="1">
      <c r="A153" s="302"/>
      <c r="H153" s="295"/>
      <c r="K153" s="283"/>
      <c r="L153" s="283"/>
      <c r="M153" s="283"/>
      <c r="N153" s="283"/>
    </row>
    <row r="154" hidden="1">
      <c r="H154" s="295"/>
      <c r="K154" s="283"/>
      <c r="L154" s="283"/>
      <c r="M154" s="283"/>
      <c r="N154" s="283"/>
    </row>
    <row r="155" hidden="1">
      <c r="H155" s="295"/>
      <c r="K155" s="283"/>
      <c r="L155" s="283"/>
      <c r="M155" s="283"/>
      <c r="N155" s="283"/>
    </row>
    <row r="156" hidden="1">
      <c r="H156" s="295"/>
      <c r="K156" s="283"/>
      <c r="L156" s="283"/>
      <c r="M156" s="283"/>
      <c r="N156" s="283"/>
    </row>
    <row r="157" hidden="1">
      <c r="H157" s="295"/>
      <c r="K157" s="283"/>
      <c r="L157" s="283"/>
      <c r="M157" s="283"/>
      <c r="N157" s="283"/>
    </row>
    <row r="158" hidden="1">
      <c r="H158" s="295"/>
    </row>
    <row r="159" hidden="1">
      <c r="H159" s="295"/>
    </row>
    <row r="160" hidden="1">
      <c r="H160" s="295"/>
    </row>
    <row r="161" hidden="1">
      <c r="H161" s="295"/>
    </row>
    <row r="162" hidden="1">
      <c r="H162" s="295"/>
    </row>
    <row r="163" hidden="1">
      <c r="H163" s="295"/>
    </row>
    <row r="164" hidden="1">
      <c r="H164" s="295"/>
    </row>
    <row r="165" hidden="1">
      <c r="H165" s="295"/>
    </row>
    <row r="166" hidden="1">
      <c r="H166" s="295"/>
    </row>
    <row r="167" hidden="1">
      <c r="H167" s="295"/>
    </row>
    <row r="168" hidden="1">
      <c r="H168" s="295"/>
    </row>
    <row r="169" hidden="1">
      <c r="H169" s="295"/>
    </row>
    <row r="170" hidden="1">
      <c r="H170" s="295"/>
    </row>
    <row r="171" hidden="1">
      <c r="H171" s="295"/>
    </row>
    <row r="172" hidden="1">
      <c r="H172" s="295"/>
    </row>
    <row r="173" hidden="1">
      <c r="H173" s="295"/>
    </row>
    <row r="174" hidden="1">
      <c r="H174" s="295"/>
    </row>
    <row r="175" hidden="1">
      <c r="H175" s="295"/>
    </row>
    <row r="176" hidden="1">
      <c r="H176" s="295"/>
    </row>
    <row r="177" hidden="1">
      <c r="H177" s="295"/>
    </row>
    <row r="178" hidden="1">
      <c r="H178" s="295"/>
    </row>
    <row r="179" hidden="1">
      <c r="H179" s="295"/>
    </row>
    <row r="180" hidden="1">
      <c r="H180" s="295"/>
    </row>
    <row r="181" hidden="1">
      <c r="H181" s="295"/>
    </row>
    <row r="182" hidden="1">
      <c r="H182" s="295"/>
    </row>
    <row r="183" hidden="1">
      <c r="H183" s="295"/>
    </row>
    <row r="184" hidden="1">
      <c r="H184" s="295"/>
    </row>
    <row r="185" hidden="1">
      <c r="H185" s="295"/>
    </row>
    <row r="186" hidden="1">
      <c r="H186" s="295"/>
    </row>
    <row r="187" hidden="1">
      <c r="H187" s="295"/>
    </row>
    <row r="188" hidden="1">
      <c r="H188" s="295"/>
    </row>
    <row r="189" hidden="1">
      <c r="H189" s="295"/>
    </row>
    <row r="190" hidden="1">
      <c r="H190" s="295"/>
    </row>
    <row r="191" hidden="1">
      <c r="H191" s="295"/>
    </row>
    <row r="192" hidden="1">
      <c r="H192" s="295"/>
    </row>
    <row r="193" hidden="1">
      <c r="H193" s="295"/>
    </row>
    <row r="194" hidden="1">
      <c r="H194" s="295"/>
    </row>
    <row r="195" hidden="1">
      <c r="H195" s="295"/>
    </row>
    <row r="196" hidden="1">
      <c r="H196" s="295"/>
    </row>
    <row r="197" hidden="1">
      <c r="H197" s="295"/>
    </row>
    <row r="198" hidden="1">
      <c r="H198" s="295"/>
    </row>
    <row r="199" hidden="1">
      <c r="H199" s="295"/>
    </row>
    <row r="200" hidden="1">
      <c r="H200" s="295"/>
    </row>
    <row r="201" hidden="1">
      <c r="H201" s="295"/>
    </row>
    <row r="202" hidden="1">
      <c r="H202" s="295"/>
    </row>
    <row r="203" hidden="1">
      <c r="H203" s="295"/>
    </row>
    <row r="204" hidden="1">
      <c r="H204" s="295"/>
    </row>
    <row r="205" hidden="1">
      <c r="H205" s="295"/>
    </row>
    <row r="206" hidden="1">
      <c r="H206" s="295"/>
    </row>
    <row r="207" hidden="1">
      <c r="H207" s="295"/>
    </row>
    <row r="208" hidden="1">
      <c r="H208" s="295"/>
    </row>
    <row r="209" hidden="1">
      <c r="H209" s="295"/>
    </row>
    <row r="210" hidden="1">
      <c r="H210" s="295"/>
    </row>
    <row r="211" hidden="1">
      <c r="H211" s="295"/>
    </row>
    <row r="212" hidden="1">
      <c r="H212" s="295"/>
    </row>
    <row r="213" hidden="1">
      <c r="H213" s="295"/>
    </row>
    <row r="214" hidden="1">
      <c r="H214" s="295"/>
    </row>
    <row r="215" hidden="1">
      <c r="H215" s="295"/>
    </row>
    <row r="216" hidden="1">
      <c r="H216" s="295"/>
    </row>
    <row r="217" hidden="1">
      <c r="H217" s="295"/>
    </row>
    <row r="218" hidden="1">
      <c r="H218" s="295"/>
    </row>
    <row r="219" hidden="1">
      <c r="H219" s="295"/>
    </row>
    <row r="220" hidden="1">
      <c r="H220" s="295"/>
    </row>
    <row r="221" hidden="1">
      <c r="H221" s="295"/>
    </row>
    <row r="222" hidden="1">
      <c r="H222" s="295"/>
    </row>
    <row r="223" hidden="1">
      <c r="H223" s="295"/>
    </row>
    <row r="224" hidden="1">
      <c r="H224" s="295"/>
    </row>
    <row r="225" hidden="1">
      <c r="H225" s="295"/>
    </row>
    <row r="226" hidden="1">
      <c r="H226" s="295"/>
    </row>
    <row r="227" hidden="1">
      <c r="H227" s="295"/>
    </row>
    <row r="228" hidden="1">
      <c r="H228" s="295"/>
    </row>
    <row r="229" hidden="1">
      <c r="H229" s="295"/>
    </row>
    <row r="230" hidden="1">
      <c r="H230" s="295"/>
    </row>
    <row r="231" hidden="1">
      <c r="H231" s="295"/>
    </row>
    <row r="232" hidden="1">
      <c r="H232" s="295"/>
    </row>
    <row r="233" hidden="1">
      <c r="H233" s="295"/>
    </row>
    <row r="234" hidden="1">
      <c r="H234" s="295"/>
    </row>
    <row r="235" hidden="1">
      <c r="H235" s="295"/>
    </row>
    <row r="236" hidden="1">
      <c r="H236" s="295"/>
    </row>
    <row r="237" hidden="1">
      <c r="H237" s="295"/>
    </row>
    <row r="238" hidden="1">
      <c r="H238" s="295"/>
    </row>
    <row r="239" hidden="1">
      <c r="H239" s="295"/>
    </row>
    <row r="240" hidden="1">
      <c r="H240" s="295"/>
    </row>
    <row r="241" hidden="1">
      <c r="H241" s="295"/>
    </row>
    <row r="242" hidden="1">
      <c r="H242" s="295"/>
    </row>
    <row r="243" hidden="1">
      <c r="H243" s="295"/>
    </row>
    <row r="244" hidden="1">
      <c r="H244" s="295"/>
    </row>
    <row r="245" hidden="1">
      <c r="H245" s="295"/>
    </row>
    <row r="246" hidden="1">
      <c r="H246" s="295"/>
    </row>
    <row r="247" hidden="1">
      <c r="H247" s="295"/>
    </row>
    <row r="248" hidden="1">
      <c r="H248" s="295"/>
    </row>
    <row r="249" hidden="1">
      <c r="H249" s="295"/>
    </row>
    <row r="250" hidden="1">
      <c r="H250" s="295"/>
    </row>
    <row r="251" hidden="1">
      <c r="H251" s="295"/>
    </row>
    <row r="252" hidden="1">
      <c r="H252" s="295"/>
    </row>
    <row r="253" hidden="1">
      <c r="H253" s="295"/>
    </row>
    <row r="254" hidden="1">
      <c r="H254" s="295"/>
    </row>
    <row r="255" hidden="1">
      <c r="H255" s="295"/>
    </row>
    <row r="256" hidden="1">
      <c r="H256" s="295"/>
    </row>
    <row r="257" hidden="1">
      <c r="H257" s="295"/>
    </row>
    <row r="258" hidden="1">
      <c r="H258" s="295"/>
    </row>
    <row r="259" hidden="1">
      <c r="H259" s="295"/>
    </row>
    <row r="260" hidden="1">
      <c r="H260" s="295"/>
    </row>
    <row r="261" hidden="1">
      <c r="H261" s="295"/>
    </row>
    <row r="262" hidden="1">
      <c r="H262" s="295"/>
    </row>
    <row r="263" hidden="1">
      <c r="H263" s="295"/>
    </row>
    <row r="264" hidden="1">
      <c r="H264" s="295"/>
    </row>
    <row r="265" hidden="1">
      <c r="H265" s="295"/>
    </row>
    <row r="266" hidden="1">
      <c r="H266" s="295"/>
    </row>
    <row r="267" hidden="1">
      <c r="H267" s="295"/>
    </row>
    <row r="268" hidden="1">
      <c r="H268" s="295"/>
    </row>
    <row r="269" hidden="1">
      <c r="H269" s="295"/>
    </row>
    <row r="270" hidden="1">
      <c r="H270" s="295"/>
    </row>
    <row r="271" hidden="1">
      <c r="H271" s="295"/>
    </row>
    <row r="272" hidden="1">
      <c r="H272" s="295"/>
    </row>
    <row r="273" hidden="1">
      <c r="H273" s="295"/>
    </row>
    <row r="274" hidden="1">
      <c r="H274" s="295"/>
    </row>
    <row r="275" hidden="1">
      <c r="H275" s="295"/>
    </row>
    <row r="276" hidden="1">
      <c r="H276" s="295"/>
    </row>
    <row r="277" hidden="1">
      <c r="H277" s="295"/>
    </row>
    <row r="278" hidden="1">
      <c r="H278" s="295"/>
    </row>
    <row r="279" hidden="1">
      <c r="H279" s="295"/>
    </row>
    <row r="280" hidden="1">
      <c r="H280" s="295"/>
    </row>
    <row r="281" hidden="1">
      <c r="H281" s="295"/>
    </row>
    <row r="282" hidden="1">
      <c r="H282" s="295"/>
    </row>
    <row r="283" hidden="1">
      <c r="H283" s="295"/>
    </row>
    <row r="284" hidden="1">
      <c r="H284" s="295"/>
    </row>
    <row r="285" hidden="1">
      <c r="H285" s="295"/>
    </row>
    <row r="286" hidden="1">
      <c r="H286" s="295"/>
    </row>
    <row r="287" hidden="1">
      <c r="H287" s="295"/>
    </row>
    <row r="288" hidden="1">
      <c r="H288" s="295"/>
    </row>
    <row r="289" hidden="1">
      <c r="H289" s="295"/>
    </row>
    <row r="290" hidden="1">
      <c r="H290" s="295"/>
    </row>
    <row r="291" hidden="1">
      <c r="H291" s="295"/>
    </row>
    <row r="292" hidden="1">
      <c r="H292" s="295"/>
    </row>
    <row r="293" hidden="1">
      <c r="H293" s="295"/>
    </row>
    <row r="294" hidden="1">
      <c r="H294" s="295"/>
    </row>
    <row r="295" hidden="1">
      <c r="H295" s="295"/>
    </row>
    <row r="296" hidden="1">
      <c r="H296" s="295"/>
    </row>
    <row r="297" hidden="1">
      <c r="H297" s="295"/>
    </row>
    <row r="298" hidden="1">
      <c r="H298" s="295"/>
    </row>
    <row r="299" hidden="1">
      <c r="H299" s="295"/>
    </row>
    <row r="300" hidden="1">
      <c r="H300" s="295"/>
    </row>
    <row r="301" hidden="1">
      <c r="H301" s="295"/>
    </row>
    <row r="302" hidden="1">
      <c r="H302" s="295"/>
    </row>
    <row r="303" hidden="1">
      <c r="H303" s="295"/>
    </row>
    <row r="304" hidden="1">
      <c r="H304" s="295"/>
    </row>
    <row r="305" hidden="1">
      <c r="H305" s="295"/>
    </row>
    <row r="306" hidden="1">
      <c r="H306" s="295"/>
    </row>
    <row r="307" hidden="1">
      <c r="H307" s="295"/>
    </row>
    <row r="308" hidden="1">
      <c r="H308" s="295"/>
    </row>
    <row r="309" hidden="1">
      <c r="H309" s="295"/>
    </row>
    <row r="310" hidden="1">
      <c r="H310" s="295"/>
    </row>
    <row r="311" hidden="1">
      <c r="H311" s="295"/>
    </row>
    <row r="312" hidden="1">
      <c r="H312" s="295"/>
    </row>
    <row r="313" hidden="1">
      <c r="H313" s="295"/>
    </row>
    <row r="314" hidden="1">
      <c r="H314" s="295"/>
    </row>
    <row r="315" hidden="1">
      <c r="H315" s="295"/>
    </row>
    <row r="316" hidden="1">
      <c r="H316" s="295"/>
    </row>
    <row r="317" hidden="1">
      <c r="H317" s="295"/>
    </row>
    <row r="318" hidden="1">
      <c r="H318" s="295"/>
    </row>
    <row r="319" hidden="1">
      <c r="H319" s="295"/>
    </row>
    <row r="320" hidden="1">
      <c r="H320" s="295"/>
    </row>
    <row r="321" hidden="1">
      <c r="H321" s="295"/>
    </row>
    <row r="322" hidden="1">
      <c r="H322" s="295"/>
    </row>
    <row r="323" hidden="1">
      <c r="H323" s="295"/>
    </row>
    <row r="324" hidden="1">
      <c r="H324" s="295"/>
    </row>
    <row r="325" hidden="1">
      <c r="H325" s="295"/>
    </row>
    <row r="326" hidden="1">
      <c r="H326" s="295"/>
    </row>
    <row r="327" hidden="1">
      <c r="H327" s="295"/>
    </row>
    <row r="328" hidden="1">
      <c r="H328" s="295"/>
    </row>
    <row r="329" hidden="1">
      <c r="H329" s="295"/>
    </row>
    <row r="330" hidden="1">
      <c r="H330" s="295"/>
    </row>
    <row r="331" hidden="1">
      <c r="H331" s="295"/>
    </row>
    <row r="332" hidden="1">
      <c r="H332" s="295"/>
    </row>
    <row r="333" hidden="1">
      <c r="H333" s="295"/>
    </row>
    <row r="334" hidden="1">
      <c r="H334" s="295"/>
    </row>
    <row r="335" hidden="1">
      <c r="H335" s="295"/>
    </row>
    <row r="336" hidden="1">
      <c r="H336" s="295"/>
    </row>
    <row r="337" hidden="1">
      <c r="H337" s="295"/>
    </row>
    <row r="338" hidden="1">
      <c r="H338" s="295"/>
    </row>
    <row r="339" hidden="1">
      <c r="H339" s="295"/>
    </row>
    <row r="340" hidden="1">
      <c r="H340" s="295"/>
    </row>
    <row r="341" hidden="1">
      <c r="H341" s="295"/>
    </row>
    <row r="342" hidden="1">
      <c r="H342" s="295"/>
    </row>
    <row r="343" hidden="1">
      <c r="H343" s="295"/>
    </row>
    <row r="344" hidden="1">
      <c r="H344" s="295"/>
    </row>
    <row r="345" hidden="1">
      <c r="H345" s="295"/>
    </row>
    <row r="346" hidden="1">
      <c r="H346" s="295"/>
    </row>
    <row r="347" hidden="1">
      <c r="H347" s="295"/>
    </row>
    <row r="348" hidden="1">
      <c r="H348" s="295"/>
    </row>
    <row r="349" hidden="1">
      <c r="H349" s="295"/>
    </row>
    <row r="350" hidden="1">
      <c r="H350" s="295"/>
    </row>
    <row r="351" hidden="1">
      <c r="H351" s="295"/>
    </row>
    <row r="352" hidden="1">
      <c r="H352" s="295"/>
    </row>
    <row r="353" hidden="1">
      <c r="H353" s="295"/>
    </row>
    <row r="354" hidden="1">
      <c r="H354" s="295"/>
    </row>
    <row r="355" hidden="1">
      <c r="H355" s="295"/>
    </row>
    <row r="356" hidden="1">
      <c r="H356" s="295"/>
    </row>
    <row r="357" hidden="1">
      <c r="H357" s="295"/>
    </row>
    <row r="358" hidden="1">
      <c r="H358" s="295"/>
    </row>
    <row r="359" hidden="1">
      <c r="H359" s="295"/>
    </row>
    <row r="360" hidden="1">
      <c r="H360" s="295"/>
    </row>
    <row r="361" hidden="1">
      <c r="H361" s="295"/>
    </row>
    <row r="362" hidden="1">
      <c r="H362" s="295"/>
    </row>
    <row r="363" hidden="1">
      <c r="H363" s="295"/>
    </row>
    <row r="364" hidden="1">
      <c r="H364" s="295"/>
    </row>
    <row r="365" hidden="1">
      <c r="H365" s="295"/>
    </row>
    <row r="366" hidden="1">
      <c r="H366" s="295"/>
    </row>
    <row r="367" hidden="1">
      <c r="H367" s="295"/>
    </row>
    <row r="368" hidden="1">
      <c r="H368" s="295"/>
    </row>
    <row r="369" hidden="1">
      <c r="H369" s="295"/>
    </row>
    <row r="370" hidden="1">
      <c r="H370" s="295"/>
    </row>
    <row r="371" hidden="1">
      <c r="H371" s="295"/>
    </row>
    <row r="372" hidden="1">
      <c r="H372" s="295"/>
    </row>
    <row r="373" hidden="1">
      <c r="H373" s="295"/>
    </row>
    <row r="374" hidden="1">
      <c r="H374" s="295"/>
    </row>
    <row r="375" hidden="1">
      <c r="H375" s="295"/>
    </row>
    <row r="376" hidden="1">
      <c r="H376" s="295"/>
    </row>
    <row r="377" hidden="1">
      <c r="H377" s="295"/>
    </row>
    <row r="378" hidden="1">
      <c r="H378" s="295"/>
    </row>
    <row r="379" hidden="1">
      <c r="H379" s="295"/>
    </row>
    <row r="380" hidden="1">
      <c r="H380" s="295"/>
    </row>
    <row r="381" hidden="1">
      <c r="H381" s="295"/>
    </row>
    <row r="382" hidden="1">
      <c r="H382" s="295"/>
    </row>
    <row r="383" hidden="1">
      <c r="H383" s="295"/>
    </row>
    <row r="384" hidden="1">
      <c r="H384" s="295"/>
    </row>
    <row r="385" hidden="1">
      <c r="H385" s="295"/>
    </row>
    <row r="386" hidden="1">
      <c r="H386" s="295"/>
    </row>
    <row r="387" hidden="1">
      <c r="H387" s="295"/>
    </row>
    <row r="388" hidden="1">
      <c r="H388" s="295"/>
    </row>
    <row r="389" hidden="1">
      <c r="H389" s="295"/>
    </row>
    <row r="390" hidden="1">
      <c r="H390" s="295"/>
    </row>
    <row r="391" hidden="1">
      <c r="H391" s="295"/>
    </row>
    <row r="392" hidden="1">
      <c r="H392" s="295"/>
    </row>
    <row r="393" hidden="1">
      <c r="H393" s="295"/>
    </row>
    <row r="394" hidden="1">
      <c r="H394" s="295"/>
    </row>
    <row r="395" hidden="1">
      <c r="H395" s="295"/>
    </row>
    <row r="396" hidden="1">
      <c r="H396" s="295"/>
    </row>
    <row r="397" hidden="1">
      <c r="H397" s="295"/>
    </row>
    <row r="398" hidden="1">
      <c r="H398" s="295"/>
    </row>
    <row r="399" hidden="1">
      <c r="H399" s="295"/>
    </row>
    <row r="400" hidden="1">
      <c r="H400" s="295"/>
    </row>
    <row r="401" hidden="1">
      <c r="H401" s="295"/>
    </row>
    <row r="402" hidden="1">
      <c r="H402" s="295"/>
    </row>
    <row r="403" hidden="1">
      <c r="H403" s="295"/>
    </row>
    <row r="404" hidden="1">
      <c r="H404" s="295"/>
    </row>
    <row r="405" hidden="1">
      <c r="H405" s="295"/>
    </row>
    <row r="406" hidden="1">
      <c r="H406" s="295"/>
    </row>
    <row r="407" hidden="1">
      <c r="H407" s="295"/>
    </row>
    <row r="408" hidden="1">
      <c r="H408" s="295"/>
    </row>
    <row r="409" hidden="1">
      <c r="H409" s="295"/>
    </row>
    <row r="410" hidden="1">
      <c r="H410" s="295"/>
    </row>
    <row r="411" hidden="1">
      <c r="H411" s="295"/>
    </row>
    <row r="412" hidden="1">
      <c r="H412" s="295"/>
    </row>
    <row r="413" hidden="1">
      <c r="H413" s="295"/>
    </row>
    <row r="414" hidden="1">
      <c r="H414" s="295"/>
    </row>
    <row r="415" hidden="1">
      <c r="H415" s="295"/>
    </row>
    <row r="416" hidden="1">
      <c r="H416" s="295"/>
    </row>
    <row r="417" hidden="1">
      <c r="H417" s="295"/>
    </row>
    <row r="418" hidden="1">
      <c r="H418" s="295"/>
    </row>
    <row r="419" hidden="1">
      <c r="H419" s="295"/>
    </row>
    <row r="420" hidden="1">
      <c r="H420" s="295"/>
    </row>
    <row r="421" hidden="1">
      <c r="H421" s="295"/>
    </row>
    <row r="422" hidden="1">
      <c r="H422" s="295"/>
    </row>
    <row r="423" hidden="1">
      <c r="H423" s="295"/>
    </row>
    <row r="424" hidden="1">
      <c r="H424" s="295"/>
    </row>
    <row r="425" hidden="1">
      <c r="H425" s="295"/>
    </row>
    <row r="426" hidden="1">
      <c r="H426" s="295"/>
    </row>
    <row r="427" hidden="1">
      <c r="H427" s="295"/>
    </row>
    <row r="428" hidden="1">
      <c r="H428" s="295"/>
    </row>
    <row r="429" hidden="1">
      <c r="H429" s="295"/>
    </row>
    <row r="430" hidden="1">
      <c r="H430" s="295"/>
    </row>
    <row r="431" hidden="1">
      <c r="H431" s="295"/>
    </row>
    <row r="432" hidden="1">
      <c r="H432" s="295"/>
    </row>
    <row r="433" hidden="1">
      <c r="H433" s="295"/>
    </row>
    <row r="434" hidden="1">
      <c r="H434" s="295"/>
    </row>
    <row r="435" hidden="1">
      <c r="H435" s="295"/>
    </row>
    <row r="436" hidden="1">
      <c r="H436" s="295"/>
    </row>
    <row r="437" hidden="1">
      <c r="H437" s="295"/>
    </row>
    <row r="438" hidden="1">
      <c r="H438" s="295"/>
    </row>
    <row r="439" hidden="1">
      <c r="H439" s="295"/>
    </row>
    <row r="440" hidden="1">
      <c r="H440" s="295"/>
    </row>
    <row r="441" hidden="1">
      <c r="H441" s="295"/>
    </row>
    <row r="442" hidden="1">
      <c r="H442" s="295"/>
    </row>
    <row r="443" hidden="1">
      <c r="H443" s="295"/>
    </row>
    <row r="444" hidden="1">
      <c r="H444" s="295"/>
    </row>
    <row r="445" hidden="1">
      <c r="H445" s="295"/>
    </row>
    <row r="446" hidden="1">
      <c r="H446" s="295"/>
    </row>
    <row r="447" hidden="1">
      <c r="H447" s="295"/>
    </row>
    <row r="448" hidden="1">
      <c r="H448" s="295"/>
    </row>
    <row r="449" hidden="1">
      <c r="H449" s="295"/>
    </row>
    <row r="450" hidden="1">
      <c r="H450" s="295"/>
    </row>
    <row r="451" hidden="1">
      <c r="H451" s="295"/>
    </row>
    <row r="452" hidden="1">
      <c r="H452" s="295"/>
    </row>
    <row r="453" hidden="1">
      <c r="H453" s="295"/>
    </row>
    <row r="454" hidden="1">
      <c r="H454" s="295"/>
    </row>
    <row r="455" hidden="1">
      <c r="H455" s="295"/>
    </row>
    <row r="456" hidden="1">
      <c r="H456" s="295"/>
    </row>
    <row r="457" hidden="1">
      <c r="H457" s="295"/>
    </row>
    <row r="458" hidden="1">
      <c r="H458" s="295"/>
    </row>
    <row r="459" hidden="1">
      <c r="H459" s="295"/>
    </row>
    <row r="460" hidden="1">
      <c r="H460" s="295"/>
    </row>
    <row r="461" hidden="1">
      <c r="H461" s="295"/>
    </row>
    <row r="462" hidden="1">
      <c r="H462" s="295"/>
    </row>
    <row r="463" hidden="1">
      <c r="H463" s="295"/>
    </row>
    <row r="464" hidden="1">
      <c r="H464" s="295"/>
    </row>
    <row r="465" hidden="1">
      <c r="H465" s="295"/>
    </row>
    <row r="466" hidden="1">
      <c r="H466" s="295"/>
    </row>
    <row r="467" hidden="1">
      <c r="H467" s="295"/>
    </row>
    <row r="468" hidden="1">
      <c r="H468" s="295"/>
    </row>
    <row r="469" hidden="1">
      <c r="H469" s="295"/>
    </row>
    <row r="470" hidden="1">
      <c r="H470" s="295"/>
    </row>
    <row r="471" hidden="1">
      <c r="H471" s="295"/>
    </row>
    <row r="472" hidden="1">
      <c r="H472" s="295"/>
    </row>
    <row r="473" hidden="1">
      <c r="H473" s="295"/>
    </row>
    <row r="474" hidden="1">
      <c r="H474" s="295"/>
    </row>
    <row r="475" hidden="1">
      <c r="H475" s="295"/>
    </row>
    <row r="476" hidden="1">
      <c r="H476" s="295"/>
    </row>
    <row r="477" hidden="1">
      <c r="H477" s="295"/>
    </row>
    <row r="478" hidden="1">
      <c r="H478" s="295"/>
    </row>
    <row r="479" hidden="1">
      <c r="H479" s="295"/>
    </row>
    <row r="480" hidden="1">
      <c r="H480" s="295"/>
    </row>
    <row r="481" hidden="1">
      <c r="H481" s="295"/>
    </row>
    <row r="482" hidden="1">
      <c r="H482" s="295"/>
    </row>
    <row r="483" hidden="1">
      <c r="H483" s="295"/>
    </row>
    <row r="484" hidden="1">
      <c r="H484" s="295"/>
    </row>
    <row r="485" hidden="1">
      <c r="H485" s="295"/>
    </row>
    <row r="486" hidden="1">
      <c r="H486" s="295"/>
    </row>
    <row r="487" hidden="1">
      <c r="H487" s="295"/>
    </row>
    <row r="488" hidden="1">
      <c r="H488" s="295"/>
    </row>
    <row r="489" hidden="1">
      <c r="H489" s="295"/>
    </row>
    <row r="490" hidden="1">
      <c r="H490" s="295"/>
    </row>
    <row r="491" hidden="1">
      <c r="H491" s="295"/>
    </row>
    <row r="492" hidden="1">
      <c r="H492" s="295"/>
    </row>
    <row r="493" hidden="1">
      <c r="H493" s="295"/>
    </row>
    <row r="494" hidden="1">
      <c r="H494" s="295"/>
    </row>
    <row r="495" hidden="1">
      <c r="H495" s="295"/>
    </row>
    <row r="496" hidden="1">
      <c r="H496" s="295"/>
    </row>
    <row r="497" hidden="1">
      <c r="H497" s="295"/>
    </row>
    <row r="498" hidden="1">
      <c r="H498" s="295"/>
    </row>
    <row r="499" hidden="1">
      <c r="H499" s="295"/>
    </row>
    <row r="500" hidden="1">
      <c r="H500" s="295"/>
    </row>
    <row r="501" hidden="1">
      <c r="H501" s="295"/>
    </row>
    <row r="502" hidden="1">
      <c r="H502" s="295"/>
    </row>
    <row r="503" hidden="1">
      <c r="H503" s="295"/>
    </row>
    <row r="504" hidden="1">
      <c r="H504" s="295"/>
    </row>
    <row r="505" hidden="1">
      <c r="H505" s="295"/>
    </row>
    <row r="506" hidden="1">
      <c r="H506" s="295"/>
    </row>
    <row r="507" hidden="1">
      <c r="H507" s="295"/>
    </row>
    <row r="508" hidden="1">
      <c r="H508" s="295"/>
    </row>
    <row r="509" hidden="1">
      <c r="H509" s="295"/>
    </row>
    <row r="510" hidden="1">
      <c r="H510" s="295"/>
    </row>
    <row r="511" hidden="1">
      <c r="H511" s="295"/>
    </row>
    <row r="512" hidden="1">
      <c r="H512" s="295"/>
    </row>
    <row r="513" hidden="1">
      <c r="H513" s="295"/>
    </row>
    <row r="514" hidden="1">
      <c r="H514" s="295"/>
    </row>
    <row r="515" hidden="1">
      <c r="H515" s="295"/>
    </row>
    <row r="516" hidden="1">
      <c r="H516" s="295"/>
    </row>
    <row r="517" hidden="1">
      <c r="H517" s="295"/>
    </row>
    <row r="518" hidden="1">
      <c r="H518" s="295"/>
    </row>
    <row r="519" hidden="1">
      <c r="H519" s="295"/>
    </row>
    <row r="520" hidden="1">
      <c r="H520" s="295"/>
    </row>
    <row r="521" hidden="1">
      <c r="H521" s="295"/>
    </row>
    <row r="522" hidden="1">
      <c r="H522" s="295"/>
    </row>
    <row r="523" hidden="1">
      <c r="H523" s="295"/>
    </row>
    <row r="524" hidden="1">
      <c r="H524" s="295"/>
    </row>
    <row r="525" hidden="1">
      <c r="H525" s="295"/>
    </row>
    <row r="526" hidden="1">
      <c r="H526" s="295"/>
    </row>
    <row r="527" hidden="1">
      <c r="H527" s="295"/>
    </row>
    <row r="528" hidden="1">
      <c r="H528" s="295"/>
    </row>
    <row r="529" hidden="1">
      <c r="H529" s="295"/>
    </row>
    <row r="530" hidden="1">
      <c r="H530" s="295"/>
    </row>
    <row r="531" hidden="1">
      <c r="H531" s="295"/>
    </row>
    <row r="532" hidden="1">
      <c r="H532" s="295"/>
    </row>
    <row r="533" hidden="1">
      <c r="H533" s="295"/>
    </row>
    <row r="534" hidden="1">
      <c r="H534" s="295"/>
    </row>
    <row r="535" hidden="1">
      <c r="H535" s="295"/>
    </row>
    <row r="536" hidden="1">
      <c r="H536" s="295"/>
    </row>
    <row r="537" hidden="1">
      <c r="H537" s="295"/>
    </row>
    <row r="538" hidden="1">
      <c r="H538" s="295"/>
    </row>
    <row r="539" hidden="1">
      <c r="H539" s="295"/>
    </row>
    <row r="540" hidden="1">
      <c r="H540" s="295"/>
    </row>
    <row r="541" hidden="1">
      <c r="H541" s="295"/>
    </row>
    <row r="542" hidden="1">
      <c r="H542" s="295"/>
    </row>
    <row r="543" hidden="1">
      <c r="H543" s="295"/>
    </row>
    <row r="544" hidden="1">
      <c r="H544" s="295"/>
    </row>
    <row r="545" hidden="1">
      <c r="H545" s="295"/>
    </row>
    <row r="546" hidden="1">
      <c r="H546" s="295"/>
    </row>
    <row r="547" hidden="1">
      <c r="H547" s="295"/>
    </row>
    <row r="548" hidden="1">
      <c r="H548" s="295"/>
    </row>
    <row r="549" hidden="1">
      <c r="H549" s="295"/>
    </row>
    <row r="550" hidden="1">
      <c r="H550" s="295"/>
    </row>
    <row r="551" hidden="1">
      <c r="H551" s="295"/>
    </row>
    <row r="552" hidden="1">
      <c r="H552" s="295"/>
    </row>
    <row r="553" hidden="1">
      <c r="H553" s="295"/>
    </row>
    <row r="554" hidden="1">
      <c r="H554" s="295"/>
    </row>
    <row r="555" hidden="1">
      <c r="H555" s="295"/>
    </row>
    <row r="556" hidden="1">
      <c r="H556" s="295"/>
    </row>
    <row r="557" hidden="1">
      <c r="H557" s="295"/>
    </row>
    <row r="558" hidden="1">
      <c r="H558" s="295"/>
    </row>
    <row r="559" hidden="1">
      <c r="H559" s="295"/>
    </row>
    <row r="560" hidden="1">
      <c r="H560" s="295"/>
    </row>
    <row r="561" hidden="1">
      <c r="H561" s="295"/>
    </row>
    <row r="562" hidden="1">
      <c r="H562" s="295"/>
    </row>
    <row r="563" hidden="1">
      <c r="H563" s="295"/>
    </row>
    <row r="564" hidden="1">
      <c r="H564" s="295"/>
    </row>
    <row r="565" hidden="1">
      <c r="H565" s="295"/>
    </row>
    <row r="566" hidden="1">
      <c r="H566" s="295"/>
    </row>
    <row r="567" hidden="1">
      <c r="H567" s="295"/>
    </row>
    <row r="568" hidden="1">
      <c r="H568" s="295"/>
    </row>
    <row r="569" hidden="1">
      <c r="H569" s="295"/>
    </row>
    <row r="570" hidden="1">
      <c r="H570" s="295"/>
    </row>
    <row r="571" hidden="1">
      <c r="H571" s="295"/>
    </row>
    <row r="572" hidden="1">
      <c r="H572" s="295"/>
    </row>
    <row r="573" hidden="1">
      <c r="H573" s="295"/>
    </row>
    <row r="574" hidden="1">
      <c r="H574" s="295"/>
    </row>
    <row r="575" hidden="1">
      <c r="H575" s="295"/>
    </row>
    <row r="576" hidden="1">
      <c r="H576" s="295"/>
    </row>
    <row r="577" hidden="1">
      <c r="H577" s="295"/>
    </row>
    <row r="578" hidden="1">
      <c r="H578" s="295"/>
    </row>
    <row r="579" hidden="1">
      <c r="H579" s="295"/>
    </row>
    <row r="580" hidden="1">
      <c r="H580" s="295"/>
    </row>
    <row r="581" hidden="1">
      <c r="H581" s="295"/>
    </row>
    <row r="582" hidden="1">
      <c r="H582" s="295"/>
    </row>
    <row r="583" hidden="1">
      <c r="H583" s="295"/>
    </row>
    <row r="584" hidden="1">
      <c r="H584" s="295"/>
    </row>
    <row r="585" hidden="1">
      <c r="H585" s="295"/>
    </row>
    <row r="586" hidden="1">
      <c r="H586" s="295"/>
    </row>
    <row r="587" hidden="1">
      <c r="H587" s="295"/>
    </row>
    <row r="588" hidden="1">
      <c r="H588" s="295"/>
    </row>
    <row r="589" hidden="1">
      <c r="H589" s="295"/>
    </row>
    <row r="590" hidden="1">
      <c r="H590" s="295"/>
    </row>
    <row r="591" hidden="1">
      <c r="H591" s="295"/>
    </row>
    <row r="592" hidden="1">
      <c r="H592" s="295"/>
    </row>
    <row r="593" hidden="1">
      <c r="H593" s="295"/>
    </row>
    <row r="594" hidden="1">
      <c r="H594" s="295"/>
    </row>
    <row r="595" hidden="1">
      <c r="H595" s="295"/>
    </row>
    <row r="596" hidden="1">
      <c r="H596" s="295"/>
    </row>
    <row r="597" hidden="1">
      <c r="H597" s="295"/>
    </row>
    <row r="598" hidden="1">
      <c r="H598" s="295"/>
    </row>
    <row r="599" hidden="1">
      <c r="H599" s="295"/>
    </row>
    <row r="600" hidden="1">
      <c r="H600" s="295"/>
    </row>
    <row r="601" hidden="1">
      <c r="H601" s="295"/>
    </row>
    <row r="602" hidden="1">
      <c r="H602" s="295"/>
    </row>
    <row r="603" hidden="1">
      <c r="H603" s="295"/>
    </row>
    <row r="604" hidden="1">
      <c r="H604" s="295"/>
    </row>
    <row r="605" hidden="1">
      <c r="H605" s="295"/>
    </row>
    <row r="606" hidden="1">
      <c r="H606" s="295"/>
    </row>
    <row r="607" hidden="1">
      <c r="H607" s="295"/>
    </row>
    <row r="608" hidden="1">
      <c r="H608" s="295"/>
    </row>
    <row r="609" hidden="1">
      <c r="H609" s="295"/>
    </row>
    <row r="610" hidden="1">
      <c r="H610" s="295"/>
    </row>
    <row r="611" hidden="1">
      <c r="H611" s="295"/>
    </row>
    <row r="612" hidden="1">
      <c r="H612" s="295"/>
    </row>
    <row r="613" hidden="1">
      <c r="H613" s="295"/>
    </row>
    <row r="614" hidden="1">
      <c r="H614" s="295"/>
    </row>
    <row r="615" hidden="1">
      <c r="H615" s="295"/>
    </row>
    <row r="616" hidden="1">
      <c r="H616" s="295"/>
    </row>
    <row r="617" hidden="1">
      <c r="H617" s="295"/>
    </row>
    <row r="618" hidden="1">
      <c r="H618" s="295"/>
    </row>
    <row r="619" hidden="1">
      <c r="H619" s="295"/>
    </row>
    <row r="620" hidden="1">
      <c r="H620" s="295"/>
    </row>
    <row r="621" hidden="1">
      <c r="H621" s="295"/>
    </row>
    <row r="622" hidden="1">
      <c r="H622" s="295"/>
    </row>
    <row r="623" hidden="1">
      <c r="H623" s="295"/>
    </row>
    <row r="624" hidden="1">
      <c r="H624" s="295"/>
    </row>
    <row r="625" hidden="1">
      <c r="H625" s="295"/>
    </row>
    <row r="626" hidden="1">
      <c r="H626" s="295"/>
    </row>
    <row r="627" hidden="1">
      <c r="H627" s="295"/>
    </row>
    <row r="628" hidden="1">
      <c r="H628" s="295"/>
    </row>
    <row r="629" hidden="1">
      <c r="H629" s="295"/>
    </row>
    <row r="630" hidden="1">
      <c r="H630" s="295"/>
    </row>
    <row r="631" hidden="1">
      <c r="H631" s="295"/>
    </row>
    <row r="632" hidden="1">
      <c r="H632" s="295"/>
    </row>
    <row r="633" hidden="1">
      <c r="H633" s="295"/>
    </row>
    <row r="634" hidden="1">
      <c r="H634" s="295"/>
    </row>
    <row r="635" hidden="1">
      <c r="H635" s="295"/>
    </row>
    <row r="636" hidden="1">
      <c r="H636" s="295"/>
    </row>
    <row r="637" hidden="1">
      <c r="H637" s="295"/>
    </row>
    <row r="638" hidden="1">
      <c r="H638" s="295"/>
    </row>
    <row r="639" hidden="1">
      <c r="H639" s="295"/>
    </row>
    <row r="640" hidden="1">
      <c r="H640" s="295"/>
    </row>
    <row r="641" hidden="1">
      <c r="H641" s="295"/>
    </row>
    <row r="642" hidden="1">
      <c r="H642" s="295"/>
    </row>
    <row r="643" hidden="1">
      <c r="H643" s="295"/>
    </row>
    <row r="644" hidden="1">
      <c r="H644" s="295"/>
    </row>
    <row r="645" hidden="1">
      <c r="H645" s="295"/>
    </row>
    <row r="646" hidden="1">
      <c r="H646" s="295"/>
    </row>
    <row r="647" hidden="1">
      <c r="H647" s="295"/>
    </row>
    <row r="648" hidden="1">
      <c r="H648" s="295"/>
    </row>
    <row r="649" hidden="1">
      <c r="H649" s="295"/>
    </row>
    <row r="650" hidden="1">
      <c r="H650" s="295"/>
    </row>
    <row r="651" hidden="1">
      <c r="H651" s="295"/>
    </row>
    <row r="652" hidden="1">
      <c r="H652" s="295"/>
    </row>
    <row r="653" hidden="1">
      <c r="H653" s="295"/>
    </row>
    <row r="654" hidden="1">
      <c r="H654" s="295"/>
    </row>
    <row r="655" hidden="1">
      <c r="H655" s="295"/>
    </row>
    <row r="656" hidden="1">
      <c r="H656" s="295"/>
    </row>
    <row r="657" hidden="1">
      <c r="H657" s="295"/>
    </row>
    <row r="658" hidden="1">
      <c r="H658" s="295"/>
    </row>
    <row r="659" hidden="1">
      <c r="H659" s="295"/>
    </row>
    <row r="660" hidden="1">
      <c r="H660" s="295"/>
    </row>
    <row r="661" hidden="1">
      <c r="H661" s="295"/>
    </row>
    <row r="662" hidden="1">
      <c r="H662" s="295"/>
    </row>
    <row r="663" hidden="1">
      <c r="H663" s="295"/>
    </row>
    <row r="664" hidden="1">
      <c r="H664" s="295"/>
    </row>
    <row r="665" hidden="1">
      <c r="H665" s="295"/>
    </row>
    <row r="666" hidden="1">
      <c r="H666" s="295"/>
    </row>
    <row r="667" hidden="1">
      <c r="H667" s="295"/>
    </row>
    <row r="668" hidden="1">
      <c r="H668" s="295"/>
    </row>
    <row r="669" hidden="1">
      <c r="H669" s="295"/>
    </row>
    <row r="670" hidden="1">
      <c r="H670" s="295"/>
    </row>
    <row r="671" hidden="1">
      <c r="H671" s="295"/>
    </row>
    <row r="672" hidden="1">
      <c r="H672" s="295"/>
    </row>
    <row r="673" hidden="1">
      <c r="H673" s="295"/>
    </row>
    <row r="674" hidden="1">
      <c r="H674" s="295"/>
    </row>
    <row r="675" hidden="1">
      <c r="H675" s="295"/>
    </row>
    <row r="676" hidden="1">
      <c r="H676" s="295"/>
    </row>
    <row r="677" hidden="1">
      <c r="H677" s="295"/>
    </row>
    <row r="678" hidden="1">
      <c r="H678" s="295"/>
    </row>
    <row r="679" hidden="1">
      <c r="H679" s="295"/>
    </row>
    <row r="680" hidden="1">
      <c r="H680" s="295"/>
    </row>
    <row r="681" hidden="1">
      <c r="H681" s="295"/>
    </row>
    <row r="682" hidden="1">
      <c r="H682" s="295"/>
    </row>
    <row r="683" hidden="1">
      <c r="H683" s="295"/>
    </row>
    <row r="684" hidden="1">
      <c r="H684" s="295"/>
    </row>
    <row r="685" hidden="1">
      <c r="H685" s="295"/>
    </row>
    <row r="686" hidden="1">
      <c r="H686" s="295"/>
    </row>
    <row r="687" hidden="1">
      <c r="H687" s="295"/>
    </row>
    <row r="688" hidden="1">
      <c r="H688" s="295"/>
    </row>
    <row r="689" hidden="1">
      <c r="H689" s="295"/>
    </row>
    <row r="690" hidden="1">
      <c r="H690" s="295"/>
    </row>
    <row r="691" hidden="1">
      <c r="H691" s="295"/>
    </row>
    <row r="692" hidden="1">
      <c r="H692" s="295"/>
    </row>
    <row r="693" hidden="1">
      <c r="H693" s="295"/>
    </row>
    <row r="694" hidden="1">
      <c r="H694" s="295"/>
    </row>
    <row r="695" hidden="1">
      <c r="H695" s="295"/>
    </row>
    <row r="696" hidden="1">
      <c r="H696" s="295"/>
    </row>
    <row r="697" hidden="1">
      <c r="H697" s="295"/>
    </row>
    <row r="698" hidden="1">
      <c r="H698" s="295"/>
    </row>
    <row r="699" hidden="1">
      <c r="H699" s="295"/>
    </row>
    <row r="700" hidden="1">
      <c r="H700" s="295"/>
    </row>
    <row r="701" hidden="1">
      <c r="H701" s="295"/>
    </row>
    <row r="702" hidden="1">
      <c r="H702" s="295"/>
    </row>
    <row r="703" hidden="1">
      <c r="H703" s="295"/>
    </row>
    <row r="704" hidden="1">
      <c r="H704" s="295"/>
    </row>
    <row r="705" hidden="1">
      <c r="H705" s="295"/>
    </row>
    <row r="706" hidden="1">
      <c r="H706" s="295"/>
    </row>
    <row r="707" hidden="1">
      <c r="H707" s="295"/>
    </row>
    <row r="708" hidden="1">
      <c r="H708" s="295"/>
    </row>
    <row r="709" hidden="1">
      <c r="H709" s="295"/>
    </row>
    <row r="710" hidden="1">
      <c r="H710" s="295"/>
    </row>
    <row r="711" hidden="1">
      <c r="H711" s="295"/>
    </row>
    <row r="712" hidden="1">
      <c r="H712" s="295"/>
    </row>
    <row r="713" hidden="1">
      <c r="H713" s="295"/>
    </row>
    <row r="714" hidden="1">
      <c r="H714" s="295"/>
    </row>
    <row r="715" hidden="1">
      <c r="H715" s="295"/>
    </row>
    <row r="716" hidden="1">
      <c r="H716" s="295"/>
    </row>
    <row r="717" hidden="1">
      <c r="H717" s="295"/>
    </row>
    <row r="718" hidden="1">
      <c r="H718" s="295"/>
    </row>
    <row r="719" hidden="1">
      <c r="H719" s="295"/>
    </row>
    <row r="720" hidden="1">
      <c r="H720" s="295"/>
    </row>
    <row r="721" hidden="1">
      <c r="H721" s="295"/>
    </row>
    <row r="722" hidden="1">
      <c r="H722" s="295"/>
    </row>
    <row r="723" hidden="1">
      <c r="H723" s="295"/>
    </row>
    <row r="724" hidden="1">
      <c r="H724" s="295"/>
    </row>
    <row r="725" hidden="1">
      <c r="H725" s="295"/>
    </row>
    <row r="726" hidden="1">
      <c r="H726" s="295"/>
    </row>
    <row r="727" hidden="1">
      <c r="H727" s="295"/>
    </row>
    <row r="728" hidden="1">
      <c r="H728" s="295"/>
    </row>
    <row r="729" hidden="1">
      <c r="H729" s="295"/>
    </row>
    <row r="730" hidden="1">
      <c r="H730" s="295"/>
    </row>
    <row r="731" hidden="1">
      <c r="H731" s="295"/>
    </row>
    <row r="732" hidden="1">
      <c r="H732" s="295"/>
    </row>
    <row r="733" hidden="1">
      <c r="H733" s="295"/>
    </row>
    <row r="734" hidden="1">
      <c r="H734" s="295"/>
    </row>
    <row r="735" hidden="1">
      <c r="H735" s="295"/>
    </row>
    <row r="736" hidden="1">
      <c r="H736" s="295"/>
    </row>
    <row r="737" hidden="1">
      <c r="H737" s="295"/>
    </row>
    <row r="738" hidden="1">
      <c r="H738" s="295"/>
    </row>
    <row r="739" hidden="1">
      <c r="H739" s="295"/>
    </row>
    <row r="740" hidden="1">
      <c r="H740" s="295"/>
    </row>
    <row r="741" hidden="1">
      <c r="H741" s="295"/>
    </row>
    <row r="742" hidden="1">
      <c r="H742" s="295"/>
    </row>
    <row r="743" hidden="1">
      <c r="H743" s="295"/>
    </row>
    <row r="744" hidden="1">
      <c r="H744" s="295"/>
    </row>
    <row r="745" hidden="1">
      <c r="H745" s="295"/>
    </row>
    <row r="746" hidden="1">
      <c r="H746" s="295"/>
    </row>
    <row r="747" hidden="1">
      <c r="H747" s="295"/>
    </row>
    <row r="748" hidden="1">
      <c r="H748" s="295"/>
    </row>
    <row r="749" hidden="1">
      <c r="H749" s="295"/>
    </row>
    <row r="750" hidden="1">
      <c r="H750" s="295"/>
    </row>
    <row r="751" hidden="1">
      <c r="H751" s="295"/>
    </row>
    <row r="752" hidden="1">
      <c r="H752" s="295"/>
    </row>
    <row r="753" hidden="1">
      <c r="H753" s="295"/>
    </row>
    <row r="754" hidden="1">
      <c r="H754" s="295"/>
    </row>
    <row r="755" hidden="1">
      <c r="H755" s="295"/>
    </row>
    <row r="756" hidden="1">
      <c r="H756" s="295"/>
    </row>
    <row r="757" hidden="1">
      <c r="H757" s="295"/>
    </row>
    <row r="758" hidden="1">
      <c r="H758" s="295"/>
    </row>
    <row r="759" hidden="1">
      <c r="H759" s="295"/>
    </row>
    <row r="760" hidden="1">
      <c r="H760" s="295"/>
    </row>
    <row r="761" hidden="1">
      <c r="H761" s="295"/>
    </row>
    <row r="762" hidden="1">
      <c r="H762" s="295"/>
    </row>
    <row r="763" hidden="1">
      <c r="H763" s="295"/>
    </row>
    <row r="764" hidden="1">
      <c r="H764" s="295"/>
    </row>
    <row r="765" hidden="1">
      <c r="H765" s="295"/>
    </row>
    <row r="766" hidden="1">
      <c r="H766" s="295"/>
    </row>
    <row r="767" hidden="1">
      <c r="H767" s="295"/>
    </row>
    <row r="768" hidden="1">
      <c r="H768" s="295"/>
    </row>
    <row r="769" hidden="1">
      <c r="H769" s="295"/>
    </row>
    <row r="770" hidden="1">
      <c r="H770" s="295"/>
    </row>
    <row r="771" hidden="1">
      <c r="H771" s="295"/>
    </row>
    <row r="772" hidden="1">
      <c r="H772" s="295"/>
    </row>
    <row r="773" hidden="1">
      <c r="H773" s="295"/>
    </row>
    <row r="774" hidden="1">
      <c r="H774" s="295"/>
    </row>
    <row r="775" hidden="1">
      <c r="H775" s="295"/>
    </row>
    <row r="776" hidden="1">
      <c r="H776" s="295"/>
    </row>
    <row r="777" hidden="1">
      <c r="H777" s="295"/>
    </row>
    <row r="778" hidden="1">
      <c r="H778" s="295"/>
    </row>
    <row r="779" hidden="1">
      <c r="H779" s="295"/>
    </row>
    <row r="780" hidden="1">
      <c r="H780" s="295"/>
    </row>
    <row r="781" hidden="1">
      <c r="H781" s="295"/>
    </row>
    <row r="782" hidden="1">
      <c r="H782" s="295"/>
    </row>
    <row r="783" hidden="1">
      <c r="H783" s="295"/>
    </row>
    <row r="784" hidden="1">
      <c r="H784" s="295"/>
    </row>
    <row r="785" hidden="1">
      <c r="H785" s="295"/>
    </row>
    <row r="786" hidden="1">
      <c r="H786" s="295"/>
    </row>
    <row r="787" hidden="1">
      <c r="H787" s="295"/>
    </row>
    <row r="788" hidden="1">
      <c r="H788" s="295"/>
    </row>
    <row r="789" hidden="1">
      <c r="H789" s="295"/>
    </row>
    <row r="790" hidden="1">
      <c r="H790" s="295"/>
    </row>
    <row r="791" hidden="1">
      <c r="H791" s="295"/>
    </row>
    <row r="792" hidden="1">
      <c r="H792" s="295"/>
    </row>
    <row r="793" hidden="1">
      <c r="H793" s="295"/>
    </row>
    <row r="794" hidden="1">
      <c r="H794" s="295"/>
    </row>
    <row r="795" hidden="1">
      <c r="H795" s="295"/>
    </row>
    <row r="796" hidden="1">
      <c r="H796" s="295"/>
    </row>
    <row r="797" hidden="1">
      <c r="H797" s="295"/>
    </row>
    <row r="798" hidden="1">
      <c r="H798" s="295"/>
    </row>
    <row r="799" hidden="1">
      <c r="H799" s="295"/>
    </row>
    <row r="800" hidden="1">
      <c r="H800" s="295"/>
    </row>
    <row r="801" hidden="1">
      <c r="H801" s="295"/>
    </row>
    <row r="802" hidden="1">
      <c r="H802" s="295"/>
    </row>
    <row r="803" hidden="1">
      <c r="H803" s="295"/>
    </row>
    <row r="804" hidden="1">
      <c r="H804" s="295"/>
    </row>
    <row r="805" hidden="1">
      <c r="H805" s="295"/>
    </row>
    <row r="806" hidden="1">
      <c r="H806" s="295"/>
    </row>
    <row r="807" hidden="1">
      <c r="H807" s="295"/>
    </row>
    <row r="808" hidden="1">
      <c r="H808" s="295"/>
    </row>
    <row r="809" hidden="1">
      <c r="H809" s="295"/>
    </row>
    <row r="810" hidden="1">
      <c r="H810" s="295"/>
    </row>
    <row r="811" hidden="1">
      <c r="H811" s="295"/>
    </row>
    <row r="812" hidden="1">
      <c r="H812" s="295"/>
    </row>
    <row r="813" hidden="1">
      <c r="H813" s="295"/>
    </row>
    <row r="814" hidden="1">
      <c r="H814" s="295"/>
    </row>
    <row r="815" hidden="1">
      <c r="H815" s="295"/>
    </row>
    <row r="816" hidden="1">
      <c r="H816" s="295"/>
    </row>
    <row r="817" hidden="1">
      <c r="H817" s="295"/>
    </row>
    <row r="818" hidden="1">
      <c r="H818" s="295"/>
    </row>
    <row r="819" hidden="1">
      <c r="H819" s="295"/>
    </row>
    <row r="820" hidden="1">
      <c r="H820" s="295"/>
    </row>
    <row r="821" hidden="1">
      <c r="H821" s="295"/>
    </row>
    <row r="822" hidden="1">
      <c r="H822" s="295"/>
    </row>
    <row r="823" hidden="1">
      <c r="H823" s="295"/>
    </row>
    <row r="824" hidden="1">
      <c r="H824" s="295"/>
    </row>
    <row r="825" hidden="1">
      <c r="H825" s="295"/>
    </row>
    <row r="826" hidden="1">
      <c r="H826" s="295"/>
    </row>
    <row r="827" hidden="1">
      <c r="H827" s="295"/>
    </row>
    <row r="828" hidden="1">
      <c r="H828" s="295"/>
    </row>
    <row r="829" hidden="1">
      <c r="H829" s="295"/>
    </row>
    <row r="830" hidden="1">
      <c r="H830" s="295"/>
    </row>
    <row r="831" hidden="1">
      <c r="H831" s="295"/>
    </row>
    <row r="832" hidden="1">
      <c r="H832" s="295"/>
    </row>
    <row r="833" hidden="1">
      <c r="H833" s="295"/>
    </row>
    <row r="834" hidden="1">
      <c r="H834" s="295"/>
    </row>
    <row r="835" hidden="1">
      <c r="H835" s="295"/>
    </row>
    <row r="836" hidden="1">
      <c r="H836" s="295"/>
    </row>
    <row r="837" hidden="1">
      <c r="H837" s="295"/>
    </row>
    <row r="838" hidden="1">
      <c r="H838" s="295"/>
    </row>
    <row r="839" hidden="1">
      <c r="H839" s="295"/>
    </row>
    <row r="840" hidden="1">
      <c r="H840" s="295"/>
    </row>
    <row r="841" hidden="1">
      <c r="H841" s="295"/>
    </row>
    <row r="842" hidden="1">
      <c r="H842" s="295"/>
    </row>
    <row r="843" hidden="1">
      <c r="H843" s="295"/>
    </row>
    <row r="844" hidden="1">
      <c r="H844" s="295"/>
    </row>
    <row r="845" hidden="1">
      <c r="H845" s="295"/>
    </row>
    <row r="846" hidden="1">
      <c r="H846" s="295"/>
    </row>
    <row r="847" hidden="1">
      <c r="H847" s="295"/>
    </row>
    <row r="848" hidden="1">
      <c r="H848" s="295"/>
    </row>
    <row r="849" hidden="1">
      <c r="H849" s="295"/>
    </row>
    <row r="850" hidden="1">
      <c r="H850" s="295"/>
    </row>
    <row r="851" hidden="1">
      <c r="H851" s="295"/>
    </row>
    <row r="852" hidden="1">
      <c r="H852" s="295"/>
    </row>
    <row r="853" hidden="1">
      <c r="H853" s="295"/>
    </row>
    <row r="854" hidden="1">
      <c r="H854" s="295"/>
    </row>
    <row r="855" hidden="1">
      <c r="H855" s="295"/>
    </row>
    <row r="856" hidden="1">
      <c r="H856" s="295"/>
    </row>
    <row r="857" hidden="1">
      <c r="H857" s="295"/>
    </row>
    <row r="858" hidden="1">
      <c r="H858" s="295"/>
    </row>
    <row r="859" hidden="1">
      <c r="H859" s="295"/>
    </row>
    <row r="860" hidden="1">
      <c r="H860" s="295"/>
    </row>
    <row r="861" hidden="1">
      <c r="H861" s="295"/>
    </row>
    <row r="862" hidden="1">
      <c r="H862" s="295"/>
    </row>
    <row r="863" hidden="1">
      <c r="H863" s="295"/>
    </row>
    <row r="864" hidden="1">
      <c r="H864" s="295"/>
    </row>
    <row r="865" hidden="1">
      <c r="H865" s="295"/>
    </row>
    <row r="866" hidden="1">
      <c r="H866" s="295"/>
    </row>
    <row r="867" hidden="1">
      <c r="H867" s="295"/>
    </row>
    <row r="868" hidden="1">
      <c r="H868" s="295"/>
    </row>
    <row r="869" hidden="1">
      <c r="H869" s="295"/>
    </row>
    <row r="870" hidden="1">
      <c r="H870" s="295"/>
    </row>
    <row r="871" hidden="1">
      <c r="H871" s="295"/>
    </row>
    <row r="872" hidden="1">
      <c r="H872" s="295"/>
    </row>
    <row r="873" hidden="1">
      <c r="H873" s="295"/>
    </row>
    <row r="874" hidden="1">
      <c r="H874" s="295"/>
    </row>
    <row r="875" hidden="1">
      <c r="H875" s="295"/>
    </row>
    <row r="876" hidden="1">
      <c r="H876" s="295"/>
    </row>
    <row r="877" hidden="1">
      <c r="H877" s="295"/>
    </row>
    <row r="878" hidden="1">
      <c r="H878" s="295"/>
    </row>
    <row r="879" hidden="1">
      <c r="H879" s="295"/>
    </row>
    <row r="880" hidden="1">
      <c r="H880" s="295"/>
    </row>
    <row r="881" hidden="1">
      <c r="H881" s="295"/>
    </row>
    <row r="882" hidden="1">
      <c r="H882" s="295"/>
    </row>
    <row r="883" hidden="1">
      <c r="H883" s="295"/>
    </row>
    <row r="884" hidden="1">
      <c r="H884" s="295"/>
    </row>
    <row r="885" hidden="1">
      <c r="H885" s="295"/>
    </row>
    <row r="886" hidden="1">
      <c r="H886" s="295"/>
    </row>
    <row r="887" hidden="1">
      <c r="H887" s="295"/>
    </row>
    <row r="888" hidden="1">
      <c r="H888" s="295"/>
    </row>
    <row r="889" hidden="1">
      <c r="H889" s="295"/>
    </row>
    <row r="890" hidden="1">
      <c r="H890" s="295"/>
    </row>
    <row r="891" hidden="1">
      <c r="H891" s="295"/>
    </row>
    <row r="892" hidden="1">
      <c r="H892" s="295"/>
    </row>
    <row r="893" hidden="1">
      <c r="H893" s="295"/>
    </row>
    <row r="894" hidden="1">
      <c r="H894" s="295"/>
    </row>
    <row r="895" hidden="1">
      <c r="H895" s="295"/>
    </row>
    <row r="896" hidden="1">
      <c r="H896" s="295"/>
    </row>
    <row r="897" hidden="1">
      <c r="H897" s="295"/>
    </row>
    <row r="898" hidden="1">
      <c r="H898" s="295"/>
    </row>
    <row r="899" hidden="1">
      <c r="H899" s="295"/>
    </row>
    <row r="900" hidden="1">
      <c r="H900" s="295"/>
    </row>
    <row r="901" hidden="1">
      <c r="H901" s="295"/>
    </row>
    <row r="902" hidden="1">
      <c r="H902" s="295"/>
    </row>
    <row r="903" hidden="1">
      <c r="H903" s="295"/>
    </row>
    <row r="904" hidden="1">
      <c r="H904" s="295"/>
    </row>
    <row r="905" hidden="1">
      <c r="H905" s="295"/>
    </row>
    <row r="906" hidden="1">
      <c r="H906" s="295"/>
    </row>
    <row r="907" hidden="1">
      <c r="H907" s="295"/>
    </row>
    <row r="908" hidden="1">
      <c r="H908" s="295"/>
    </row>
    <row r="909" hidden="1">
      <c r="H909" s="295"/>
    </row>
    <row r="910" hidden="1">
      <c r="H910" s="295"/>
    </row>
    <row r="911" hidden="1">
      <c r="H911" s="295"/>
    </row>
    <row r="912" hidden="1">
      <c r="H912" s="295"/>
    </row>
    <row r="913" hidden="1">
      <c r="H913" s="295"/>
    </row>
    <row r="914" hidden="1">
      <c r="H914" s="295"/>
    </row>
    <row r="915" hidden="1">
      <c r="H915" s="295"/>
    </row>
    <row r="916" hidden="1">
      <c r="H916" s="295"/>
    </row>
    <row r="917" hidden="1">
      <c r="H917" s="295"/>
    </row>
    <row r="918" hidden="1">
      <c r="H918" s="295"/>
    </row>
    <row r="919" hidden="1">
      <c r="H919" s="295"/>
    </row>
    <row r="920" hidden="1">
      <c r="H920" s="295"/>
    </row>
    <row r="921" hidden="1">
      <c r="H921" s="295"/>
    </row>
    <row r="922" hidden="1">
      <c r="H922" s="295"/>
    </row>
    <row r="923" hidden="1">
      <c r="H923" s="295"/>
    </row>
    <row r="924" hidden="1">
      <c r="H924" s="295"/>
    </row>
    <row r="925" hidden="1">
      <c r="H925" s="295"/>
    </row>
    <row r="926" hidden="1">
      <c r="H926" s="295"/>
    </row>
    <row r="927" hidden="1">
      <c r="H927" s="295"/>
    </row>
    <row r="928" hidden="1">
      <c r="H928" s="295"/>
    </row>
    <row r="929" hidden="1">
      <c r="H929" s="295"/>
    </row>
    <row r="930" hidden="1">
      <c r="H930" s="295"/>
    </row>
    <row r="931" hidden="1">
      <c r="H931" s="295"/>
    </row>
    <row r="932" hidden="1">
      <c r="H932" s="295"/>
    </row>
    <row r="933" hidden="1">
      <c r="H933" s="295"/>
    </row>
    <row r="934" hidden="1">
      <c r="H934" s="295"/>
    </row>
    <row r="935" hidden="1">
      <c r="H935" s="295"/>
    </row>
    <row r="936" hidden="1">
      <c r="H936" s="295"/>
    </row>
    <row r="937" hidden="1">
      <c r="H937" s="295"/>
    </row>
    <row r="938" hidden="1">
      <c r="H938" s="295"/>
    </row>
    <row r="939" hidden="1">
      <c r="H939" s="295"/>
    </row>
    <row r="940" hidden="1">
      <c r="H940" s="295"/>
    </row>
    <row r="941" hidden="1">
      <c r="H941" s="295"/>
    </row>
    <row r="942" hidden="1">
      <c r="H942" s="295"/>
    </row>
    <row r="943" hidden="1">
      <c r="H943" s="295"/>
    </row>
    <row r="944" hidden="1">
      <c r="H944" s="295"/>
    </row>
    <row r="945" hidden="1">
      <c r="H945" s="295"/>
    </row>
    <row r="946" hidden="1">
      <c r="H946" s="295"/>
    </row>
    <row r="947" hidden="1">
      <c r="H947" s="295"/>
    </row>
    <row r="948" hidden="1">
      <c r="H948" s="295"/>
    </row>
    <row r="949" hidden="1">
      <c r="H949" s="295"/>
    </row>
    <row r="950" hidden="1">
      <c r="H950" s="295"/>
    </row>
    <row r="951" hidden="1">
      <c r="H951" s="295"/>
    </row>
    <row r="952" hidden="1">
      <c r="H952" s="295"/>
    </row>
    <row r="953" hidden="1">
      <c r="H953" s="295"/>
    </row>
    <row r="954" hidden="1">
      <c r="H954" s="295"/>
    </row>
    <row r="955" hidden="1">
      <c r="H955" s="295"/>
    </row>
    <row r="956" hidden="1">
      <c r="H956" s="295"/>
    </row>
    <row r="957" hidden="1">
      <c r="H957" s="295"/>
    </row>
    <row r="958" hidden="1">
      <c r="H958" s="295"/>
    </row>
    <row r="959" hidden="1">
      <c r="H959" s="295"/>
    </row>
    <row r="960" hidden="1">
      <c r="H960" s="295"/>
    </row>
    <row r="961" hidden="1">
      <c r="H961" s="295"/>
    </row>
    <row r="962" hidden="1">
      <c r="H962" s="295"/>
    </row>
    <row r="963" hidden="1">
      <c r="H963" s="295"/>
    </row>
    <row r="964" hidden="1">
      <c r="H964" s="295"/>
    </row>
    <row r="965" hidden="1">
      <c r="H965" s="295"/>
    </row>
    <row r="966" hidden="1">
      <c r="H966" s="295"/>
    </row>
    <row r="967" hidden="1">
      <c r="H967" s="295"/>
    </row>
    <row r="968" hidden="1">
      <c r="H968" s="295"/>
    </row>
    <row r="969" hidden="1">
      <c r="H969" s="295"/>
    </row>
    <row r="970" hidden="1">
      <c r="H970" s="295"/>
    </row>
    <row r="971" hidden="1">
      <c r="H971" s="295"/>
    </row>
    <row r="972" hidden="1">
      <c r="H972" s="295"/>
    </row>
    <row r="973" hidden="1">
      <c r="H973" s="295"/>
    </row>
    <row r="974" hidden="1">
      <c r="H974" s="295"/>
    </row>
    <row r="975" hidden="1">
      <c r="H975" s="295"/>
    </row>
    <row r="976" hidden="1">
      <c r="H976" s="295"/>
    </row>
    <row r="977" hidden="1">
      <c r="H977" s="295"/>
    </row>
    <row r="978" hidden="1">
      <c r="H978" s="295"/>
    </row>
    <row r="979" hidden="1">
      <c r="H979" s="295"/>
    </row>
    <row r="980" hidden="1">
      <c r="H980" s="295"/>
    </row>
    <row r="981" hidden="1">
      <c r="H981" s="295"/>
    </row>
    <row r="982" hidden="1">
      <c r="H982" s="295"/>
    </row>
    <row r="983" hidden="1">
      <c r="H983" s="295"/>
    </row>
    <row r="984" hidden="1">
      <c r="H984" s="295"/>
    </row>
    <row r="985" hidden="1">
      <c r="H985" s="295"/>
    </row>
    <row r="986" hidden="1">
      <c r="H986" s="295"/>
    </row>
    <row r="987" hidden="1">
      <c r="H987" s="295"/>
    </row>
    <row r="988" hidden="1">
      <c r="H988" s="295"/>
    </row>
    <row r="989" hidden="1">
      <c r="H989" s="295"/>
    </row>
    <row r="990" hidden="1">
      <c r="H990" s="295"/>
    </row>
    <row r="991" hidden="1">
      <c r="H991" s="295"/>
    </row>
    <row r="992" hidden="1">
      <c r="H992" s="295"/>
    </row>
    <row r="993" hidden="1">
      <c r="H993" s="295"/>
    </row>
    <row r="994" hidden="1">
      <c r="H994" s="295"/>
    </row>
    <row r="995" hidden="1">
      <c r="H995" s="295"/>
    </row>
    <row r="996" hidden="1">
      <c r="H996" s="295"/>
    </row>
    <row r="997" hidden="1">
      <c r="H997" s="295"/>
    </row>
    <row r="998" hidden="1">
      <c r="H998" s="295"/>
    </row>
    <row r="999" hidden="1">
      <c r="H999" s="295"/>
    </row>
    <row r="1000" hidden="1">
      <c r="H1000" s="295"/>
    </row>
    <row r="1001" hidden="1">
      <c r="H1001" s="295"/>
    </row>
    <row r="1002" hidden="1">
      <c r="H1002" s="295"/>
    </row>
    <row r="1003" hidden="1">
      <c r="H1003" s="295"/>
    </row>
    <row r="1004" hidden="1">
      <c r="H1004" s="295"/>
    </row>
    <row r="1005" hidden="1">
      <c r="H1005" s="295"/>
    </row>
    <row r="1006" hidden="1">
      <c r="H1006" s="295"/>
    </row>
    <row r="1007" hidden="1">
      <c r="H1007" s="295"/>
    </row>
    <row r="1008" hidden="1">
      <c r="H1008" s="295"/>
    </row>
    <row r="1009" hidden="1">
      <c r="H1009" s="295"/>
    </row>
    <row r="1010" hidden="1">
      <c r="H1010" s="295"/>
    </row>
    <row r="1011" hidden="1">
      <c r="H1011" s="295"/>
    </row>
    <row r="1012" hidden="1">
      <c r="H1012" s="295"/>
    </row>
    <row r="1013" hidden="1">
      <c r="H1013" s="295"/>
    </row>
    <row r="1014" hidden="1">
      <c r="H1014" s="295"/>
    </row>
    <row r="1015" hidden="1">
      <c r="H1015" s="295"/>
    </row>
    <row r="1016" hidden="1">
      <c r="H1016" s="295"/>
    </row>
    <row r="1017" hidden="1">
      <c r="H1017" s="295"/>
    </row>
    <row r="1018" hidden="1">
      <c r="H1018" s="295"/>
    </row>
    <row r="1019" hidden="1">
      <c r="H1019" s="295"/>
    </row>
    <row r="1020" hidden="1">
      <c r="H1020" s="295"/>
    </row>
    <row r="1021" hidden="1">
      <c r="H1021" s="295"/>
    </row>
    <row r="1022" hidden="1">
      <c r="H1022" s="295"/>
    </row>
    <row r="1023" hidden="1">
      <c r="H1023" s="295"/>
    </row>
    <row r="1024" hidden="1">
      <c r="H1024" s="295"/>
    </row>
    <row r="1025" hidden="1">
      <c r="H1025" s="295"/>
    </row>
    <row r="1026" hidden="1">
      <c r="H1026" s="295"/>
    </row>
    <row r="1027" hidden="1">
      <c r="H1027" s="295"/>
    </row>
    <row r="1028" hidden="1">
      <c r="H1028" s="295"/>
    </row>
    <row r="1029" hidden="1">
      <c r="H1029" s="295"/>
    </row>
    <row r="1030" hidden="1">
      <c r="H1030" s="295"/>
    </row>
    <row r="1031" hidden="1">
      <c r="H1031" s="295"/>
    </row>
    <row r="1032" hidden="1">
      <c r="H1032" s="295"/>
    </row>
    <row r="1033" hidden="1">
      <c r="H1033" s="295"/>
    </row>
    <row r="1034" hidden="1">
      <c r="H1034" s="295"/>
    </row>
    <row r="1035" hidden="1">
      <c r="H1035" s="295"/>
    </row>
    <row r="1036" hidden="1">
      <c r="H1036" s="295"/>
    </row>
    <row r="1037" hidden="1">
      <c r="H1037" s="295"/>
    </row>
    <row r="1038" hidden="1">
      <c r="H1038" s="295"/>
    </row>
    <row r="1039" hidden="1">
      <c r="H1039" s="295"/>
    </row>
    <row r="1040" hidden="1">
      <c r="H1040" s="295"/>
    </row>
    <row r="1041" hidden="1">
      <c r="H1041" s="295"/>
    </row>
    <row r="1042" hidden="1">
      <c r="H1042" s="295"/>
    </row>
    <row r="1043" hidden="1">
      <c r="H1043" s="295"/>
    </row>
    <row r="1044" hidden="1">
      <c r="H1044" s="295"/>
    </row>
    <row r="1045" hidden="1">
      <c r="H1045" s="295"/>
    </row>
    <row r="1046" hidden="1">
      <c r="H1046" s="295"/>
    </row>
    <row r="1047" hidden="1">
      <c r="H1047" s="295"/>
    </row>
    <row r="1048" hidden="1">
      <c r="H1048" s="295"/>
    </row>
    <row r="1049" hidden="1">
      <c r="H1049" s="295"/>
    </row>
    <row r="1050" hidden="1">
      <c r="H1050" s="295"/>
    </row>
    <row r="1051" hidden="1">
      <c r="H1051" s="295"/>
    </row>
    <row r="1052" hidden="1">
      <c r="H1052" s="295"/>
    </row>
    <row r="1053" hidden="1">
      <c r="H1053" s="295"/>
    </row>
    <row r="1054" hidden="1">
      <c r="H1054" s="295"/>
    </row>
    <row r="1055" hidden="1">
      <c r="H1055" s="295"/>
    </row>
    <row r="1056" hidden="1">
      <c r="H1056" s="295"/>
    </row>
    <row r="1057" hidden="1">
      <c r="H1057" s="295"/>
    </row>
    <row r="1058" hidden="1">
      <c r="H1058" s="295"/>
    </row>
    <row r="1059" hidden="1">
      <c r="H1059" s="295"/>
    </row>
    <row r="1060" hidden="1">
      <c r="H1060" s="295"/>
    </row>
    <row r="1061" hidden="1">
      <c r="H1061" s="295"/>
    </row>
    <row r="1062" hidden="1">
      <c r="H1062" s="295"/>
    </row>
    <row r="1063" hidden="1">
      <c r="H1063" s="295"/>
    </row>
  </sheetData>
  <autoFilter ref="$J$1:$J$1063">
    <filterColumn colId="0">
      <customFilters>
        <customFilter operator="lessThan" val="1000"/>
      </customFilters>
    </filterColumn>
  </autoFilter>
  <conditionalFormatting sqref="B1 B3:B1063">
    <cfRule type="cellIs" dxfId="0" priority="1" operator="between">
      <formula>50</formula>
      <formula>200</formula>
    </cfRule>
  </conditionalFormatting>
  <conditionalFormatting sqref="B1 B3:B1063">
    <cfRule type="cellIs" dxfId="1" priority="2" operator="between">
      <formula>201</formula>
      <formula>400</formula>
    </cfRule>
  </conditionalFormatting>
  <conditionalFormatting sqref="B3:B1058">
    <cfRule type="cellIs" dxfId="2" priority="3" operator="between">
      <formula>401</formula>
      <formula>650</formula>
    </cfRule>
  </conditionalFormatting>
  <conditionalFormatting sqref="B3:B1058">
    <cfRule type="cellIs" dxfId="3" priority="4" operator="between">
      <formula>651</formula>
      <formula>900</formula>
    </cfRule>
  </conditionalFormatting>
  <conditionalFormatting sqref="B3:B1058">
    <cfRule type="cellIs" dxfId="4" priority="5" operator="greaterThan">
      <formula>900</formula>
    </cfRule>
  </conditionalFormatting>
  <conditionalFormatting sqref="P3:P1058">
    <cfRule type="containsText" dxfId="5" priority="6" operator="containsText" text="yes">
      <formula>NOT(ISERROR(SEARCH(("yes"),(P3))))</formula>
    </cfRule>
  </conditionalFormatting>
  <conditionalFormatting sqref="F1:F1063">
    <cfRule type="colorScale" priority="7">
      <colorScale>
        <cfvo type="min"/>
        <cfvo type="formula" val="150"/>
        <color rgb="FFEAD1DC"/>
        <color rgb="FFA64D79"/>
      </colorScale>
    </cfRule>
  </conditionalFormatting>
  <conditionalFormatting sqref="D3:D82">
    <cfRule type="colorScale" priority="8">
      <colorScale>
        <cfvo type="formula" val="1.2"/>
        <cfvo type="formula" val="4"/>
        <color rgb="FF0B5394"/>
        <color rgb="FFFFFFFF"/>
      </colorScale>
    </cfRule>
  </conditionalFormatting>
  <conditionalFormatting sqref="E3:E82">
    <cfRule type="colorScale" priority="9">
      <colorScale>
        <cfvo type="formula" val="65"/>
        <cfvo type="formula" val="100"/>
        <color rgb="FFD9D2E9"/>
        <color rgb="FF674EA7"/>
      </colorScale>
    </cfRule>
  </conditionalFormatting>
  <conditionalFormatting sqref="D3:D82">
    <cfRule type="containsText" dxfId="6" priority="10" operator="containsText" text="1.2">
      <formula>NOT(ISERROR(SEARCH(("1.2"),(D3))))</formula>
    </cfRule>
  </conditionalFormatting>
  <conditionalFormatting sqref="D12">
    <cfRule type="notContainsBlanks" dxfId="7" priority="11">
      <formula>LEN(TRIM(D12))&gt;0</formula>
    </cfRule>
  </conditionalFormatting>
  <conditionalFormatting sqref="D3:D82">
    <cfRule type="containsText" dxfId="8" priority="12" operator="containsText" text="1.4">
      <formula>NOT(ISERROR(SEARCH(("1.4"),(D3))))</formula>
    </cfRule>
  </conditionalFormatting>
  <conditionalFormatting sqref="D3:D101">
    <cfRule type="containsText" dxfId="9" priority="13" operator="containsText" text="1.8">
      <formula>NOT(ISERROR(SEARCH(("1.8"),(D3))))</formula>
    </cfRule>
  </conditionalFormatting>
  <conditionalFormatting sqref="A3:A100">
    <cfRule type="expression" dxfId="10" priority="14">
      <formula>(today()-T3)&lt;0</formula>
    </cfRule>
  </conditionalFormatting>
  <conditionalFormatting sqref="A3:A100">
    <cfRule type="expression" dxfId="7" priority="15">
      <formula>(today()-T3)&lt;180</formula>
    </cfRule>
  </conditionalFormatting>
  <conditionalFormatting sqref="G3:G102">
    <cfRule type="cellIs" dxfId="10" priority="16" operator="equal">
      <formula>"MF"</formula>
    </cfRule>
  </conditionalFormatting>
  <conditionalFormatting sqref="I3:I102">
    <cfRule type="cellIs" dxfId="11" priority="17" operator="between">
      <formula>0.24</formula>
      <formula>0.45</formula>
    </cfRule>
  </conditionalFormatting>
  <conditionalFormatting sqref="I3:I102">
    <cfRule type="cellIs" dxfId="12" priority="18" operator="between">
      <formula>0.45</formula>
      <formula>0.99</formula>
    </cfRule>
  </conditionalFormatting>
  <conditionalFormatting sqref="I3:I102">
    <cfRule type="cellIs" dxfId="13" priority="19" operator="greaterThan">
      <formula>0.99</formula>
    </cfRule>
  </conditionalFormatting>
  <dataValidations>
    <dataValidation type="list" allowBlank="1" sqref="S3:S82">
      <formula1>"Sony,Voigtlander,Zeiss,Sigma,Samyang,Viltrox,Tokina,Tamron"</formula1>
    </dataValidation>
  </dataValidations>
  <hyperlinks>
    <hyperlink r:id="rId1" ref="K1"/>
    <hyperlink r:id="rId2" ref="M1"/>
    <hyperlink r:id="rId3" ref="N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86"/>
    <col customWidth="1" min="2" max="2" width="6.57"/>
    <col customWidth="1" min="3" max="3" width="11.0"/>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598" t="s">
        <v>0</v>
      </c>
      <c r="B1" s="3" t="s">
        <v>1</v>
      </c>
      <c r="C1" s="3" t="s">
        <v>261</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262</v>
      </c>
    </row>
    <row r="2" ht="18.0" hidden="1" customHeight="1">
      <c r="A2" s="17" t="s">
        <v>166</v>
      </c>
      <c r="B2" s="18"/>
      <c r="C2" s="18"/>
      <c r="D2" s="18"/>
      <c r="E2" s="18"/>
      <c r="F2" s="18"/>
      <c r="G2" s="19"/>
      <c r="H2" s="20"/>
      <c r="I2" s="18"/>
      <c r="J2" s="18"/>
      <c r="K2" s="18"/>
      <c r="L2" s="18"/>
      <c r="M2" s="18"/>
      <c r="N2" s="18"/>
      <c r="O2" s="18"/>
      <c r="P2" s="19"/>
      <c r="Q2" s="18"/>
      <c r="R2" s="19"/>
      <c r="S2" s="21"/>
      <c r="T2" s="19"/>
    </row>
    <row r="3" hidden="1">
      <c r="A3" s="137" t="str">
        <f t="array" ref="A3:A4">All!A3:V122</f>
        <v>#REF!</v>
      </c>
      <c r="B3" s="76"/>
      <c r="C3" s="81"/>
      <c r="D3" s="78"/>
      <c r="E3" s="388"/>
      <c r="F3" s="394"/>
      <c r="G3" s="345"/>
      <c r="H3" s="82"/>
      <c r="I3" s="81"/>
      <c r="J3" s="81"/>
      <c r="K3" s="130"/>
      <c r="L3" s="130"/>
      <c r="M3" s="130"/>
      <c r="N3" s="130"/>
      <c r="O3" s="81"/>
      <c r="P3" s="84"/>
      <c r="Q3" s="81"/>
      <c r="R3" s="378"/>
      <c r="S3" s="81"/>
      <c r="T3" s="81"/>
    </row>
    <row r="4" hidden="1">
      <c r="A4" s="131" t="str">
        <f>HYPERLINK("https://phillipreeve.net/blog/review-voigtlander-10mm-5-6-e-hyper-wide-heliar/","Voigtlander 10mm F5.6 Hyper Wide ")</f>
        <v>Voigtlander 10mm F5.6 Hyper Wide </v>
      </c>
      <c r="B4" s="76">
        <v>375.0</v>
      </c>
      <c r="C4" s="122">
        <v>10.0</v>
      </c>
      <c r="D4" s="78">
        <v>5.6</v>
      </c>
      <c r="E4" s="388">
        <v>67.0</v>
      </c>
      <c r="F4" s="389" t="s">
        <v>23</v>
      </c>
      <c r="G4" s="390" t="s">
        <v>24</v>
      </c>
      <c r="H4" s="82" t="s">
        <v>25</v>
      </c>
      <c r="I4" s="81">
        <v>0.067</v>
      </c>
      <c r="J4" s="87">
        <v>1099.0</v>
      </c>
      <c r="K4" s="130" t="str">
        <f>HYPERLINK("https://amzn.to/2jJ8WxH","link*")</f>
        <v/>
      </c>
      <c r="L4" s="130" t="str">
        <f>HYPERLINK("https://www.bhphotovideo.com/c/product/1219550-REG/voigtlander_ba334b_heliar_hyper_wide_10mm_f_5_6.html/BI/19619/KBID/12129/DFF/d10-v21-t1-x732282/SID/EZ","link*")</f>
        <v/>
      </c>
      <c r="M4" s="130" t="str">
        <f>HYPERLINK("https://amzn.to/2jG72hr","link*")</f>
        <v/>
      </c>
      <c r="N4" s="130"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
      </c>
      <c r="O4" s="83">
        <v>30.0</v>
      </c>
      <c r="P4" s="84" t="s">
        <v>26</v>
      </c>
      <c r="Q4" s="81">
        <v>10.0</v>
      </c>
      <c r="R4" s="378" t="s">
        <v>27</v>
      </c>
      <c r="S4" s="81" t="s">
        <v>28</v>
      </c>
      <c r="T4" s="86">
        <v>42552.0</v>
      </c>
      <c r="U4" s="68" t="s">
        <v>225</v>
      </c>
    </row>
    <row r="5" hidden="1">
      <c r="A5" s="137"/>
      <c r="B5" s="76"/>
      <c r="C5" s="81"/>
      <c r="D5" s="78"/>
      <c r="E5" s="391"/>
      <c r="F5" s="396"/>
      <c r="G5" s="397"/>
      <c r="H5" s="82"/>
      <c r="I5" s="81"/>
      <c r="J5" s="81"/>
      <c r="K5" s="89"/>
      <c r="L5" s="89"/>
      <c r="M5" s="89"/>
      <c r="N5" s="89"/>
      <c r="O5" s="81"/>
      <c r="P5" s="84"/>
      <c r="Q5" s="81"/>
      <c r="R5" s="378"/>
      <c r="S5" s="81"/>
      <c r="T5" s="81"/>
    </row>
    <row r="6" hidden="1">
      <c r="A6" s="395"/>
      <c r="B6" s="76"/>
      <c r="C6" s="81"/>
      <c r="D6" s="121"/>
      <c r="E6" s="343"/>
      <c r="F6" s="344"/>
      <c r="G6" s="81"/>
      <c r="H6" s="82"/>
      <c r="I6" s="81"/>
      <c r="J6" s="81"/>
      <c r="K6" s="89"/>
      <c r="L6" s="89"/>
      <c r="M6" s="89"/>
      <c r="N6" s="89"/>
      <c r="O6" s="81"/>
      <c r="P6" s="84"/>
      <c r="Q6" s="81"/>
      <c r="R6" s="123"/>
      <c r="S6" s="81"/>
      <c r="T6" s="346"/>
    </row>
    <row r="7" hidden="1">
      <c r="A7" s="398"/>
      <c r="B7" s="76"/>
      <c r="C7" s="81"/>
      <c r="D7" s="78"/>
      <c r="E7" s="79"/>
      <c r="F7" s="344"/>
      <c r="G7" s="81"/>
      <c r="H7" s="82"/>
      <c r="I7" s="81"/>
      <c r="J7" s="81"/>
      <c r="K7" s="89"/>
      <c r="L7" s="89"/>
      <c r="M7" s="89"/>
      <c r="N7" s="89"/>
      <c r="O7" s="81"/>
      <c r="P7" s="84"/>
      <c r="Q7" s="81"/>
      <c r="R7" s="85"/>
      <c r="S7" s="81"/>
      <c r="T7" s="81"/>
    </row>
    <row r="8" hidden="1">
      <c r="A8" s="395"/>
      <c r="B8" s="76"/>
      <c r="C8" s="81"/>
      <c r="D8" s="78"/>
      <c r="E8" s="79"/>
      <c r="F8" s="79"/>
      <c r="G8" s="81"/>
      <c r="H8" s="82"/>
      <c r="I8" s="81"/>
      <c r="J8" s="81"/>
      <c r="K8" s="89"/>
      <c r="L8" s="89"/>
      <c r="M8" s="89"/>
      <c r="N8" s="89"/>
      <c r="O8" s="81"/>
      <c r="P8" s="84"/>
      <c r="Q8" s="81"/>
      <c r="R8" s="123"/>
      <c r="S8" s="81"/>
      <c r="T8" s="346"/>
    </row>
    <row r="9" hidden="1">
      <c r="A9" s="137"/>
      <c r="B9" s="76"/>
      <c r="C9" s="81"/>
      <c r="D9" s="78"/>
      <c r="E9" s="391"/>
      <c r="F9" s="396"/>
      <c r="G9" s="397"/>
      <c r="H9" s="82"/>
      <c r="I9" s="81"/>
      <c r="J9" s="81"/>
      <c r="K9" s="89"/>
      <c r="L9" s="89"/>
      <c r="M9" s="89"/>
      <c r="N9" s="89"/>
      <c r="O9" s="81"/>
      <c r="P9" s="84"/>
      <c r="Q9" s="81"/>
      <c r="R9" s="128"/>
      <c r="S9" s="81"/>
      <c r="T9" s="81"/>
    </row>
    <row r="10">
      <c r="A10" s="75" t="s">
        <v>29</v>
      </c>
      <c r="B10" s="76">
        <v>565.0</v>
      </c>
      <c r="C10" s="122">
        <v>12.0</v>
      </c>
      <c r="D10" s="78">
        <v>4.0</v>
      </c>
      <c r="E10" s="79">
        <v>87.0</v>
      </c>
      <c r="F10" s="122">
        <v>117.0</v>
      </c>
      <c r="G10" s="84" t="s">
        <v>30</v>
      </c>
      <c r="H10" s="82" t="s">
        <v>25</v>
      </c>
      <c r="I10" s="81">
        <v>0.14</v>
      </c>
      <c r="J10" s="87">
        <v>1699.0</v>
      </c>
      <c r="K10" s="130" t="str">
        <f>HYPERLINK("https://amzn.to/2SSzKc4","link*")</f>
        <v/>
      </c>
      <c r="L10" s="130" t="str">
        <f>HYPERLINK("https://www.bhphotovideo.com/c/product/1338517-REG/sony_sel1224g_fe_12_24mm_f_4_g.html/BI/19619/KBID/12129/DFF/d10-v21-t1-x822838/SID/EZ","link*")</f>
        <v/>
      </c>
      <c r="M10" s="130" t="str">
        <f>HYPERLINK("https://amzn.to/2Kg94zb","link*")</f>
        <v/>
      </c>
      <c r="N10" s="130"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
      </c>
      <c r="O10" s="83">
        <v>24.0</v>
      </c>
      <c r="P10" s="84" t="s">
        <v>26</v>
      </c>
      <c r="Q10" s="81">
        <v>7.0</v>
      </c>
      <c r="R10" s="378" t="s">
        <v>31</v>
      </c>
      <c r="S10" s="81" t="s">
        <v>32</v>
      </c>
      <c r="T10" s="86">
        <v>42856.0</v>
      </c>
    </row>
    <row r="11" hidden="1">
      <c r="A11" s="124" t="str">
        <f>HYPERLINK("https://phillipreeve.net/blog/review-voigtlander-12mm-5-6-aspherical-ultra-wide-heliar/","Voigtlander 12mm F5.6 Ultra Wide-Heliar Aspherical")</f>
        <v/>
      </c>
      <c r="B11" s="76">
        <v>350.0</v>
      </c>
      <c r="C11" s="122">
        <v>12.0</v>
      </c>
      <c r="D11" s="78">
        <v>5.6</v>
      </c>
      <c r="E11" s="391">
        <v>67.0</v>
      </c>
      <c r="F11" s="389">
        <v>68.0</v>
      </c>
      <c r="G11" s="84" t="s">
        <v>24</v>
      </c>
      <c r="H11" s="82" t="s">
        <v>25</v>
      </c>
      <c r="I11" s="81"/>
      <c r="J11" s="87">
        <v>749.0</v>
      </c>
      <c r="K11" s="89"/>
      <c r="L11" s="89"/>
      <c r="M11" s="89"/>
      <c r="N11" s="130"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
      </c>
      <c r="O11" s="83">
        <v>30.0</v>
      </c>
      <c r="P11" s="84" t="s">
        <v>26</v>
      </c>
      <c r="Q11" s="81">
        <v>10.0</v>
      </c>
      <c r="R11" s="378" t="s">
        <v>38</v>
      </c>
      <c r="S11" s="81" t="s">
        <v>28</v>
      </c>
      <c r="T11" s="86">
        <v>42583.0</v>
      </c>
      <c r="U11" s="68" t="s">
        <v>39</v>
      </c>
    </row>
    <row r="12" hidden="1">
      <c r="A12" s="611"/>
      <c r="B12" s="76"/>
      <c r="C12" s="81"/>
      <c r="D12" s="78"/>
      <c r="E12" s="379"/>
      <c r="F12" s="79"/>
      <c r="G12" s="84"/>
      <c r="H12" s="82"/>
      <c r="I12" s="81"/>
      <c r="J12" s="643"/>
      <c r="K12" s="89"/>
      <c r="L12" s="89"/>
      <c r="M12" s="89"/>
      <c r="N12" s="89"/>
      <c r="O12" s="81"/>
      <c r="P12" s="84"/>
      <c r="Q12" s="81"/>
      <c r="R12" s="128"/>
      <c r="S12" s="81"/>
      <c r="T12" s="81"/>
    </row>
    <row r="13" hidden="1">
      <c r="A13" s="137"/>
      <c r="B13" s="76"/>
      <c r="C13" s="81"/>
      <c r="D13" s="78"/>
      <c r="E13" s="79"/>
      <c r="F13" s="79"/>
      <c r="G13" s="84"/>
      <c r="H13" s="82"/>
      <c r="I13" s="81"/>
      <c r="J13" s="81"/>
      <c r="K13" s="89"/>
      <c r="L13" s="89"/>
      <c r="M13" s="89"/>
      <c r="N13" s="89"/>
      <c r="O13" s="81"/>
      <c r="P13" s="84"/>
      <c r="Q13" s="81"/>
      <c r="R13" s="128"/>
      <c r="S13" s="81"/>
      <c r="T13" s="346"/>
    </row>
    <row r="14" hidden="1" customHeight="1">
      <c r="A14" s="395"/>
      <c r="B14" s="76"/>
      <c r="C14" s="81"/>
      <c r="D14" s="380"/>
      <c r="E14" s="79"/>
      <c r="F14" s="79"/>
      <c r="G14" s="81"/>
      <c r="H14" s="82"/>
      <c r="I14" s="81"/>
      <c r="J14" s="81"/>
      <c r="K14" s="89"/>
      <c r="L14" s="89"/>
      <c r="M14" s="89"/>
      <c r="N14" s="89"/>
      <c r="O14" s="81"/>
      <c r="P14" s="84"/>
      <c r="Q14" s="81"/>
      <c r="R14" s="123"/>
      <c r="S14" s="81"/>
      <c r="T14" s="346"/>
    </row>
    <row r="15" hidden="1">
      <c r="A15" s="395"/>
      <c r="B15" s="76"/>
      <c r="C15" s="81"/>
      <c r="D15" s="121"/>
      <c r="E15" s="79"/>
      <c r="F15" s="79"/>
      <c r="G15" s="400"/>
      <c r="H15" s="82"/>
      <c r="I15" s="81"/>
      <c r="J15" s="81"/>
      <c r="K15" s="89"/>
      <c r="L15" s="89"/>
      <c r="M15" s="89"/>
      <c r="N15" s="89"/>
      <c r="O15" s="81"/>
      <c r="P15" s="84"/>
      <c r="Q15" s="81"/>
      <c r="R15" s="123"/>
      <c r="S15" s="81"/>
      <c r="T15" s="346"/>
    </row>
    <row r="16" hidden="1">
      <c r="A16" s="137"/>
      <c r="B16" s="76"/>
      <c r="C16" s="81"/>
      <c r="D16" s="125"/>
      <c r="E16" s="391"/>
      <c r="F16" s="79"/>
      <c r="G16" s="397"/>
      <c r="H16" s="82"/>
      <c r="I16" s="81"/>
      <c r="J16" s="644"/>
      <c r="K16" s="130"/>
      <c r="L16" s="130"/>
      <c r="M16" s="130"/>
      <c r="N16" s="130"/>
      <c r="O16" s="81"/>
      <c r="P16" s="84"/>
      <c r="Q16" s="81"/>
      <c r="R16" s="128"/>
      <c r="S16" s="81"/>
      <c r="T16" s="346"/>
    </row>
    <row r="17" hidden="1">
      <c r="A17" s="395"/>
      <c r="B17" s="76"/>
      <c r="C17" s="81"/>
      <c r="D17" s="125"/>
      <c r="E17" s="379"/>
      <c r="F17" s="79"/>
      <c r="G17" s="84"/>
      <c r="H17" s="82"/>
      <c r="I17" s="81"/>
      <c r="J17" s="81"/>
      <c r="K17" s="89"/>
      <c r="L17" s="89"/>
      <c r="M17" s="89"/>
      <c r="N17" s="89"/>
      <c r="O17" s="81"/>
      <c r="P17" s="84"/>
      <c r="Q17" s="81"/>
      <c r="R17" s="128"/>
      <c r="S17" s="81"/>
      <c r="T17" s="346"/>
    </row>
    <row r="18" hidden="1">
      <c r="A18" s="611"/>
      <c r="B18" s="76"/>
      <c r="C18" s="81"/>
      <c r="D18" s="149"/>
      <c r="E18" s="379"/>
      <c r="F18" s="79"/>
      <c r="G18" s="84"/>
      <c r="H18" s="82"/>
      <c r="I18" s="81"/>
      <c r="J18" s="81"/>
      <c r="K18" s="89"/>
      <c r="L18" s="89"/>
      <c r="M18" s="89"/>
      <c r="N18" s="89"/>
      <c r="O18" s="81"/>
      <c r="P18" s="84"/>
      <c r="Q18" s="81"/>
      <c r="R18" s="128"/>
      <c r="S18" s="81"/>
      <c r="T18" s="81"/>
    </row>
    <row r="19" hidden="1">
      <c r="A19" s="137"/>
      <c r="B19" s="76"/>
      <c r="C19" s="81"/>
      <c r="D19" s="78"/>
      <c r="E19" s="391"/>
      <c r="F19" s="396"/>
      <c r="G19" s="397"/>
      <c r="H19" s="82"/>
      <c r="I19" s="346"/>
      <c r="J19" s="81"/>
      <c r="K19" s="89"/>
      <c r="L19" s="89"/>
      <c r="M19" s="89"/>
      <c r="N19" s="89"/>
      <c r="O19" s="81"/>
      <c r="P19" s="84"/>
      <c r="Q19" s="81"/>
      <c r="R19" s="128"/>
      <c r="S19" s="81"/>
      <c r="T19" s="346"/>
    </row>
    <row r="20" hidden="1">
      <c r="A20" s="137"/>
      <c r="B20" s="76"/>
      <c r="C20" s="81"/>
      <c r="D20" s="78"/>
      <c r="E20" s="79"/>
      <c r="F20" s="616"/>
      <c r="G20" s="397"/>
      <c r="H20" s="82"/>
      <c r="I20" s="346"/>
      <c r="J20" s="81"/>
      <c r="K20" s="130"/>
      <c r="L20" s="130"/>
      <c r="M20" s="89"/>
      <c r="N20" s="130"/>
      <c r="O20" s="81"/>
      <c r="P20" s="84"/>
      <c r="Q20" s="81"/>
      <c r="R20" s="128"/>
      <c r="S20" s="81"/>
      <c r="T20" s="81"/>
    </row>
    <row r="21" hidden="1">
      <c r="A21" s="75" t="s">
        <v>40</v>
      </c>
      <c r="B21" s="76">
        <v>1170.0</v>
      </c>
      <c r="C21" s="122">
        <v>14.0</v>
      </c>
      <c r="D21" s="121">
        <v>1.8</v>
      </c>
      <c r="E21" s="343">
        <v>95.0</v>
      </c>
      <c r="F21" s="80">
        <v>126.0</v>
      </c>
      <c r="G21" s="81" t="s">
        <v>30</v>
      </c>
      <c r="H21" s="82" t="s">
        <v>25</v>
      </c>
      <c r="I21" s="81">
        <v>0.1</v>
      </c>
      <c r="J21" s="87">
        <v>1599.0</v>
      </c>
      <c r="K21" s="130" t="str">
        <f>HYPERLINK("https://amzn.to/2SOWTvV","link*")</f>
        <v/>
      </c>
      <c r="L21" s="130" t="str">
        <f>HYPERLINK("https://www.bhphotovideo.com/c/product/1393489-REG/sigma_14mm_f_1_8_dg_hsm.html/BI/19619/KBID/12129/DFF/d10-v21-t1-x881154/SID/EZ","link*")</f>
        <v/>
      </c>
      <c r="M21" s="130" t="str">
        <f>HYPERLINK("https://amzn.to/2ZDl4QJ","link*")</f>
        <v/>
      </c>
      <c r="N21" s="130"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
      </c>
      <c r="O21" s="83">
        <v>27.0</v>
      </c>
      <c r="P21" s="84" t="s">
        <v>26</v>
      </c>
      <c r="Q21" s="81">
        <v>9.0</v>
      </c>
      <c r="R21" s="123">
        <v>43785.0</v>
      </c>
      <c r="S21" s="81" t="s">
        <v>41</v>
      </c>
      <c r="T21" s="86">
        <v>43221.0</v>
      </c>
      <c r="U21" s="68" t="s">
        <v>42</v>
      </c>
    </row>
    <row r="22" hidden="1">
      <c r="A22" s="395"/>
      <c r="B22" s="76"/>
      <c r="C22" s="81"/>
      <c r="D22" s="149"/>
      <c r="E22" s="79"/>
      <c r="F22" s="79"/>
      <c r="G22" s="81"/>
      <c r="H22" s="82"/>
      <c r="I22" s="81"/>
      <c r="J22" s="81"/>
      <c r="K22" s="89"/>
      <c r="L22" s="89"/>
      <c r="M22" s="89"/>
      <c r="N22" s="89"/>
      <c r="O22" s="81"/>
      <c r="P22" s="84"/>
      <c r="Q22" s="81"/>
      <c r="R22" s="123"/>
      <c r="S22" s="81"/>
      <c r="T22" s="346"/>
    </row>
    <row r="23" hidden="1">
      <c r="A23" s="137"/>
      <c r="B23" s="76"/>
      <c r="C23" s="81"/>
      <c r="D23" s="78"/>
      <c r="E23" s="79"/>
      <c r="F23" s="79"/>
      <c r="G23" s="84"/>
      <c r="H23" s="82"/>
      <c r="I23" s="81"/>
      <c r="J23" s="644"/>
      <c r="K23" s="130"/>
      <c r="L23" s="130"/>
      <c r="M23" s="130"/>
      <c r="N23" s="89"/>
      <c r="O23" s="81"/>
      <c r="P23" s="84"/>
      <c r="Q23" s="81"/>
      <c r="R23" s="128"/>
      <c r="S23" s="81"/>
      <c r="T23" s="346"/>
    </row>
    <row r="24" hidden="1">
      <c r="A24" s="75" t="s">
        <v>43</v>
      </c>
      <c r="B24" s="76">
        <v>795.0</v>
      </c>
      <c r="C24" s="122">
        <v>14.0</v>
      </c>
      <c r="D24" s="78">
        <v>2.8</v>
      </c>
      <c r="E24" s="79">
        <v>85.0</v>
      </c>
      <c r="F24" s="80">
        <v>131.0</v>
      </c>
      <c r="G24" s="81" t="s">
        <v>30</v>
      </c>
      <c r="H24" s="82" t="s">
        <v>25</v>
      </c>
      <c r="I24" s="81">
        <v>0.14</v>
      </c>
      <c r="J24" s="87">
        <v>1399.0</v>
      </c>
      <c r="K24" s="130" t="str">
        <f>HYPERLINK("https://amzn.to/2zt8rMC","link*")</f>
        <v/>
      </c>
      <c r="L24" s="130" t="str">
        <f>HYPERLINK("https://www.bhphotovideo.com/c/product/1492972-REG/sigma_213965_14_24mm_f_2_8_dg_dn.html/BI/19619/KBID/12129/DFF/d10-v21-t1-x976041/SID/EZ","link*")</f>
        <v/>
      </c>
      <c r="M24" s="89" t="s">
        <v>33</v>
      </c>
      <c r="N24" s="130"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
      </c>
      <c r="O24" s="83">
        <v>28.0</v>
      </c>
      <c r="P24" s="84" t="s">
        <v>26</v>
      </c>
      <c r="Q24" s="81">
        <v>11.0</v>
      </c>
      <c r="R24" s="85" t="s">
        <v>44</v>
      </c>
      <c r="S24" s="81" t="s">
        <v>41</v>
      </c>
      <c r="T24" s="86">
        <v>43739.0</v>
      </c>
      <c r="U24" s="68" t="s">
        <v>37</v>
      </c>
    </row>
    <row r="25" hidden="1">
      <c r="A25" s="75" t="s">
        <v>45</v>
      </c>
      <c r="B25" s="76">
        <v>505.0</v>
      </c>
      <c r="C25" s="122">
        <v>14.0</v>
      </c>
      <c r="D25" s="78">
        <v>2.8</v>
      </c>
      <c r="E25" s="79">
        <v>86.0</v>
      </c>
      <c r="F25" s="122">
        <v>98.0</v>
      </c>
      <c r="G25" s="81" t="s">
        <v>30</v>
      </c>
      <c r="H25" s="82" t="s">
        <v>25</v>
      </c>
      <c r="I25" s="81">
        <v>0.12</v>
      </c>
      <c r="J25" s="87">
        <v>799.0</v>
      </c>
      <c r="K25" s="130" t="str">
        <f>HYPERLINK("https://amzn.to/2SX2HUi","link*")</f>
        <v/>
      </c>
      <c r="L25" s="130" t="str">
        <f>HYPERLINK("https://www.bhphotovideo.com/c/product/1352863-REG/samyang_syio14af_e_14mm_f_2_8_f_f_wide.html/BI/19619/KBID/12129/DFF/d10-v21-t1-x837928/SID/EZ","link*")</f>
        <v/>
      </c>
      <c r="M25" s="130" t="str">
        <f>HYPERLINK("https://amzn.to/31hwSIL","link*")</f>
        <v/>
      </c>
      <c r="N25" s="130"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
      </c>
      <c r="O25" s="83">
        <v>20.0</v>
      </c>
      <c r="P25" s="84" t="s">
        <v>26</v>
      </c>
      <c r="Q25" s="81">
        <v>7.0</v>
      </c>
      <c r="R25" s="123">
        <v>43752.0</v>
      </c>
      <c r="S25" s="81" t="s">
        <v>46</v>
      </c>
      <c r="T25" s="86">
        <v>43221.0</v>
      </c>
    </row>
    <row r="26" hidden="1">
      <c r="A26" s="124" t="str">
        <f>HYPERLINK("https://phillipreeve.net/blog/review-voigtlander-15mm-4-5-e-super-wide-heliar/","Voigtlander 15mm F4.5 Super Wide Heliar")</f>
        <v/>
      </c>
      <c r="B26" s="76">
        <v>298.0</v>
      </c>
      <c r="C26" s="122">
        <v>15.0</v>
      </c>
      <c r="D26" s="78">
        <v>4.5</v>
      </c>
      <c r="E26" s="391">
        <v>67.0</v>
      </c>
      <c r="F26" s="389">
        <v>62.0</v>
      </c>
      <c r="G26" s="84" t="s">
        <v>24</v>
      </c>
      <c r="H26" s="82" t="s">
        <v>47</v>
      </c>
      <c r="I26" s="81">
        <v>0.083</v>
      </c>
      <c r="J26" s="87">
        <v>799.0</v>
      </c>
      <c r="K26" s="130" t="str">
        <f>HYPERLINK("https://amzn.to/2YwplrQ","link*")</f>
        <v/>
      </c>
      <c r="L26" s="130" t="str">
        <f>HYPERLINK("https://www.bhphotovideo.com/c/product/1219549-REG/voigtlander_ba329b_super_wide_heliar_15mm_f_4_5.html/BI/19619/KBID/12129/DFF/d10-v21-t1-x618202/SID/EZ","link*")</f>
        <v/>
      </c>
      <c r="M26" s="130" t="str">
        <f>HYPERLINK("https://amzn.to/2ZpTKt5","link*")</f>
        <v/>
      </c>
      <c r="N26" s="130"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
      </c>
      <c r="O26" s="83">
        <v>30.0</v>
      </c>
      <c r="P26" s="84" t="s">
        <v>26</v>
      </c>
      <c r="Q26" s="81">
        <v>10.0</v>
      </c>
      <c r="R26" s="128" t="s">
        <v>38</v>
      </c>
      <c r="S26" s="81" t="s">
        <v>28</v>
      </c>
      <c r="T26" s="86">
        <v>42401.0</v>
      </c>
    </row>
    <row r="27">
      <c r="A27" s="124" t="str">
        <f>HYPERLINK("https://phillipreeve.net/blog/sony-fe-16-35mm-f4-za-t-review/","Sony ZA 4/16-35 OSS ")</f>
        <v/>
      </c>
      <c r="B27" s="76">
        <v>523.0</v>
      </c>
      <c r="C27" s="122">
        <v>16.0</v>
      </c>
      <c r="D27" s="78">
        <v>4.0</v>
      </c>
      <c r="E27" s="79">
        <v>78.0</v>
      </c>
      <c r="F27" s="122">
        <v>98.0</v>
      </c>
      <c r="G27" s="84" t="s">
        <v>30</v>
      </c>
      <c r="H27" s="82" t="s">
        <v>48</v>
      </c>
      <c r="I27" s="81">
        <v>0.19</v>
      </c>
      <c r="J27" s="87">
        <v>1349.0</v>
      </c>
      <c r="K27" s="130" t="str">
        <f>HYPERLINK("http://amzn.to/2v2sY7q","link*")</f>
        <v/>
      </c>
      <c r="L27" s="130" t="str">
        <f>HYPERLINK("https://www.bhphotovideo.com/c/product/1380866-REG/sony_16_35mm_f_4_vario_tsr.html/BI/19619/KBID/12129/kw/SO16354F/DFF/d10-v2-t1-xSO16354F","link*")</f>
        <v/>
      </c>
      <c r="M27" s="130" t="str">
        <f>HYPERLINK("http://amzn.to/2wyMLuP","link*")</f>
        <v/>
      </c>
      <c r="N27" s="130"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
      </c>
      <c r="O27" s="83">
        <v>28.0</v>
      </c>
      <c r="P27" s="154" t="s">
        <v>49</v>
      </c>
      <c r="Q27" s="81">
        <v>7.0</v>
      </c>
      <c r="R27" s="128" t="s">
        <v>38</v>
      </c>
      <c r="S27" s="81" t="s">
        <v>32</v>
      </c>
      <c r="T27" s="86">
        <v>41883.0</v>
      </c>
    </row>
    <row r="28" hidden="1">
      <c r="A28" s="137"/>
      <c r="B28" s="76"/>
      <c r="C28" s="81"/>
      <c r="D28" s="78"/>
      <c r="E28" s="79"/>
      <c r="F28" s="79"/>
      <c r="G28" s="84"/>
      <c r="H28" s="82"/>
      <c r="I28" s="81"/>
      <c r="J28" s="81"/>
      <c r="K28" s="89"/>
      <c r="L28" s="89"/>
      <c r="M28" s="89"/>
      <c r="N28" s="89"/>
      <c r="O28" s="81"/>
      <c r="P28" s="84"/>
      <c r="Q28" s="81"/>
      <c r="R28" s="128"/>
      <c r="S28" s="81"/>
      <c r="T28" s="346"/>
    </row>
    <row r="29" hidden="1">
      <c r="A29" s="137"/>
      <c r="B29" s="76"/>
      <c r="C29" s="81"/>
      <c r="D29" s="78"/>
      <c r="E29" s="79"/>
      <c r="F29" s="79"/>
      <c r="G29" s="397"/>
      <c r="H29" s="82"/>
      <c r="I29" s="81"/>
      <c r="J29" s="81"/>
      <c r="K29" s="89"/>
      <c r="L29" s="89"/>
      <c r="M29" s="89"/>
      <c r="N29" s="89"/>
      <c r="O29" s="81"/>
      <c r="P29" s="84"/>
      <c r="Q29" s="81"/>
      <c r="R29" s="128"/>
      <c r="S29" s="81"/>
      <c r="T29" s="346"/>
    </row>
    <row r="30" hidden="1">
      <c r="A30" s="395"/>
      <c r="B30" s="76"/>
      <c r="C30" s="81"/>
      <c r="D30" s="78"/>
      <c r="E30" s="79"/>
      <c r="F30" s="79"/>
      <c r="G30" s="84"/>
      <c r="H30" s="82"/>
      <c r="I30" s="81"/>
      <c r="J30" s="643"/>
      <c r="K30" s="89"/>
      <c r="L30" s="89"/>
      <c r="M30" s="89"/>
      <c r="N30" s="89"/>
      <c r="O30" s="81"/>
      <c r="P30" s="84"/>
      <c r="Q30" s="81"/>
      <c r="R30" s="128"/>
      <c r="S30" s="81"/>
      <c r="T30" s="81"/>
    </row>
    <row r="31">
      <c r="A31" s="75" t="s">
        <v>50</v>
      </c>
      <c r="B31" s="76">
        <v>680.0</v>
      </c>
      <c r="C31" s="122">
        <v>16.0</v>
      </c>
      <c r="D31" s="78">
        <v>2.8</v>
      </c>
      <c r="E31" s="79">
        <v>89.0</v>
      </c>
      <c r="F31" s="122">
        <v>122.0</v>
      </c>
      <c r="G31" s="84" t="s">
        <v>30</v>
      </c>
      <c r="H31" s="82" t="s">
        <v>51</v>
      </c>
      <c r="I31" s="81">
        <v>0.19</v>
      </c>
      <c r="J31" s="87">
        <v>2199.0</v>
      </c>
      <c r="K31" s="130" t="str">
        <f>HYPERLINK("https://amzn.to/2SR0IRl","link*")</f>
        <v/>
      </c>
      <c r="L31" s="130" t="str">
        <f>HYPERLINK("https://www.bhphotovideo.com/c/product/1338516-REG/sony_sel1635gm_fe_16_35mm_f_2_8_gm.html/BI/19619/KBID/12129/DFF/d10-v21-t1-x822837/SID/EZ","link*")</f>
        <v/>
      </c>
      <c r="M31" s="130" t="str">
        <f>HYPERLINK("https://amzn.to/2T1ZxOU","link*")</f>
        <v/>
      </c>
      <c r="N31" s="130"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
      </c>
      <c r="O31" s="83">
        <v>28.0</v>
      </c>
      <c r="P31" s="84" t="s">
        <v>26</v>
      </c>
      <c r="Q31" s="81">
        <v>11.0</v>
      </c>
      <c r="R31" s="128" t="s">
        <v>52</v>
      </c>
      <c r="S31" s="81" t="s">
        <v>32</v>
      </c>
      <c r="T31" s="86">
        <v>42856.0</v>
      </c>
    </row>
    <row r="32" hidden="1">
      <c r="A32" s="137"/>
      <c r="B32" s="76"/>
      <c r="C32" s="81"/>
      <c r="D32" s="78"/>
      <c r="E32" s="79"/>
      <c r="F32" s="79"/>
      <c r="G32" s="84"/>
      <c r="H32" s="82"/>
      <c r="I32" s="140"/>
      <c r="J32" s="643"/>
      <c r="K32" s="89"/>
      <c r="L32" s="89"/>
      <c r="M32" s="89"/>
      <c r="N32" s="89"/>
      <c r="O32" s="81"/>
      <c r="P32" s="84"/>
      <c r="Q32" s="81"/>
      <c r="R32" s="128"/>
      <c r="S32" s="81"/>
      <c r="T32" s="346"/>
    </row>
    <row r="33" hidden="1">
      <c r="A33" s="124" t="str">
        <f>HYPERLINK("https://phillipreeve.net/blog/review-tamron-17-28mm-f-2-8-di-iii-rxd/","Tamron 17-28mm f/2.8 Di III RXD")</f>
        <v/>
      </c>
      <c r="B33" s="76">
        <v>420.0</v>
      </c>
      <c r="C33" s="122">
        <v>17.0</v>
      </c>
      <c r="D33" s="78">
        <v>2.8</v>
      </c>
      <c r="E33" s="379">
        <v>73.0</v>
      </c>
      <c r="F33" s="122">
        <v>99.0</v>
      </c>
      <c r="G33" s="84" t="s">
        <v>30</v>
      </c>
      <c r="H33" s="82" t="s">
        <v>53</v>
      </c>
      <c r="I33" s="81">
        <v>0.19</v>
      </c>
      <c r="J33" s="153">
        <v>899.0</v>
      </c>
      <c r="K33" s="130" t="str">
        <f>HYPERLINK("https://amzn.to/2Hv3AyB","link*")</f>
        <v/>
      </c>
      <c r="L33" s="130" t="str">
        <f>HYPERLINK("https://www.bhphotovideo.com/c/product/1461529-REG/tamron_a046_17_28mm_f_2_8_di_iii.html/BI/19619/KBID/12129/DFF/d10-v21-t1-x946694/SID/EZ","link*")</f>
        <v/>
      </c>
      <c r="M33" s="130" t="str">
        <f>HYPERLINK("https://amzn.to/2YkrkQB","link*")</f>
        <v/>
      </c>
      <c r="N33" s="130"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
      </c>
      <c r="O33" s="83">
        <v>19.0</v>
      </c>
      <c r="P33" s="84" t="s">
        <v>26</v>
      </c>
      <c r="Q33" s="81">
        <v>9.0</v>
      </c>
      <c r="R33" s="128" t="s">
        <v>54</v>
      </c>
      <c r="S33" s="81" t="s">
        <v>55</v>
      </c>
      <c r="T33" s="86">
        <v>43647.0</v>
      </c>
    </row>
    <row r="34" hidden="1">
      <c r="A34" s="124" t="str">
        <f>HYPERLINK("https://phillipreeve.net/blog/review-zeiss-batis-18mm-2-8/","Zeiss Batis 2.8/18")</f>
        <v/>
      </c>
      <c r="B34" s="76">
        <v>330.0</v>
      </c>
      <c r="C34" s="122">
        <v>18.0</v>
      </c>
      <c r="D34" s="78">
        <v>2.8</v>
      </c>
      <c r="E34" s="79">
        <v>100.0</v>
      </c>
      <c r="F34" s="122">
        <v>80.0</v>
      </c>
      <c r="G34" s="84" t="s">
        <v>30</v>
      </c>
      <c r="H34" s="82" t="s">
        <v>56</v>
      </c>
      <c r="I34" s="81">
        <v>0.1</v>
      </c>
      <c r="J34" s="87">
        <v>1499.0</v>
      </c>
      <c r="K34" s="130" t="str">
        <f>HYPERLINK("https://amzn.to/2SRFBhL","link*")</f>
        <v/>
      </c>
      <c r="L34" s="130" t="str">
        <f>HYPERLINK("https://www.bhphotovideo.com/c/product/1243591-REG/zeiss_2136_691_batis_18mm_f_2_8_lens.html/BI/19619/KBID/12129/DFF/d10-v21-t1-x727488/SID/EZ","link*")</f>
        <v/>
      </c>
      <c r="M34" s="130" t="str">
        <f>HYPERLINK("https://amzn.to/334PqNT","link*")</f>
        <v/>
      </c>
      <c r="N34" s="130"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
      </c>
      <c r="O34" s="83">
        <v>25.0</v>
      </c>
      <c r="P34" s="84" t="s">
        <v>26</v>
      </c>
      <c r="Q34" s="81">
        <v>9.0</v>
      </c>
      <c r="R34" s="128" t="s">
        <v>57</v>
      </c>
      <c r="S34" s="81" t="s">
        <v>58</v>
      </c>
      <c r="T34" s="86">
        <v>42491.0</v>
      </c>
    </row>
    <row r="35" hidden="1" customHeight="1">
      <c r="A35" s="402"/>
      <c r="B35" s="76"/>
      <c r="C35" s="81"/>
      <c r="D35" s="383"/>
      <c r="E35" s="79"/>
      <c r="F35" s="79"/>
      <c r="G35" s="81"/>
      <c r="H35" s="270"/>
      <c r="I35" s="81"/>
      <c r="J35" s="81"/>
      <c r="K35" s="89"/>
      <c r="L35" s="89"/>
      <c r="M35" s="89"/>
      <c r="N35" s="89"/>
      <c r="O35" s="81"/>
      <c r="P35" s="84"/>
      <c r="Q35" s="81"/>
      <c r="R35" s="123"/>
      <c r="S35" s="81"/>
      <c r="T35" s="81"/>
    </row>
    <row r="36" hidden="1">
      <c r="A36" s="124" t="s">
        <v>59</v>
      </c>
      <c r="B36" s="76">
        <v>145.0</v>
      </c>
      <c r="C36" s="122">
        <v>18.0</v>
      </c>
      <c r="D36" s="78">
        <v>2.8</v>
      </c>
      <c r="E36" s="79">
        <v>63.5</v>
      </c>
      <c r="F36" s="122">
        <v>60.5</v>
      </c>
      <c r="G36" s="84" t="s">
        <v>30</v>
      </c>
      <c r="H36" s="82" t="s">
        <v>47</v>
      </c>
      <c r="I36" s="81">
        <v>0.09</v>
      </c>
      <c r="J36" s="87">
        <v>399.0</v>
      </c>
      <c r="K36" s="130"/>
      <c r="L36" s="130" t="str">
        <f>HYPERLINK("https://www.bhphotovideo.com/c/product/1503295-REG/samyang_syio18af_e_af_18mm_f_2_8_fe.html/BI/19619/KBID/12129/DFF/d10-v21-t1-x985623/SID/EZ","link*")</f>
        <v/>
      </c>
      <c r="M36" s="130"/>
      <c r="N36" s="130"/>
      <c r="O36" s="83">
        <v>25.0</v>
      </c>
      <c r="P36" s="84" t="s">
        <v>26</v>
      </c>
      <c r="Q36" s="81">
        <v>7.0</v>
      </c>
      <c r="R36" s="128" t="s">
        <v>60</v>
      </c>
      <c r="S36" s="81" t="s">
        <v>46</v>
      </c>
      <c r="T36" s="86">
        <v>43723.0</v>
      </c>
    </row>
    <row r="37" hidden="1">
      <c r="A37" s="395"/>
      <c r="B37" s="76"/>
      <c r="C37" s="81"/>
      <c r="D37" s="78"/>
      <c r="E37" s="79"/>
      <c r="F37" s="79"/>
      <c r="G37" s="81"/>
      <c r="H37" s="82"/>
      <c r="I37" s="81"/>
      <c r="J37" s="81"/>
      <c r="K37" s="89"/>
      <c r="L37" s="89"/>
      <c r="M37" s="89"/>
      <c r="N37" s="89"/>
      <c r="O37" s="81"/>
      <c r="P37" s="84"/>
      <c r="Q37" s="81"/>
      <c r="R37" s="123"/>
      <c r="S37" s="81"/>
      <c r="T37" s="346"/>
    </row>
    <row r="38" hidden="1">
      <c r="A38" s="137"/>
      <c r="B38" s="76"/>
      <c r="C38" s="81"/>
      <c r="D38" s="78"/>
      <c r="E38" s="79"/>
      <c r="F38" s="79"/>
      <c r="G38" s="400"/>
      <c r="H38" s="82"/>
      <c r="I38" s="81"/>
      <c r="J38" s="81"/>
      <c r="K38" s="89"/>
      <c r="L38" s="89"/>
      <c r="M38" s="89"/>
      <c r="N38" s="89"/>
      <c r="O38" s="81"/>
      <c r="P38" s="84"/>
      <c r="Q38" s="81"/>
      <c r="R38" s="123"/>
      <c r="S38" s="81"/>
      <c r="T38" s="81"/>
    </row>
    <row r="39" hidden="1" customHeight="1">
      <c r="A39" s="395"/>
      <c r="B39" s="76"/>
      <c r="C39" s="81"/>
      <c r="D39" s="78"/>
      <c r="E39" s="79"/>
      <c r="F39" s="79"/>
      <c r="G39" s="81"/>
      <c r="H39" s="82"/>
      <c r="I39" s="81"/>
      <c r="J39" s="643"/>
      <c r="K39" s="89"/>
      <c r="L39" s="89"/>
      <c r="M39" s="89"/>
      <c r="N39" s="89"/>
      <c r="O39" s="81"/>
      <c r="P39" s="84"/>
      <c r="Q39" s="81"/>
      <c r="R39" s="123"/>
      <c r="S39" s="81"/>
      <c r="T39" s="346"/>
    </row>
    <row r="40" hidden="1">
      <c r="A40" s="75" t="s">
        <v>61</v>
      </c>
      <c r="B40" s="76">
        <v>950.0</v>
      </c>
      <c r="C40" s="122">
        <v>20.0</v>
      </c>
      <c r="D40" s="380">
        <v>1.4</v>
      </c>
      <c r="E40" s="79">
        <v>91.0</v>
      </c>
      <c r="F40" s="122">
        <v>130.0</v>
      </c>
      <c r="G40" s="81" t="s">
        <v>30</v>
      </c>
      <c r="H40" s="82" t="s">
        <v>25</v>
      </c>
      <c r="I40" s="81">
        <v>0.14</v>
      </c>
      <c r="J40" s="87">
        <v>899.0</v>
      </c>
      <c r="K40" s="130" t="str">
        <f>HYPERLINK("https://amzn.to/2K4J7nh","link*")</f>
        <v/>
      </c>
      <c r="L40" s="130" t="str">
        <f>HYPERLINK("https://amzn.to/31hxv55","link*")</f>
        <v/>
      </c>
      <c r="M40" s="130" t="str">
        <f>HYPERLINK("https://amzn.to/2Wy0d3F","link*")</f>
        <v/>
      </c>
      <c r="N40" s="130"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
      </c>
      <c r="O40" s="83">
        <v>28.0</v>
      </c>
      <c r="P40" s="84" t="s">
        <v>26</v>
      </c>
      <c r="Q40" s="81">
        <v>9.0</v>
      </c>
      <c r="R40" s="123">
        <v>43784.0</v>
      </c>
      <c r="S40" s="81" t="s">
        <v>41</v>
      </c>
      <c r="T40" s="86">
        <v>43221.0</v>
      </c>
      <c r="U40" s="68" t="s">
        <v>42</v>
      </c>
    </row>
    <row r="41" hidden="1">
      <c r="A41" s="137"/>
      <c r="B41" s="76"/>
      <c r="C41" s="81"/>
      <c r="D41" s="78"/>
      <c r="E41" s="79"/>
      <c r="F41" s="79"/>
      <c r="G41" s="400"/>
      <c r="H41" s="82"/>
      <c r="I41" s="81"/>
      <c r="J41" s="81"/>
      <c r="K41" s="89"/>
      <c r="L41" s="89"/>
      <c r="M41" s="89"/>
      <c r="N41" s="89"/>
      <c r="O41" s="81"/>
      <c r="P41" s="84"/>
      <c r="Q41" s="81"/>
      <c r="R41" s="123"/>
      <c r="S41" s="81"/>
      <c r="T41" s="346"/>
    </row>
    <row r="42" hidden="1">
      <c r="A42" s="75" t="s">
        <v>62</v>
      </c>
      <c r="B42" s="76">
        <v>775.0</v>
      </c>
      <c r="C42" s="122">
        <v>20.0</v>
      </c>
      <c r="D42" s="121">
        <v>1.8</v>
      </c>
      <c r="E42" s="79">
        <v>77.0</v>
      </c>
      <c r="F42" s="122">
        <v>102.0</v>
      </c>
      <c r="G42" s="81" t="s">
        <v>24</v>
      </c>
      <c r="H42" s="82" t="s">
        <v>51</v>
      </c>
      <c r="I42" s="81">
        <v>0.12</v>
      </c>
      <c r="J42" s="87">
        <v>486.0</v>
      </c>
      <c r="K42" s="130" t="str">
        <f>HYPERLINK("https://amzn.to/2LRRbJ5","link*")</f>
        <v/>
      </c>
      <c r="L42" s="130" t="str">
        <f>HYPERLINK("https://www.bhphotovideo.com/c/product/1469187-REG/viltrox_pfu_rbmh_20mm_f1_8_asph_e_mount_20mm_f_1_8_for_sony.html/BI/19619/KBID/12129/DFF/d10-v21-t1-x954299/SID/EZ","link*")</f>
        <v/>
      </c>
      <c r="M42" s="130" t="str">
        <f>HYPERLINK("https://amzn.to/2GL8iYV","link*")</f>
        <v/>
      </c>
      <c r="N42" s="130"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
      </c>
      <c r="O42" s="83">
        <v>25.0</v>
      </c>
      <c r="P42" s="84" t="s">
        <v>26</v>
      </c>
      <c r="Q42" s="81">
        <v>14.0</v>
      </c>
      <c r="R42" s="123">
        <v>43720.0</v>
      </c>
      <c r="S42" s="81" t="s">
        <v>63</v>
      </c>
      <c r="T42" s="86">
        <v>43586.0</v>
      </c>
    </row>
    <row r="43" hidden="1">
      <c r="A43" s="395"/>
      <c r="B43" s="76"/>
      <c r="C43" s="81"/>
      <c r="D43" s="78"/>
      <c r="E43" s="79"/>
      <c r="F43" s="79"/>
      <c r="G43" s="81"/>
      <c r="H43" s="82"/>
      <c r="I43" s="81"/>
      <c r="J43" s="645"/>
      <c r="K43" s="89"/>
      <c r="L43" s="89"/>
      <c r="M43" s="89"/>
      <c r="N43" s="89"/>
      <c r="O43" s="81"/>
      <c r="P43" s="84"/>
      <c r="Q43" s="81"/>
      <c r="R43" s="123"/>
      <c r="S43" s="81"/>
      <c r="T43" s="81"/>
    </row>
    <row r="44" hidden="1">
      <c r="A44" s="395"/>
      <c r="B44" s="76"/>
      <c r="C44" s="81"/>
      <c r="D44" s="392"/>
      <c r="E44" s="79"/>
      <c r="F44" s="79"/>
      <c r="G44" s="400"/>
      <c r="H44" s="82"/>
      <c r="I44" s="81"/>
      <c r="J44" s="81"/>
      <c r="K44" s="89"/>
      <c r="L44" s="89"/>
      <c r="M44" s="89"/>
      <c r="N44" s="89"/>
      <c r="O44" s="81"/>
      <c r="P44" s="84"/>
      <c r="Q44" s="81"/>
      <c r="R44" s="123"/>
      <c r="S44" s="81"/>
      <c r="T44" s="81"/>
    </row>
    <row r="45" hidden="1">
      <c r="A45" s="395"/>
      <c r="B45" s="76"/>
      <c r="C45" s="81"/>
      <c r="D45" s="78"/>
      <c r="E45" s="622"/>
      <c r="F45" s="622"/>
      <c r="G45" s="81"/>
      <c r="H45" s="198"/>
      <c r="I45" s="81"/>
      <c r="J45" s="81"/>
      <c r="K45" s="89"/>
      <c r="L45" s="89"/>
      <c r="M45" s="89"/>
      <c r="N45" s="89"/>
      <c r="O45" s="81"/>
      <c r="P45" s="84"/>
      <c r="Q45" s="81"/>
      <c r="R45" s="123"/>
      <c r="S45" s="81"/>
      <c r="T45" s="346"/>
    </row>
    <row r="46" hidden="1">
      <c r="A46" s="395"/>
      <c r="B46" s="76"/>
      <c r="C46" s="81"/>
      <c r="D46" s="78"/>
      <c r="E46" s="79"/>
      <c r="F46" s="79"/>
      <c r="G46" s="81"/>
      <c r="H46" s="82"/>
      <c r="I46" s="185"/>
      <c r="J46" s="81"/>
      <c r="K46" s="89"/>
      <c r="L46" s="89"/>
      <c r="M46" s="89"/>
      <c r="N46" s="89"/>
      <c r="O46" s="81"/>
      <c r="P46" s="84"/>
      <c r="Q46" s="81"/>
      <c r="R46" s="123"/>
      <c r="S46" s="81"/>
      <c r="T46" s="346"/>
    </row>
    <row r="47" hidden="1">
      <c r="A47" s="402"/>
      <c r="B47" s="76"/>
      <c r="C47" s="81"/>
      <c r="D47" s="78"/>
      <c r="E47" s="79"/>
      <c r="F47" s="79"/>
      <c r="G47" s="81"/>
      <c r="H47" s="82"/>
      <c r="I47" s="81"/>
      <c r="J47" s="644"/>
      <c r="K47" s="89"/>
      <c r="L47" s="89"/>
      <c r="M47" s="89"/>
      <c r="N47" s="89"/>
      <c r="O47" s="81"/>
      <c r="P47" s="84"/>
      <c r="Q47" s="81"/>
      <c r="R47" s="123"/>
      <c r="S47" s="81"/>
      <c r="T47" s="346"/>
    </row>
    <row r="48" hidden="1">
      <c r="A48" s="398"/>
      <c r="B48" s="76"/>
      <c r="C48" s="81"/>
      <c r="D48" s="78"/>
      <c r="E48" s="79"/>
      <c r="F48" s="79"/>
      <c r="G48" s="81"/>
      <c r="H48" s="82"/>
      <c r="I48" s="140"/>
      <c r="J48" s="81"/>
      <c r="K48" s="89"/>
      <c r="L48" s="89"/>
      <c r="M48" s="89"/>
      <c r="N48" s="89"/>
      <c r="O48" s="81"/>
      <c r="P48" s="84"/>
      <c r="Q48" s="81"/>
      <c r="R48" s="123"/>
      <c r="S48" s="81"/>
      <c r="T48" s="346"/>
    </row>
    <row r="49" hidden="1">
      <c r="A49" s="137"/>
      <c r="B49" s="76"/>
      <c r="C49" s="81"/>
      <c r="D49" s="392"/>
      <c r="E49" s="79"/>
      <c r="F49" s="79"/>
      <c r="G49" s="400"/>
      <c r="H49" s="82"/>
      <c r="I49" s="346"/>
      <c r="J49" s="81"/>
      <c r="K49" s="89"/>
      <c r="L49" s="89"/>
      <c r="M49" s="89"/>
      <c r="N49" s="89"/>
      <c r="O49" s="81"/>
      <c r="P49" s="84"/>
      <c r="Q49" s="81"/>
      <c r="R49" s="123"/>
      <c r="S49" s="81"/>
      <c r="T49" s="81"/>
    </row>
    <row r="50" hidden="1">
      <c r="A50" s="124" t="str">
        <f>HYPERLINK("https://phillipreeve.net/blog/tokina-firin-20mm-f2-fe-review-a-good-deal/","Tokina Firin 2/20")</f>
        <v/>
      </c>
      <c r="B50" s="76">
        <v>492.0</v>
      </c>
      <c r="C50" s="122">
        <v>20.0</v>
      </c>
      <c r="D50" s="125">
        <v>2.0</v>
      </c>
      <c r="E50" s="132">
        <v>69.0</v>
      </c>
      <c r="F50" s="133">
        <v>82.0</v>
      </c>
      <c r="G50" s="84" t="s">
        <v>24</v>
      </c>
      <c r="H50" s="82" t="s">
        <v>66</v>
      </c>
      <c r="I50" s="81">
        <v>0.1</v>
      </c>
      <c r="J50" s="129">
        <v>799.0</v>
      </c>
      <c r="K50" s="130" t="str">
        <f>HYPERLINK("http://amzn.to/2vlG2Yq","link*")</f>
        <v/>
      </c>
      <c r="L50" s="130" t="str">
        <f>HYPERLINK("https://www.bhphotovideo.com/c/product/1281299-REG/tokina_firin_20mm_f_2_fe.html/BI/19619/KBID/12129/kw/TO202E/DFF/d10-v2-t1-xTO202E","link*")</f>
        <v/>
      </c>
      <c r="M50" s="130" t="str">
        <f>HYPERLINK("http://amzn.to/2vvtDkM","link*")</f>
        <v/>
      </c>
      <c r="N50" s="130"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
      </c>
      <c r="O50" s="83">
        <v>30.0</v>
      </c>
      <c r="P50" s="84" t="s">
        <v>26</v>
      </c>
      <c r="Q50" s="81">
        <v>9.0</v>
      </c>
      <c r="R50" s="128" t="s">
        <v>54</v>
      </c>
      <c r="S50" s="81" t="s">
        <v>67</v>
      </c>
      <c r="T50" s="86">
        <v>42856.0</v>
      </c>
    </row>
    <row r="51" hidden="1">
      <c r="A51" s="395"/>
      <c r="B51" s="76"/>
      <c r="C51" s="81"/>
      <c r="D51" s="78"/>
      <c r="E51" s="79"/>
      <c r="F51" s="79"/>
      <c r="G51" s="81"/>
      <c r="H51" s="82"/>
      <c r="I51" s="81"/>
      <c r="J51" s="81"/>
      <c r="K51" s="89"/>
      <c r="L51" s="89"/>
      <c r="M51" s="89"/>
      <c r="N51" s="89"/>
      <c r="O51" s="81"/>
      <c r="P51" s="84"/>
      <c r="Q51" s="81"/>
      <c r="R51" s="403"/>
      <c r="S51" s="81"/>
      <c r="T51" s="346"/>
    </row>
    <row r="52" hidden="1">
      <c r="A52" s="395"/>
      <c r="B52" s="76"/>
      <c r="C52" s="81"/>
      <c r="D52" s="78"/>
      <c r="E52" s="79"/>
      <c r="F52" s="79"/>
      <c r="G52" s="81"/>
      <c r="H52" s="82"/>
      <c r="I52" s="81"/>
      <c r="J52" s="81"/>
      <c r="K52" s="89"/>
      <c r="L52" s="89"/>
      <c r="M52" s="89"/>
      <c r="N52" s="89"/>
      <c r="O52" s="81"/>
      <c r="P52" s="84"/>
      <c r="Q52" s="81"/>
      <c r="R52" s="123"/>
      <c r="S52" s="81"/>
      <c r="T52" s="346"/>
    </row>
    <row r="53" hidden="1">
      <c r="A53" s="75" t="s">
        <v>68</v>
      </c>
      <c r="B53" s="76">
        <v>464.0</v>
      </c>
      <c r="C53" s="122">
        <v>20.0</v>
      </c>
      <c r="D53" s="125">
        <v>2.0</v>
      </c>
      <c r="E53" s="381">
        <v>73.0</v>
      </c>
      <c r="F53" s="151">
        <v>82.0</v>
      </c>
      <c r="G53" s="84" t="s">
        <v>30</v>
      </c>
      <c r="H53" s="82" t="s">
        <v>66</v>
      </c>
      <c r="I53" s="81">
        <v>0.1</v>
      </c>
      <c r="J53" s="87">
        <v>949.0</v>
      </c>
      <c r="K53" s="130" t="str">
        <f>HYPERLINK("https://amzn.to/2GDurZb","link*")</f>
        <v/>
      </c>
      <c r="L53" s="130" t="str">
        <f>HYPERLINK("https://www.bhphotovideo.com/c/product/1393327-REG/tokina_firin_20mm_f_2_fe.html/BI/19619/KBID/12129/DFF/d10-v21-t1-x880327/SID/EZ","link*")</f>
        <v/>
      </c>
      <c r="M53" s="130" t="str">
        <f>HYPERLINK("https://amzn.to/2GJYCxw","link*")</f>
        <v/>
      </c>
      <c r="N53" s="130"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
      </c>
      <c r="O53" s="83">
        <v>30.0</v>
      </c>
      <c r="P53" s="84" t="s">
        <v>26</v>
      </c>
      <c r="Q53" s="81">
        <v>9.0</v>
      </c>
      <c r="R53" s="128" t="s">
        <v>54</v>
      </c>
      <c r="S53" s="81" t="s">
        <v>67</v>
      </c>
      <c r="T53" s="86">
        <v>43221.0</v>
      </c>
    </row>
    <row r="54" hidden="1">
      <c r="A54" s="137"/>
      <c r="B54" s="76"/>
      <c r="C54" s="81"/>
      <c r="D54" s="78"/>
      <c r="E54" s="79"/>
      <c r="F54" s="79"/>
      <c r="G54" s="400"/>
      <c r="H54" s="82"/>
      <c r="I54" s="81"/>
      <c r="J54" s="81"/>
      <c r="K54" s="89"/>
      <c r="L54" s="89"/>
      <c r="M54" s="89"/>
      <c r="N54" s="89"/>
      <c r="O54" s="81"/>
      <c r="P54" s="84"/>
      <c r="Q54" s="81"/>
      <c r="R54" s="123"/>
      <c r="S54" s="81"/>
      <c r="T54" s="346"/>
    </row>
    <row r="55" hidden="1">
      <c r="A55" s="124" t="str">
        <f>HYPERLINK("https://phillipreeve.net/blog/review_voigtlander_21mm_f14_e/","Voigtlander 21mm F1.4 Nokton")</f>
        <v/>
      </c>
      <c r="B55" s="76">
        <v>540.0</v>
      </c>
      <c r="C55" s="122">
        <v>21.0</v>
      </c>
      <c r="D55" s="149">
        <v>1.4</v>
      </c>
      <c r="E55" s="144">
        <v>70.0</v>
      </c>
      <c r="F55" s="145">
        <v>80.0</v>
      </c>
      <c r="G55" s="84" t="s">
        <v>24</v>
      </c>
      <c r="H55" s="82" t="s">
        <v>66</v>
      </c>
      <c r="I55" s="81"/>
      <c r="J55" s="87">
        <v>1199.0</v>
      </c>
      <c r="K55" s="130" t="str">
        <f>HYPERLINK("https://amzn.to/2K7gHrC","link*")</f>
        <v/>
      </c>
      <c r="L55" s="130" t="str">
        <f>HYPERLINK("https://www.bhphotovideo.com/c/product/1480269-REG/voigtlander_ba352a_nokton_21mm_f_1_4_aspherical.html/BI/19619/KBID/12129/DFF/d10-v21-t1-x963269/SID/EZ","link*")</f>
        <v/>
      </c>
      <c r="M55" s="89"/>
      <c r="N55" s="130"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
      </c>
      <c r="O55" s="83">
        <v>25.0</v>
      </c>
      <c r="P55" s="84" t="s">
        <v>26</v>
      </c>
      <c r="Q55" s="81">
        <v>12.0</v>
      </c>
      <c r="R55" s="128" t="s">
        <v>54</v>
      </c>
      <c r="S55" s="81" t="s">
        <v>28</v>
      </c>
      <c r="T55" s="86">
        <v>43617.0</v>
      </c>
    </row>
    <row r="56" hidden="1">
      <c r="A56" s="124" t="str">
        <f>HYPERLINK("https://phillipreeve.net/blog/rolling-review-zeiss-loxia-distagon-2-821mm-t/https://phillipreeve.net/blog/rolling-review-zeiss-loxia-distagon-2-821mm-t/","Zeiss Loxia 2.8/21 Distagon T*")</f>
        <v/>
      </c>
      <c r="B56" s="76">
        <v>394.0</v>
      </c>
      <c r="C56" s="122">
        <v>21.0</v>
      </c>
      <c r="D56" s="78">
        <v>2.8</v>
      </c>
      <c r="E56" s="144">
        <v>62.0</v>
      </c>
      <c r="F56" s="145">
        <v>72.0</v>
      </c>
      <c r="G56" s="84" t="s">
        <v>24</v>
      </c>
      <c r="H56" s="82" t="s">
        <v>71</v>
      </c>
      <c r="I56" s="81">
        <v>0.13</v>
      </c>
      <c r="J56" s="87">
        <v>1499.0</v>
      </c>
      <c r="K56" s="130" t="str">
        <f>HYPERLINK("https://amzn.to/2yspzBm","link*")</f>
        <v/>
      </c>
      <c r="L56" s="130" t="str">
        <f>HYPERLINK("https://www.bhphotovideo.com/c/product/1189220-REG/zeiss_2131_999_loxia_21mm_f_2_8_lens.html/BI/19619/KBID/12129/DFF/d10-v21-t1-x677077/SID/EZ","link*")</f>
        <v/>
      </c>
      <c r="M56" s="130" t="str">
        <f>HYPERLINK("https://amzn.to/2GHSOoA","link*")</f>
        <v/>
      </c>
      <c r="N56" s="130"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
      </c>
      <c r="O56" s="83">
        <v>25.0</v>
      </c>
      <c r="P56" s="84" t="s">
        <v>26</v>
      </c>
      <c r="Q56" s="81">
        <v>10.0</v>
      </c>
      <c r="R56" s="128" t="s">
        <v>72</v>
      </c>
      <c r="S56" s="81" t="s">
        <v>58</v>
      </c>
      <c r="T56" s="86">
        <v>42339.0</v>
      </c>
    </row>
    <row r="57" hidden="1">
      <c r="A57" s="137"/>
      <c r="B57" s="76"/>
      <c r="C57" s="81"/>
      <c r="D57" s="78"/>
      <c r="E57" s="79"/>
      <c r="F57" s="79"/>
      <c r="G57" s="400"/>
      <c r="H57" s="82"/>
      <c r="I57" s="393"/>
      <c r="J57" s="81"/>
      <c r="K57" s="89"/>
      <c r="L57" s="89"/>
      <c r="M57" s="89"/>
      <c r="N57" s="89"/>
      <c r="O57" s="81"/>
      <c r="P57" s="84"/>
      <c r="Q57" s="81"/>
      <c r="R57" s="123"/>
      <c r="S57" s="81"/>
    </row>
    <row r="58" hidden="1">
      <c r="A58" s="395"/>
      <c r="B58" s="76"/>
      <c r="C58" s="81"/>
      <c r="D58" s="78"/>
      <c r="E58" s="79"/>
      <c r="F58" s="79"/>
      <c r="G58" s="81"/>
      <c r="H58" s="82"/>
      <c r="I58" s="259"/>
      <c r="J58" s="645"/>
      <c r="K58" s="89"/>
      <c r="L58" s="89"/>
      <c r="M58" s="89"/>
      <c r="N58" s="89"/>
      <c r="O58" s="81"/>
      <c r="P58" s="84"/>
      <c r="Q58" s="81"/>
      <c r="R58" s="123"/>
      <c r="S58" s="81"/>
      <c r="T58" s="346"/>
    </row>
    <row r="59" hidden="1">
      <c r="A59" s="124" t="str">
        <f>HYPERLINK("https://phillipreeve.net/blog/voigtlander-21mm-f35-review/","Voigtlander 21mm F3.5 Color-Skopar")</f>
        <v/>
      </c>
      <c r="B59" s="76">
        <v>230.0</v>
      </c>
      <c r="C59" s="122">
        <v>21.0</v>
      </c>
      <c r="D59" s="78">
        <v>3.5</v>
      </c>
      <c r="E59" s="144">
        <v>63.0</v>
      </c>
      <c r="F59" s="151">
        <v>40.0</v>
      </c>
      <c r="G59" s="84" t="s">
        <v>24</v>
      </c>
      <c r="H59" s="82" t="s">
        <v>71</v>
      </c>
      <c r="I59" s="346"/>
      <c r="J59" s="87">
        <v>699.0</v>
      </c>
      <c r="K59" s="130" t="str">
        <f>HYPERLINK("https://amzn.to/2JCie75","link*")</f>
        <v/>
      </c>
      <c r="L59" s="130" t="str">
        <f>HYPERLINK("https://www.bhphotovideo.com/c/product/1437613-REG/voigtlander_color_skopar_21mm_f_3_5_aspherical.html/BI/19619/KBID/12129/kw/VO2135E/DFF/d10-v2-t1-xVO2135E","link*")</f>
        <v/>
      </c>
      <c r="M59" s="130" t="str">
        <f>HYPERLINK("https://amzn.to/2ZoERan","link*")</f>
        <v/>
      </c>
      <c r="N59" s="130"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
      </c>
      <c r="O59" s="83">
        <v>20.0</v>
      </c>
      <c r="P59" s="84" t="s">
        <v>26</v>
      </c>
      <c r="Q59" s="81">
        <v>10.0</v>
      </c>
      <c r="R59" s="128" t="s">
        <v>60</v>
      </c>
      <c r="S59" s="81" t="s">
        <v>28</v>
      </c>
      <c r="T59" s="86">
        <v>43374.0</v>
      </c>
    </row>
    <row r="60">
      <c r="A60" s="124" t="str">
        <f>HYPERLINK("https://phillipreeve.net/blog/review-sony-fe-24mm-1-4-gm/","Sony GM 1.4/24")</f>
        <v/>
      </c>
      <c r="B60" s="76">
        <v>445.0</v>
      </c>
      <c r="C60" s="122">
        <v>24.0</v>
      </c>
      <c r="D60" s="149">
        <v>1.4</v>
      </c>
      <c r="E60" s="144">
        <v>75.0</v>
      </c>
      <c r="F60" s="145">
        <v>92.0</v>
      </c>
      <c r="G60" s="84" t="s">
        <v>30</v>
      </c>
      <c r="H60" s="82" t="s">
        <v>53</v>
      </c>
      <c r="I60" s="81">
        <v>0.17</v>
      </c>
      <c r="J60" s="87">
        <v>1399.0</v>
      </c>
      <c r="K60" s="130" t="str">
        <f>HYPERLINK("https://amzn.to/2ywcbw1","link*")</f>
        <v/>
      </c>
      <c r="L60" s="130" t="str">
        <f>HYPERLINK("https://www.bhphotovideo.com/c/product/1435887-REG/sony_fe_24mm_f_1_4_gm.html/BI/19619/KBID/12129/DFF/d10-v21-t1-x915647/SID/EZ","link*")</f>
        <v/>
      </c>
      <c r="M60" s="130" t="str">
        <f>HYPERLINK("https://amzn.to/2L2tV9y","link*")</f>
        <v/>
      </c>
      <c r="N60" s="130" t="str">
        <f>HYPERLINK("https://amzn.to/338yg28","link*")</f>
        <v/>
      </c>
      <c r="O60" s="83">
        <v>25.0</v>
      </c>
      <c r="P60" s="84" t="s">
        <v>26</v>
      </c>
      <c r="Q60" s="81">
        <v>11.0</v>
      </c>
      <c r="R60" s="128" t="s">
        <v>27</v>
      </c>
      <c r="S60" s="81" t="s">
        <v>32</v>
      </c>
      <c r="T60" s="86">
        <v>43374.0</v>
      </c>
    </row>
    <row r="61" hidden="1">
      <c r="A61" s="75" t="s">
        <v>73</v>
      </c>
      <c r="B61" s="76">
        <v>665.0</v>
      </c>
      <c r="C61" s="122">
        <v>24.0</v>
      </c>
      <c r="D61" s="149">
        <v>1.4</v>
      </c>
      <c r="E61" s="144">
        <v>85.0</v>
      </c>
      <c r="F61" s="145">
        <v>90.0</v>
      </c>
      <c r="G61" s="81" t="s">
        <v>30</v>
      </c>
      <c r="H61" s="82" t="s">
        <v>56</v>
      </c>
      <c r="I61" s="81">
        <v>0.19</v>
      </c>
      <c r="J61" s="87">
        <v>849.0</v>
      </c>
      <c r="K61" s="130" t="str">
        <f>HYPERLINK("https://amzn.to/2Isw2Rv","link*")</f>
        <v/>
      </c>
      <c r="L61" s="130" t="str">
        <f>HYPERLINK("https://www.bhphotovideo.com/c/product/1393491-REG/sigma_24mm_f_1_4_dg_hsm.html/BI/19619/KBID/12129/kw/SI2414SO/DFF/d10-v2-t1-xSI2414SO","link*")</f>
        <v/>
      </c>
      <c r="M61" s="130" t="str">
        <f>HYPERLINK("https://amzn.to/2K7sIP4","link*")</f>
        <v/>
      </c>
      <c r="N61" s="130"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
      </c>
      <c r="O61" s="83">
        <v>25.0</v>
      </c>
      <c r="P61" s="84" t="s">
        <v>26</v>
      </c>
      <c r="Q61" s="81">
        <v>9.0</v>
      </c>
      <c r="R61" s="123">
        <v>43784.0</v>
      </c>
      <c r="S61" s="81" t="s">
        <v>41</v>
      </c>
      <c r="T61" s="86">
        <v>43221.0</v>
      </c>
      <c r="U61" s="68" t="s">
        <v>42</v>
      </c>
    </row>
    <row r="62" hidden="1">
      <c r="A62" s="124" t="str">
        <f>HYPERLINK("https://phillipreeve.net/blog/review-samyang-af-2-4-28-fe-at-least-its-small/","Samyang AF 24mm F/2.8")</f>
        <v/>
      </c>
      <c r="B62" s="76">
        <v>93.0</v>
      </c>
      <c r="C62" s="122">
        <v>24.0</v>
      </c>
      <c r="D62" s="78">
        <v>2.8</v>
      </c>
      <c r="E62" s="144">
        <v>61.0</v>
      </c>
      <c r="F62" s="151">
        <v>37.0</v>
      </c>
      <c r="G62" s="84" t="s">
        <v>30</v>
      </c>
      <c r="H62" s="82" t="s">
        <v>74</v>
      </c>
      <c r="I62" s="81">
        <v>0.15</v>
      </c>
      <c r="J62" s="129">
        <v>279.0</v>
      </c>
      <c r="K62" s="130" t="str">
        <f>HYPERLINK("https://amzn.to/2NEHZ7c","link*")</f>
        <v/>
      </c>
      <c r="L62" s="130" t="str">
        <f>HYPERLINK("https://www.bhphotovideo.com/c/product/1413350-REG/samyang_syio24af_e_af_24mm_f_2_8_fe.html/BI/19619/KBID/12129/kw/SASYIO24AFE/DFF/d10-v2-t1-xSASYIO24AFE","link*")</f>
        <v/>
      </c>
      <c r="M62" s="130" t="str">
        <f>HYPERLINK("https://amzn.to/2Onv1QE","link*")</f>
        <v/>
      </c>
      <c r="N62" s="130"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
      </c>
      <c r="O62" s="83">
        <v>20.0</v>
      </c>
      <c r="P62" s="84" t="s">
        <v>26</v>
      </c>
      <c r="Q62" s="81">
        <v>9.0</v>
      </c>
      <c r="R62" s="128" t="s">
        <v>75</v>
      </c>
      <c r="S62" s="81" t="s">
        <v>46</v>
      </c>
      <c r="T62" s="86">
        <v>43282.0</v>
      </c>
    </row>
    <row r="63" hidden="1">
      <c r="A63" s="395"/>
      <c r="B63" s="76"/>
      <c r="C63" s="81"/>
      <c r="D63" s="78"/>
      <c r="E63" s="79"/>
      <c r="F63" s="79"/>
      <c r="G63" s="81"/>
      <c r="H63" s="232"/>
      <c r="I63" s="81"/>
      <c r="J63" s="81"/>
      <c r="K63" s="89"/>
      <c r="L63" s="89"/>
      <c r="M63" s="89"/>
      <c r="N63" s="89"/>
      <c r="O63" s="81"/>
      <c r="P63" s="84"/>
      <c r="Q63" s="81"/>
      <c r="R63" s="403"/>
      <c r="S63" s="81"/>
      <c r="T63" s="346"/>
    </row>
    <row r="64">
      <c r="A64" s="137" t="str">
        <f>HYPERLINK("https://phillipreeve.net/blog/review-sony-fe-2-824-70mm-gm/","Sony GM 2.8/24-70")</f>
        <v/>
      </c>
      <c r="B64" s="76">
        <v>886.0</v>
      </c>
      <c r="C64" s="122">
        <v>24.0</v>
      </c>
      <c r="D64" s="78">
        <v>2.8</v>
      </c>
      <c r="E64" s="144">
        <v>88.0</v>
      </c>
      <c r="F64" s="151">
        <v>136.0</v>
      </c>
      <c r="G64" s="84" t="s">
        <v>30</v>
      </c>
      <c r="H64" s="82" t="s">
        <v>51</v>
      </c>
      <c r="I64" s="140">
        <v>0.25</v>
      </c>
      <c r="J64" s="87">
        <v>2199.0</v>
      </c>
      <c r="K64" s="130" t="str">
        <f>HYPERLINK("https://amzn.to/2STHavK","link*")</f>
        <v/>
      </c>
      <c r="L64" s="130" t="str">
        <f>HYPERLINK("https://www.bhphotovideo.com/c/search?Ntt=gm%2024-70&amp;N=0&amp;InitialSearch=yes&amp;sts=ma&amp;Top+Nav-Search=&amp;BI=19619&amp;KBID=12129&amp;KWID=EZ","link*")</f>
        <v/>
      </c>
      <c r="M64" s="130" t="str">
        <f>HYPERLINK("https://amzn.to/2ZwoyU7","link*")</f>
        <v/>
      </c>
      <c r="N64" s="130"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
      </c>
      <c r="O64" s="83">
        <v>38.0</v>
      </c>
      <c r="P64" s="84" t="s">
        <v>26</v>
      </c>
      <c r="Q64" s="81">
        <v>11.0</v>
      </c>
      <c r="R64" s="128" t="s">
        <v>44</v>
      </c>
      <c r="S64" s="81" t="s">
        <v>32</v>
      </c>
      <c r="T64" s="86">
        <v>42401.0</v>
      </c>
    </row>
    <row r="65">
      <c r="A65" s="75" t="s">
        <v>79</v>
      </c>
      <c r="B65" s="76">
        <v>780.0</v>
      </c>
      <c r="C65" s="122">
        <v>24.0</v>
      </c>
      <c r="D65" s="78" t="s">
        <v>80</v>
      </c>
      <c r="E65" s="144">
        <v>80.0</v>
      </c>
      <c r="F65" s="151">
        <v>119.0</v>
      </c>
      <c r="G65" s="84" t="s">
        <v>30</v>
      </c>
      <c r="H65" s="82" t="s">
        <v>48</v>
      </c>
      <c r="I65" s="140">
        <v>0.27</v>
      </c>
      <c r="J65" s="87">
        <v>998.0</v>
      </c>
      <c r="K65" s="130" t="str">
        <f>HYPERLINK("http://amzn.to/2fbX5FU","link*")</f>
        <v/>
      </c>
      <c r="L65" s="130" t="str">
        <f>HYPERLINK("https://www.bhphotovideo.com/c/search?Ntt=sony%2024-240&amp;N=0&amp;InitialSearch=yes&amp;sts=ma&amp;Top+Nav-Search=&amp;BI=19619&amp;KBID=12129&amp;KWID=EZ","link*")</f>
        <v/>
      </c>
      <c r="M65" s="130" t="str">
        <f>HYPERLINK("http://amzn.to/2wyrL7A","link*")</f>
        <v/>
      </c>
      <c r="N65" s="130"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
      </c>
      <c r="O65" s="83">
        <v>50.0</v>
      </c>
      <c r="P65" s="154" t="s">
        <v>49</v>
      </c>
      <c r="Q65" s="81">
        <v>7.0</v>
      </c>
      <c r="R65" s="128" t="s">
        <v>81</v>
      </c>
      <c r="S65" s="81" t="s">
        <v>32</v>
      </c>
      <c r="T65" s="86">
        <v>42064.0</v>
      </c>
    </row>
    <row r="66" hidden="1">
      <c r="A66" s="625"/>
      <c r="B66" s="76"/>
      <c r="C66" s="81"/>
      <c r="D66" s="78"/>
      <c r="E66" s="79"/>
      <c r="F66" s="79"/>
      <c r="G66" s="81"/>
      <c r="H66" s="82"/>
      <c r="I66" s="81"/>
      <c r="J66" s="81"/>
      <c r="K66" s="89"/>
      <c r="L66" s="89"/>
      <c r="M66" s="89"/>
      <c r="N66" s="89"/>
      <c r="O66" s="81"/>
      <c r="P66" s="154"/>
      <c r="Q66" s="81"/>
      <c r="R66" s="123"/>
      <c r="S66" s="81"/>
      <c r="T66" s="346"/>
    </row>
    <row r="67" hidden="1">
      <c r="A67" s="395"/>
      <c r="B67" s="76"/>
      <c r="C67" s="81"/>
      <c r="D67" s="78"/>
      <c r="E67" s="622"/>
      <c r="F67" s="622"/>
      <c r="G67" s="400"/>
      <c r="H67" s="82"/>
      <c r="I67" s="81"/>
      <c r="J67" s="81"/>
      <c r="K67" s="89"/>
      <c r="L67" s="89"/>
      <c r="M67" s="89"/>
      <c r="N67" s="89"/>
      <c r="O67" s="81"/>
      <c r="P67" s="84"/>
      <c r="Q67" s="81"/>
      <c r="R67" s="123"/>
      <c r="S67" s="81"/>
      <c r="T67" s="346"/>
    </row>
    <row r="68" hidden="1">
      <c r="A68" s="395"/>
      <c r="B68" s="76"/>
      <c r="C68" s="81"/>
      <c r="D68" s="78"/>
      <c r="E68" s="622"/>
      <c r="F68" s="622"/>
      <c r="G68" s="81"/>
      <c r="H68" s="82"/>
      <c r="I68" s="81"/>
      <c r="J68" s="81"/>
      <c r="K68" s="89"/>
      <c r="L68" s="89"/>
      <c r="M68" s="89"/>
      <c r="N68" s="89"/>
      <c r="O68" s="81"/>
      <c r="P68" s="84"/>
      <c r="Q68" s="81"/>
      <c r="R68" s="123"/>
      <c r="S68" s="81"/>
      <c r="T68" s="346"/>
    </row>
    <row r="69" hidden="1">
      <c r="A69" s="137"/>
      <c r="B69" s="76"/>
      <c r="C69" s="81"/>
      <c r="D69" s="78"/>
      <c r="E69" s="79"/>
      <c r="F69" s="79"/>
      <c r="G69" s="400"/>
      <c r="H69" s="82"/>
      <c r="I69" s="81"/>
      <c r="J69" s="81"/>
      <c r="K69" s="89"/>
      <c r="L69" s="89"/>
      <c r="M69" s="89"/>
      <c r="N69" s="89"/>
      <c r="O69" s="81"/>
      <c r="P69" s="84"/>
      <c r="Q69" s="81"/>
      <c r="R69" s="123"/>
      <c r="S69" s="81"/>
      <c r="T69" s="346"/>
    </row>
    <row r="70">
      <c r="A70" s="75" t="s">
        <v>82</v>
      </c>
      <c r="B70" s="76">
        <v>663.0</v>
      </c>
      <c r="C70" s="122">
        <v>24.0</v>
      </c>
      <c r="D70" s="78">
        <v>4.0</v>
      </c>
      <c r="E70" s="144">
        <v>83.0</v>
      </c>
      <c r="F70" s="145">
        <v>113.0</v>
      </c>
      <c r="G70" s="84" t="s">
        <v>30</v>
      </c>
      <c r="H70" s="82" t="s">
        <v>56</v>
      </c>
      <c r="I70" s="140">
        <v>0.31</v>
      </c>
      <c r="J70" s="87">
        <v>1398.0</v>
      </c>
      <c r="K70" s="130" t="str">
        <f>HYPERLINK("https://amzn.to/2K7LwMR","link*")</f>
        <v/>
      </c>
      <c r="L70" s="130" t="str">
        <f>HYPERLINK("https://www.bhphotovideo.com/c/search?Ntt=sony%2024-105&amp;N=0&amp;InitialSearch=yes&amp;sts=ma&amp;Top+Nav-Search=&amp;BI=19619&amp;KBID=12129&amp;KWID=EZ","link*")</f>
        <v/>
      </c>
      <c r="M70" s="130" t="str">
        <f>HYPERLINK("https://amzn.to/2Ld8hOS","link*")</f>
        <v/>
      </c>
      <c r="N70" s="130"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
      </c>
      <c r="O70" s="83">
        <v>38.0</v>
      </c>
      <c r="P70" s="154" t="s">
        <v>49</v>
      </c>
      <c r="Q70" s="81">
        <v>9.0</v>
      </c>
      <c r="R70" s="128" t="s">
        <v>35</v>
      </c>
      <c r="S70" s="81" t="s">
        <v>32</v>
      </c>
      <c r="T70" s="86">
        <v>43009.0</v>
      </c>
    </row>
    <row r="71">
      <c r="A71" s="124" t="str">
        <f>HYPERLINK("https://phillipreeve.net/blog/rolling-review-carl-zeiss-vario-tessar-t-fe-424-70-za/","Sony ZA 4/24-70 OSS")</f>
        <v/>
      </c>
      <c r="B71" s="76">
        <v>426.0</v>
      </c>
      <c r="C71" s="122">
        <v>24.0</v>
      </c>
      <c r="D71" s="78">
        <v>4.0</v>
      </c>
      <c r="E71" s="144">
        <v>73.0</v>
      </c>
      <c r="F71" s="145">
        <v>95.0</v>
      </c>
      <c r="G71" s="84" t="s">
        <v>30</v>
      </c>
      <c r="H71" s="82" t="s">
        <v>53</v>
      </c>
      <c r="I71" s="81">
        <v>0.2</v>
      </c>
      <c r="J71" s="87">
        <v>898.0</v>
      </c>
      <c r="K71" s="130" t="str">
        <f>HYPERLINK("http://amzn.to/2vlG2Yq","link*")</f>
        <v/>
      </c>
      <c r="L71" s="130" t="str">
        <f>HYPERLINK("https://www.bhphotovideo.com/c/product/1008126-REG/sony_sel2470z_vario_tessar_t_fe_24_70mm.html/BI/19619/KBID/12129/DFF/d10-v21-t1-x466842/SID/EZ","link*")</f>
        <v/>
      </c>
      <c r="M71" s="130" t="str">
        <f>HYPERLINK("http://amzn.to/2fl1XZk","link*")</f>
        <v/>
      </c>
      <c r="N71" s="130"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
      </c>
      <c r="O71" s="83">
        <v>40.0</v>
      </c>
      <c r="P71" s="154" t="s">
        <v>49</v>
      </c>
      <c r="Q71" s="81">
        <v>7.0</v>
      </c>
      <c r="R71" s="128" t="s">
        <v>38</v>
      </c>
      <c r="S71" s="81" t="s">
        <v>32</v>
      </c>
      <c r="T71" s="86">
        <v>41640.0</v>
      </c>
    </row>
    <row r="72" hidden="1">
      <c r="A72" s="395"/>
      <c r="B72" s="76"/>
      <c r="C72" s="81"/>
      <c r="D72" s="78"/>
      <c r="E72" s="79"/>
      <c r="F72" s="79"/>
      <c r="G72" s="81"/>
      <c r="H72" s="82"/>
      <c r="I72" s="259"/>
      <c r="J72" s="644"/>
      <c r="K72" s="89"/>
      <c r="L72" s="89"/>
      <c r="M72" s="89"/>
      <c r="N72" s="89"/>
      <c r="O72" s="81"/>
      <c r="P72" s="84"/>
      <c r="Q72" s="81"/>
      <c r="R72" s="123"/>
      <c r="S72" s="81"/>
      <c r="T72" s="81"/>
    </row>
    <row r="73" hidden="1">
      <c r="A73" s="124" t="str">
        <f>HYPERLINK("https://phillipreeve.net/blog/review-zeiss-batis-distagon-t-25mm-f2/","Zeiss Batis 2/25")</f>
        <v/>
      </c>
      <c r="B73" s="76">
        <v>335.0</v>
      </c>
      <c r="C73" s="122">
        <v>25.0</v>
      </c>
      <c r="D73" s="78">
        <v>2.0</v>
      </c>
      <c r="E73" s="144">
        <v>92.0</v>
      </c>
      <c r="F73" s="145">
        <v>78.0</v>
      </c>
      <c r="G73" s="84" t="s">
        <v>30</v>
      </c>
      <c r="H73" s="82" t="s">
        <v>53</v>
      </c>
      <c r="I73" s="81">
        <v>0.19</v>
      </c>
      <c r="J73" s="87">
        <v>1299.0</v>
      </c>
      <c r="K73" s="130" t="str">
        <f>HYPERLINK("https://amzn.to/2ypHQiT","link*")</f>
        <v/>
      </c>
      <c r="L73" s="130" t="str">
        <f>HYPERLINK("https://www.bhphotovideo.com/c/product/1140832-REG/zeiss_2103_750_25mm_f_2_0_batis_wide.html/BI/19619/KBID/12129/DFF/d10-v21-t1-x627141/SID/EZ","link*")</f>
        <v/>
      </c>
      <c r="M73" s="130" t="str">
        <f>HYPERLINK("https://amzn.to/2L20DIj","link*")</f>
        <v/>
      </c>
      <c r="N73" s="130"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
      </c>
      <c r="O73" s="83">
        <v>20.0</v>
      </c>
      <c r="P73" s="84" t="s">
        <v>26</v>
      </c>
      <c r="Q73" s="81">
        <v>9.0</v>
      </c>
      <c r="R73" s="128" t="s">
        <v>83</v>
      </c>
      <c r="S73" s="81" t="s">
        <v>58</v>
      </c>
      <c r="T73" s="86">
        <v>42125.0</v>
      </c>
    </row>
    <row r="74" hidden="1" customHeight="1">
      <c r="A74" s="395"/>
      <c r="B74" s="76"/>
      <c r="C74" s="81"/>
      <c r="D74" s="78"/>
      <c r="E74" s="79"/>
      <c r="F74" s="79"/>
      <c r="G74" s="81"/>
      <c r="H74" s="384"/>
      <c r="I74" s="81"/>
      <c r="J74" s="81"/>
      <c r="K74" s="89"/>
      <c r="L74" s="89"/>
      <c r="M74" s="89"/>
      <c r="N74" s="89"/>
      <c r="O74" s="81"/>
      <c r="P74" s="84"/>
      <c r="Q74" s="81"/>
      <c r="R74" s="123"/>
      <c r="S74" s="81"/>
      <c r="T74" s="346"/>
    </row>
    <row r="75" hidden="1">
      <c r="A75" s="395"/>
      <c r="B75" s="76"/>
      <c r="C75" s="81"/>
      <c r="D75" s="78"/>
      <c r="E75" s="79"/>
      <c r="F75" s="79"/>
      <c r="G75" s="400"/>
      <c r="H75" s="82"/>
      <c r="I75" s="259"/>
      <c r="J75" s="81"/>
      <c r="K75" s="89"/>
      <c r="L75" s="89"/>
      <c r="M75" s="89"/>
      <c r="N75" s="89"/>
      <c r="O75" s="81"/>
      <c r="P75" s="84"/>
      <c r="Q75" s="81"/>
      <c r="R75" s="123"/>
      <c r="S75" s="81"/>
      <c r="T75" s="81"/>
    </row>
    <row r="76" hidden="1">
      <c r="A76" s="124" t="str">
        <f>HYPERLINK("https://phillipreeve.net/blog/review-zeiss-loxia-2-4-25mm-distagon/","Zeiss Loxia 2.4/25")</f>
        <v/>
      </c>
      <c r="B76" s="76">
        <v>393.0</v>
      </c>
      <c r="C76" s="122">
        <v>25.0</v>
      </c>
      <c r="D76" s="78">
        <v>2.4</v>
      </c>
      <c r="E76" s="144">
        <v>62.0</v>
      </c>
      <c r="F76" s="145">
        <v>75.0</v>
      </c>
      <c r="G76" s="84" t="s">
        <v>24</v>
      </c>
      <c r="H76" s="82" t="s">
        <v>71</v>
      </c>
      <c r="I76" s="81">
        <v>0.16</v>
      </c>
      <c r="J76" s="87">
        <v>1299.0</v>
      </c>
      <c r="K76" s="130" t="str">
        <f>HYPERLINK("https://amzn.to/2OlyeAf","link*")</f>
        <v/>
      </c>
      <c r="L76" s="130" t="str">
        <f>HYPERLINK("https://www.bhphotovideo.com/c/product/1389169-REG/zeiss_000000_2218_783_loxia_25mm_f_2_4_lens.html/BI/19619/KBID/12129/kw/ZE2524L/DFF/d10-v2-t1-xZE2524L","link*")</f>
        <v/>
      </c>
      <c r="M76" s="130" t="str">
        <f>HYPERLINK("https://amzn.to/2OlyeAf","link*")</f>
        <v/>
      </c>
      <c r="N76" s="130"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
      </c>
      <c r="O76" s="83">
        <v>25.0</v>
      </c>
      <c r="P76" s="84" t="s">
        <v>26</v>
      </c>
      <c r="Q76" s="81">
        <v>10.0</v>
      </c>
      <c r="R76" s="128" t="s">
        <v>83</v>
      </c>
      <c r="S76" s="81" t="s">
        <v>58</v>
      </c>
      <c r="T76" s="86">
        <v>43160.0</v>
      </c>
    </row>
    <row r="77" hidden="1">
      <c r="A77" s="395"/>
      <c r="B77" s="76"/>
      <c r="C77" s="81"/>
      <c r="D77" s="78"/>
      <c r="E77" s="79"/>
      <c r="F77" s="79"/>
      <c r="G77" s="81"/>
      <c r="H77" s="270"/>
      <c r="I77" s="81"/>
      <c r="J77" s="644"/>
      <c r="K77" s="89"/>
      <c r="L77" s="89"/>
      <c r="M77" s="89"/>
      <c r="N77" s="89"/>
      <c r="O77" s="81"/>
      <c r="P77" s="84"/>
      <c r="Q77" s="81"/>
      <c r="R77" s="123"/>
      <c r="S77" s="81"/>
      <c r="T77" s="346"/>
    </row>
    <row r="78" hidden="1">
      <c r="A78" s="137"/>
      <c r="B78" s="76"/>
      <c r="C78" s="81"/>
      <c r="D78" s="78"/>
      <c r="E78" s="79"/>
      <c r="F78" s="79"/>
      <c r="G78" s="81"/>
      <c r="H78" s="82"/>
      <c r="I78" s="81"/>
      <c r="J78" s="81"/>
      <c r="K78" s="89"/>
      <c r="L78" s="89"/>
      <c r="M78" s="89"/>
      <c r="N78" s="89"/>
      <c r="O78" s="81"/>
      <c r="P78" s="154"/>
      <c r="Q78" s="81"/>
      <c r="R78" s="123"/>
      <c r="S78" s="81"/>
      <c r="T78" s="346"/>
    </row>
    <row r="79" hidden="1">
      <c r="A79" s="75" t="s">
        <v>84</v>
      </c>
      <c r="B79" s="76">
        <v>965.0</v>
      </c>
      <c r="C79" s="122">
        <v>28.0</v>
      </c>
      <c r="D79" s="78">
        <v>1.4</v>
      </c>
      <c r="E79" s="144">
        <v>83.0</v>
      </c>
      <c r="F79" s="145">
        <v>134.0</v>
      </c>
      <c r="G79" s="84" t="s">
        <v>30</v>
      </c>
      <c r="H79" s="82" t="s">
        <v>56</v>
      </c>
      <c r="I79" s="81">
        <v>0.19</v>
      </c>
      <c r="J79" s="87">
        <v>1399.0</v>
      </c>
      <c r="K79" s="130" t="str">
        <f>HYPERLINK("https://amzn.to/2Wn0pxO","link*")</f>
        <v/>
      </c>
      <c r="L79" s="130" t="str">
        <f>HYPERLINK("https://www.bhphotovideo.com/c/product/1436285-REG/sigma_28mm_f_1_4_dg_hsm.html/BI/19619/KBID/12129/kw/SI2814DGSE/DFF/d10-v2-t1-xSI2814DGSE","link*")</f>
        <v/>
      </c>
      <c r="M79" s="130" t="str">
        <f>HYPERLINK("https://amzn.to/2WzVkHd","link*")</f>
        <v/>
      </c>
      <c r="N79" s="130"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
      </c>
      <c r="O79" s="83">
        <v>28.0</v>
      </c>
      <c r="P79" s="84" t="s">
        <v>26</v>
      </c>
      <c r="Q79" s="81">
        <v>9.0</v>
      </c>
      <c r="R79" s="128" t="s">
        <v>81</v>
      </c>
      <c r="S79" s="81" t="s">
        <v>41</v>
      </c>
      <c r="T79" s="86">
        <v>43435.0</v>
      </c>
    </row>
    <row r="80">
      <c r="A80" s="124" t="str">
        <f>HYPERLINK("https://www.systemkamera-forum.de/blog/2015/05/sony-fe-28mm-f2-test-und-erfahrungsbericht/","Sony FE 2/28")</f>
        <v/>
      </c>
      <c r="B80" s="76">
        <v>200.0</v>
      </c>
      <c r="C80" s="122">
        <v>28.0</v>
      </c>
      <c r="D80" s="78">
        <v>2.0</v>
      </c>
      <c r="E80" s="144">
        <v>60.0</v>
      </c>
      <c r="F80" s="145">
        <v>60.0</v>
      </c>
      <c r="G80" s="84" t="s">
        <v>30</v>
      </c>
      <c r="H80" s="82" t="s">
        <v>74</v>
      </c>
      <c r="I80" s="81">
        <v>0.13</v>
      </c>
      <c r="J80" s="153">
        <v>448.0</v>
      </c>
      <c r="K80" s="130" t="str">
        <f>HYPERLINK("https://amzn.to/2GXJWdo","link*")</f>
        <v/>
      </c>
      <c r="L80" s="130" t="str">
        <f>HYPERLINK("https://www.bhphotovideo.com/c/product/1402637-REG/sony_fe_28mm_f_2_lens.html/BI/19619/KBID/12129/kw/SO2820F/DFF/d10-v2-t1-xSO2820F","link*")</f>
        <v/>
      </c>
      <c r="M80" s="130" t="str">
        <f>HYPERLINK("http://amzn.to/2wyLOCO","link*")</f>
        <v/>
      </c>
      <c r="N80" s="130"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
      </c>
      <c r="O80" s="83">
        <v>29.0</v>
      </c>
      <c r="P80" s="84" t="s">
        <v>26</v>
      </c>
      <c r="Q80" s="81">
        <v>9.0</v>
      </c>
      <c r="R80" s="128" t="s">
        <v>60</v>
      </c>
      <c r="S80" s="81" t="s">
        <v>32</v>
      </c>
      <c r="T80" s="86">
        <v>42064.0</v>
      </c>
    </row>
    <row r="81" hidden="1">
      <c r="A81" s="124" t="str">
        <f>HYPERLINK("https://phillipreeve.net/blog/review-tamron-28-75mm-f-2-8-di-iii-rxd-sony-e-mount/","Tamron 2.8/28-75")</f>
        <v/>
      </c>
      <c r="B81" s="76">
        <v>550.0</v>
      </c>
      <c r="C81" s="122">
        <v>28.0</v>
      </c>
      <c r="D81" s="78">
        <v>2.8</v>
      </c>
      <c r="E81" s="144">
        <v>73.0</v>
      </c>
      <c r="F81" s="145">
        <v>118.0</v>
      </c>
      <c r="G81" s="84" t="s">
        <v>30</v>
      </c>
      <c r="H81" s="82" t="s">
        <v>53</v>
      </c>
      <c r="I81" s="140">
        <v>0.34</v>
      </c>
      <c r="J81" s="153">
        <v>879.0</v>
      </c>
      <c r="K81" s="130" t="str">
        <f>HYPERLINK("https://amzn.to/2ST5uxq","link*")</f>
        <v/>
      </c>
      <c r="L81" s="130" t="str">
        <f>HYPERLINK("https://www.bhphotovideo.com/c/product/1393332-REG/tamron_a036_28_75mm_f_2_8_di_iii.html/BI/19619/KBID/12129/DFF/d10-v21-t1-x892059/SID/EZ","link*")</f>
        <v/>
      </c>
      <c r="M81" s="130" t="str">
        <f>HYPERLINK("https://amzn.to/2ZmSzdU","link*")</f>
        <v/>
      </c>
      <c r="N81" s="130"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
      </c>
      <c r="O81" s="83">
        <v>19.0</v>
      </c>
      <c r="P81" s="84" t="s">
        <v>26</v>
      </c>
      <c r="Q81" s="81">
        <v>9.0</v>
      </c>
      <c r="R81" s="128" t="s">
        <v>85</v>
      </c>
      <c r="S81" s="81" t="s">
        <v>55</v>
      </c>
      <c r="T81" s="86">
        <v>43252.0</v>
      </c>
    </row>
    <row r="82" hidden="1">
      <c r="A82" s="75" t="s">
        <v>88</v>
      </c>
      <c r="B82" s="76">
        <v>295.0</v>
      </c>
      <c r="C82" s="122">
        <v>28.0</v>
      </c>
      <c r="D82" s="78" t="s">
        <v>89</v>
      </c>
      <c r="E82" s="144">
        <v>73.0</v>
      </c>
      <c r="F82" s="145">
        <v>83.0</v>
      </c>
      <c r="G82" s="84" t="s">
        <v>30</v>
      </c>
      <c r="H82" s="82" t="s">
        <v>90</v>
      </c>
      <c r="I82" s="81">
        <v>0.19</v>
      </c>
      <c r="J82" s="87">
        <v>398.0</v>
      </c>
      <c r="K82" s="130" t="str">
        <f>HYPERLINK("https://www.amazon.com/gp/product/B00FYOFADE/ref=as_li_tl?ie=UTF8&amp;tag=wwwphillipree-20&amp;camp=1789&amp;creative=9325&amp;linkCode=as2&amp;creativeASIN=B00FYOFADE&amp;linkId=96720b245156eae53bb1a672d4453d3f","link*")</f>
        <v/>
      </c>
      <c r="L82" s="130" t="str">
        <f>HYPERLINK("https://www.bhphotovideo.com/c/product/1015472-REG/sony_sel2870_fe_28_70mm_f_3_5_5_6_oss.html/BI/19619/KBID/12129/DFF/d10-v21-t1-x473993/SID/EZ","link*")</f>
        <v/>
      </c>
      <c r="M82" s="130" t="str">
        <f>HYPERLINK("https://www.amazon.de/gp/product/B00HSHFPD0/ref=as_li_tl?ie=UTF8&amp;tag=wwwphillipree-21&amp;camp=1638&amp;creative=6742&amp;linkCode=as2&amp;creativeASIN=B00HSHFPD0&amp;linkId=6701f30673f8a4071232ca85e1953506","link*")</f>
        <v/>
      </c>
      <c r="N82" s="130"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
      </c>
      <c r="O82" s="83">
        <v>30.0</v>
      </c>
      <c r="P82" s="154" t="s">
        <v>49</v>
      </c>
      <c r="Q82" s="81">
        <v>7.0</v>
      </c>
      <c r="R82" s="128" t="s">
        <v>60</v>
      </c>
      <c r="S82" s="81" t="s">
        <v>32</v>
      </c>
      <c r="T82" s="86">
        <v>41548.0</v>
      </c>
    </row>
    <row r="83" hidden="1">
      <c r="A83" s="75" t="s">
        <v>91</v>
      </c>
      <c r="B83" s="76">
        <v>1215.0</v>
      </c>
      <c r="C83" s="122">
        <v>28.0</v>
      </c>
      <c r="D83" s="78">
        <v>4.0</v>
      </c>
      <c r="E83" s="144">
        <v>105.0</v>
      </c>
      <c r="F83" s="145">
        <v>165.0</v>
      </c>
      <c r="G83" s="84" t="s">
        <v>30</v>
      </c>
      <c r="H83" s="382" t="s">
        <v>92</v>
      </c>
      <c r="I83" s="346"/>
      <c r="J83" s="87">
        <v>249.0</v>
      </c>
      <c r="K83" s="130" t="str">
        <f>HYPERLINK("http://amzn.to/2v2kiy9","link*")</f>
        <v/>
      </c>
      <c r="L83" s="130" t="str">
        <f>HYPERLINK("https://www.bhphotovideo.com/c/product/1082051-REG/sony_selp28135g_e_pz_28_135mm_f_4.html/BI/19619/KBID/12129/DFF/d10-v21-t1-x556056/SID/EZ","link*")</f>
        <v/>
      </c>
      <c r="M83" s="130" t="str">
        <f>HYPERLINK("http://amzn.to/2wlpg9b","link*")</f>
        <v/>
      </c>
      <c r="N83" s="130"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
      </c>
      <c r="O83" s="83">
        <v>40.0</v>
      </c>
      <c r="P83" s="154" t="s">
        <v>49</v>
      </c>
      <c r="Q83" s="81">
        <v>9.0</v>
      </c>
      <c r="R83" s="128" t="s">
        <v>93</v>
      </c>
      <c r="S83" s="81" t="s">
        <v>32</v>
      </c>
      <c r="T83" s="86">
        <v>41883.0</v>
      </c>
      <c r="U83" s="68" t="s">
        <v>94</v>
      </c>
    </row>
    <row r="84" hidden="1">
      <c r="A84" s="124" t="str">
        <f>HYPERLINK("https://phillipreeve.net/blog/review-sigma-35mm-1-2-art-dg-dn/","Sigma Art 1.2/35")</f>
        <v/>
      </c>
      <c r="B84" s="76">
        <v>1090.0</v>
      </c>
      <c r="C84" s="122">
        <v>35.0</v>
      </c>
      <c r="D84" s="383">
        <v>1.2</v>
      </c>
      <c r="E84" s="144">
        <v>88.0</v>
      </c>
      <c r="F84" s="145">
        <v>136.0</v>
      </c>
      <c r="G84" s="81" t="s">
        <v>30</v>
      </c>
      <c r="H84" s="270" t="s">
        <v>51</v>
      </c>
      <c r="I84" s="81">
        <v>0.19</v>
      </c>
      <c r="J84" s="87">
        <v>1499.0</v>
      </c>
      <c r="K84" s="130" t="str">
        <f>HYPERLINK("https://amzn.to/2LiHhxc","link*")</f>
        <v/>
      </c>
      <c r="L84" s="130" t="str">
        <f>HYPERLINK("https://www.bhphotovideo.com/c/product/1492967-REG/sigma_341969_35mm_f_1_2_dg_dn.html/BI/19619/KBID/12129/DFF/d10-v21-t1-x976038/SID/EZ","link*")</f>
        <v/>
      </c>
      <c r="M84" s="89"/>
      <c r="N84" s="130"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
      </c>
      <c r="O84" s="83">
        <v>30.0</v>
      </c>
      <c r="P84" s="84" t="s">
        <v>26</v>
      </c>
      <c r="Q84" s="81">
        <v>11.0</v>
      </c>
      <c r="R84" s="123">
        <v>43816.0</v>
      </c>
      <c r="S84" s="81" t="s">
        <v>41</v>
      </c>
      <c r="T84" s="86">
        <v>43647.0</v>
      </c>
    </row>
    <row r="85" hidden="1">
      <c r="A85" s="124" t="str">
        <f>HYPERLINK("https://phillipreeve.net/blog/review-sony-fe-35mm-1-4-za/","Sony ZA 1.4/35")</f>
        <v/>
      </c>
      <c r="B85" s="76">
        <v>630.0</v>
      </c>
      <c r="C85" s="122">
        <v>35.0</v>
      </c>
      <c r="D85" s="78">
        <v>1.4</v>
      </c>
      <c r="E85" s="144">
        <v>79.0</v>
      </c>
      <c r="F85" s="145">
        <v>112.0</v>
      </c>
      <c r="G85" s="81" t="s">
        <v>30</v>
      </c>
      <c r="H85" s="82" t="s">
        <v>48</v>
      </c>
      <c r="I85" s="81">
        <v>0.18</v>
      </c>
      <c r="J85" s="87">
        <v>1599.0</v>
      </c>
      <c r="K85" s="130" t="str">
        <f>HYPERLINK("https://amzn.to/2LRSMOS","link*")</f>
        <v/>
      </c>
      <c r="L85" s="130" t="str">
        <f>HYPERLINK("https://www.bhphotovideo.com/c/product/1126137-REG/sony_sel35f14z_distagon_t_fe_35mm.html/BI/19619/KBID/12129/DFF/d10-v21-t1-x612725/SID/EZ","link*")</f>
        <v/>
      </c>
      <c r="M85" s="130" t="str">
        <f>HYPERLINK("https://amzn.to/2ZmfSnX","link*")</f>
        <v/>
      </c>
      <c r="N85" s="130"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
      </c>
      <c r="O85" s="83">
        <v>30.0</v>
      </c>
      <c r="P85" s="84" t="s">
        <v>26</v>
      </c>
      <c r="Q85" s="81">
        <v>9.0</v>
      </c>
      <c r="R85" s="123">
        <v>43689.0</v>
      </c>
      <c r="S85" s="81" t="s">
        <v>32</v>
      </c>
      <c r="T85" s="86">
        <v>42064.0</v>
      </c>
    </row>
    <row r="86" hidden="1">
      <c r="A86" s="75" t="s">
        <v>226</v>
      </c>
      <c r="B86" s="76">
        <v>645.0</v>
      </c>
      <c r="C86" s="122">
        <v>35.0</v>
      </c>
      <c r="D86" s="78">
        <v>1.4</v>
      </c>
      <c r="E86" s="144">
        <v>76.0</v>
      </c>
      <c r="F86" s="151">
        <v>115.0</v>
      </c>
      <c r="G86" s="81" t="s">
        <v>30</v>
      </c>
      <c r="H86" s="82" t="s">
        <v>53</v>
      </c>
      <c r="I86" s="81">
        <v>0.17</v>
      </c>
      <c r="J86" s="87">
        <v>799.0</v>
      </c>
      <c r="K86" s="130" t="str">
        <f>HYPERLINK("https://amzn.to/2K8DDXH","link*")</f>
        <v/>
      </c>
      <c r="L86" s="130" t="str">
        <f t="shared" ref="L86:L87" si="1">HYPERLINK("https://www.bhphotovideo.com/c/product/1381712-REG/voigtlander_nokton_classic_35mm_f_1_4.html/BI/19619/KBID/12129/DFF/d10-v21-t1-x877353/SID/EZ","link*")</f>
        <v/>
      </c>
      <c r="M86" s="130" t="str">
        <f>HYPERLINK("https://amzn.to/2Zhl3FI","link*")</f>
        <v/>
      </c>
      <c r="N86" s="130"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
      </c>
      <c r="O86" s="83">
        <v>30.0</v>
      </c>
      <c r="P86" s="84" t="s">
        <v>26</v>
      </c>
      <c r="Q86" s="81">
        <v>9.0</v>
      </c>
      <c r="R86" s="123">
        <v>43719.0</v>
      </c>
      <c r="S86" s="81" t="s">
        <v>46</v>
      </c>
      <c r="T86" s="86">
        <v>43009.0</v>
      </c>
      <c r="U86" s="68" t="s">
        <v>99</v>
      </c>
    </row>
    <row r="87" hidden="1">
      <c r="A87" s="124" t="str">
        <f>HYPERLINK("https://phillipreeve.net/blog/review-voigtlander-35mm-1-4-nokton-e-classic/","Voigtlander 35mm F1.4 Nokton Classic")</f>
        <v/>
      </c>
      <c r="B87" s="76">
        <v>262.0</v>
      </c>
      <c r="C87" s="122">
        <v>35.0</v>
      </c>
      <c r="D87" s="78">
        <v>1.4</v>
      </c>
      <c r="E87" s="144">
        <v>67.0</v>
      </c>
      <c r="F87" s="151">
        <v>40.0</v>
      </c>
      <c r="G87" s="81" t="s">
        <v>24</v>
      </c>
      <c r="H87" s="82" t="s">
        <v>47</v>
      </c>
      <c r="I87" s="81">
        <v>0.16</v>
      </c>
      <c r="J87" s="87">
        <v>799.0</v>
      </c>
      <c r="K87" s="130" t="str">
        <f>HYPERLINK("https://amzn.to/2M1M8WH","link*")</f>
        <v/>
      </c>
      <c r="L87" s="130" t="str">
        <f t="shared" si="1"/>
        <v/>
      </c>
      <c r="M87" s="130" t="str">
        <f>HYPERLINK("https://amzn.to/2ZswTZ3","link*")</f>
        <v/>
      </c>
      <c r="N87" s="130"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
      </c>
      <c r="O87" s="83">
        <v>30.0</v>
      </c>
      <c r="P87" s="84" t="s">
        <v>26</v>
      </c>
      <c r="Q87" s="81">
        <v>10.0</v>
      </c>
      <c r="R87" s="123">
        <v>43624.0</v>
      </c>
      <c r="S87" s="81" t="s">
        <v>28</v>
      </c>
      <c r="T87" s="86">
        <v>43132.0</v>
      </c>
    </row>
    <row r="88" hidden="1">
      <c r="A88" s="124" t="str">
        <f>HYPERLINK("https://phillipreeve.net/blog/review-sigma-35mm-1-4-art/","Sigma Art 1.4/35")</f>
        <v/>
      </c>
      <c r="B88" s="76">
        <v>740.0</v>
      </c>
      <c r="C88" s="122">
        <v>35.0</v>
      </c>
      <c r="D88" s="78">
        <v>1.4</v>
      </c>
      <c r="E88" s="144">
        <v>77.0</v>
      </c>
      <c r="F88" s="151">
        <v>94.0</v>
      </c>
      <c r="G88" s="81" t="s">
        <v>30</v>
      </c>
      <c r="H88" s="82" t="s">
        <v>53</v>
      </c>
      <c r="I88" s="81">
        <v>0.19</v>
      </c>
      <c r="J88" s="153">
        <v>899.0</v>
      </c>
      <c r="K88" s="130" t="str">
        <f>HYPERLINK("https://amzn.to/2LOaQcZ","link*")</f>
        <v/>
      </c>
      <c r="L88" s="130" t="str">
        <f>HYPERLINK("https://www.bhphotovideo.com/c/product/1393492-REG/sigma_35mm_f_1_4_dg_hsm.html/BI/19619/KBID/12129/DFF/d10-v21-t1-x881157/SID/EZ","link*")</f>
        <v/>
      </c>
      <c r="M88" s="130" t="str">
        <f>HYPERLINK("https://amzn.to/2ZrfakE","link*")</f>
        <v/>
      </c>
      <c r="N88" s="130"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
      </c>
      <c r="O88" s="83">
        <v>30.0</v>
      </c>
      <c r="P88" s="84" t="s">
        <v>26</v>
      </c>
      <c r="Q88" s="81">
        <v>9.0</v>
      </c>
      <c r="R88" s="123">
        <v>43782.0</v>
      </c>
      <c r="S88" s="81" t="s">
        <v>41</v>
      </c>
      <c r="T88" s="86">
        <v>43221.0</v>
      </c>
      <c r="U88" s="68" t="s">
        <v>42</v>
      </c>
    </row>
    <row r="89" hidden="1">
      <c r="A89" s="75" t="s">
        <v>227</v>
      </c>
      <c r="B89" s="76">
        <v>280.0</v>
      </c>
      <c r="C89" s="122">
        <v>35.0</v>
      </c>
      <c r="D89" s="78">
        <v>1.8</v>
      </c>
      <c r="E89" s="144">
        <v>66.0</v>
      </c>
      <c r="F89" s="151">
        <v>73.0</v>
      </c>
      <c r="G89" s="81" t="s">
        <v>30</v>
      </c>
      <c r="H89" s="82" t="s">
        <v>90</v>
      </c>
      <c r="I89" s="185">
        <v>0.24</v>
      </c>
      <c r="J89" s="87">
        <v>749.0</v>
      </c>
      <c r="K89" s="89"/>
      <c r="L89" s="130" t="str">
        <f>HYPERLINK("https://www.bhphotovideo.com/c/product/1492866-REG/sony_sel35f18f_35mm_f_1_8_fe_lens.html/BI/19619/KBID/12129/DFF/d10-v21-t1-x975763/SID/EZ","link*")</f>
        <v/>
      </c>
      <c r="M89" s="130" t="str">
        <f>HYPERLINK("https://amzn.to/2PiATLC","link*")</f>
        <v/>
      </c>
      <c r="N89" s="130"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
      </c>
      <c r="O89" s="83">
        <v>22.0</v>
      </c>
      <c r="P89" s="84" t="s">
        <v>26</v>
      </c>
      <c r="Q89" s="81">
        <v>9.0</v>
      </c>
      <c r="R89" s="123">
        <v>43719.0</v>
      </c>
      <c r="S89" s="81" t="s">
        <v>32</v>
      </c>
      <c r="T89" s="86">
        <v>43647.0</v>
      </c>
    </row>
    <row r="90" hidden="1">
      <c r="A90" s="124" t="str">
        <f>HYPERLINK("https://phillipreeve.net/blog/review-zeiss-loxia-35mm-2-0/","Zeiss Loxia 2/35 Biogon T*")</f>
        <v/>
      </c>
      <c r="B90" s="76">
        <v>340.0</v>
      </c>
      <c r="C90" s="122">
        <v>35.0</v>
      </c>
      <c r="D90" s="78">
        <v>2.0</v>
      </c>
      <c r="E90" s="144">
        <v>62.0</v>
      </c>
      <c r="F90" s="145">
        <v>66.0</v>
      </c>
      <c r="G90" s="81" t="s">
        <v>24</v>
      </c>
      <c r="H90" s="82" t="s">
        <v>71</v>
      </c>
      <c r="I90" s="81">
        <v>0.17</v>
      </c>
      <c r="J90" s="87">
        <v>1299.0</v>
      </c>
      <c r="K90" s="130" t="str">
        <f>HYPERLINK("https://amzn.to/2T2sJWe","link*")</f>
        <v/>
      </c>
      <c r="L90" s="130" t="str">
        <f>HYPERLINK("https://www.bhphotovideo.com/c/product/1080388-REG/zeiss_2103_749_loxia_35mm_f_2_biogon.html/BI/19619/KBID/12129/DFF/d10-v21-t1-x553792/SID/EZ","link*")</f>
        <v/>
      </c>
      <c r="M90" s="89" t="s">
        <v>33</v>
      </c>
      <c r="N90" s="130"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
      </c>
      <c r="O90" s="83">
        <v>30.0</v>
      </c>
      <c r="P90" s="84" t="s">
        <v>26</v>
      </c>
      <c r="Q90" s="81">
        <v>10.0</v>
      </c>
      <c r="R90" s="123">
        <v>43625.0</v>
      </c>
      <c r="S90" s="81" t="s">
        <v>58</v>
      </c>
      <c r="T90" s="86">
        <v>41974.0</v>
      </c>
      <c r="U90" s="68" t="s">
        <v>101</v>
      </c>
    </row>
    <row r="91" hidden="1">
      <c r="A91" s="124" t="str">
        <f>HYPERLINK("http://www.photozone.de/sonyalphaff/865-zeiss35f28ff","Sony ZA 2.8/35")</f>
        <v/>
      </c>
      <c r="B91" s="76">
        <v>120.0</v>
      </c>
      <c r="C91" s="122">
        <v>35.0</v>
      </c>
      <c r="D91" s="78">
        <v>2.8</v>
      </c>
      <c r="E91" s="144">
        <v>62.0</v>
      </c>
      <c r="F91" s="145">
        <v>37.0</v>
      </c>
      <c r="G91" s="81" t="s">
        <v>30</v>
      </c>
      <c r="H91" s="82" t="s">
        <v>74</v>
      </c>
      <c r="I91" s="81">
        <v>0.12</v>
      </c>
      <c r="J91" s="87">
        <v>798.0</v>
      </c>
      <c r="K91" s="130" t="str">
        <f>HYPERLINK("https://amzn.to/2yvhL24","link*")</f>
        <v/>
      </c>
      <c r="L91" s="130" t="str">
        <f>HYPERLINK("https://www.bhphotovideo.com/c/product/1008123-REG/sony_sel35f28z_sonnar_t_fe_35mm.html/BI/19619/KBID/12129/DFF/d10-v21-t1-x466840/SID/EZ","link*")</f>
        <v/>
      </c>
      <c r="M91" s="89" t="s">
        <v>33</v>
      </c>
      <c r="N91" s="130"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
      </c>
      <c r="O91" s="83">
        <v>35.0</v>
      </c>
      <c r="P91" s="84" t="s">
        <v>26</v>
      </c>
      <c r="Q91" s="81">
        <v>9.0</v>
      </c>
      <c r="R91" s="123">
        <v>43592.0</v>
      </c>
      <c r="S91" s="81" t="s">
        <v>32</v>
      </c>
      <c r="T91" s="86">
        <v>41487.0</v>
      </c>
    </row>
    <row r="92" hidden="1">
      <c r="A92" s="75" t="s">
        <v>102</v>
      </c>
      <c r="B92" s="76">
        <v>86.0</v>
      </c>
      <c r="C92" s="122">
        <v>35.0</v>
      </c>
      <c r="D92" s="78">
        <v>2.8</v>
      </c>
      <c r="E92" s="144">
        <v>62.0</v>
      </c>
      <c r="F92" s="145">
        <v>33.0</v>
      </c>
      <c r="G92" s="81" t="s">
        <v>30</v>
      </c>
      <c r="H92" s="82" t="s">
        <v>74</v>
      </c>
      <c r="I92" s="81">
        <v>0.12</v>
      </c>
      <c r="J92" s="211">
        <v>399.0</v>
      </c>
      <c r="K92" s="130" t="str">
        <f t="shared" ref="K92:K93" si="2">HYPERLINK("https://amzn.to/2MGKrxp","link*")</f>
        <v/>
      </c>
      <c r="L92" s="130" t="str">
        <f>HYPERLINK("https://www.bhphotovideo.com/c/product/1348365-REG/samyang_syio35af_e_35mm_f2_8_compact_wide.html/BI/19619/KBID/12129/DFF/d10-v21-t1-x832776/SID/EZ","link*")</f>
        <v/>
      </c>
      <c r="M92" s="89" t="s">
        <v>33</v>
      </c>
      <c r="N92" s="130"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
      </c>
      <c r="O92" s="83">
        <v>35.0</v>
      </c>
      <c r="P92" s="84" t="s">
        <v>26</v>
      </c>
      <c r="Q92" s="81">
        <v>9.0</v>
      </c>
      <c r="R92" s="123">
        <v>43623.0</v>
      </c>
      <c r="S92" s="81" t="s">
        <v>46</v>
      </c>
      <c r="T92" s="86">
        <v>42917.0</v>
      </c>
    </row>
    <row r="93" hidden="1">
      <c r="A93" s="124" t="str">
        <f>HYPERLINK("https://phillipreeve.net/blog/voigtlander-40mm-f1-2-nokton-aspherical-rolling-review/","Voigtlander 40mm F1.2 Nokton")</f>
        <v/>
      </c>
      <c r="B93" s="76">
        <v>420.0</v>
      </c>
      <c r="C93" s="122">
        <v>40.0</v>
      </c>
      <c r="D93" s="392">
        <v>1.2</v>
      </c>
      <c r="E93" s="144">
        <v>70.0</v>
      </c>
      <c r="F93" s="145">
        <v>59.0</v>
      </c>
      <c r="G93" s="81" t="s">
        <v>24</v>
      </c>
      <c r="H93" s="82" t="s">
        <v>47</v>
      </c>
      <c r="I93" s="81">
        <v>0.16</v>
      </c>
      <c r="J93" s="87">
        <v>1099.0</v>
      </c>
      <c r="K93" s="130" t="str">
        <f t="shared" si="2"/>
        <v/>
      </c>
      <c r="L93" s="130" t="str">
        <f>HYPERLINK("https://www.bhphotovideo.com/c/product/1362557-REG/voigtlander_nokton_40mm_f_1_2_aspherical.html/BI/19619/KBID/12129/DFF/d10-v21-t1-x851241/SID/EZ","link*")</f>
        <v/>
      </c>
      <c r="M93" s="89" t="s">
        <v>33</v>
      </c>
      <c r="N93" s="130"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
      </c>
      <c r="O93" s="83">
        <v>35.0</v>
      </c>
      <c r="P93" s="84" t="s">
        <v>26</v>
      </c>
      <c r="Q93" s="81">
        <v>10.0</v>
      </c>
      <c r="R93" s="123">
        <v>43624.0</v>
      </c>
      <c r="S93" s="81" t="s">
        <v>28</v>
      </c>
      <c r="T93" s="86">
        <v>43040.0</v>
      </c>
    </row>
    <row r="94" hidden="1">
      <c r="A94" s="124" t="str">
        <f>HYPERLINK("https://phillipreeve.net/blog/review-sigma-40mm-1-4-art/","Sigma Art 1.4/40")</f>
        <v/>
      </c>
      <c r="B94" s="76">
        <v>1200.0</v>
      </c>
      <c r="C94" s="122">
        <v>40.0</v>
      </c>
      <c r="D94" s="78">
        <v>1.4</v>
      </c>
      <c r="E94" s="144">
        <v>88.0</v>
      </c>
      <c r="F94" s="151">
        <v>157.0</v>
      </c>
      <c r="G94" s="81" t="s">
        <v>30</v>
      </c>
      <c r="H94" s="198" t="s">
        <v>51</v>
      </c>
      <c r="I94" s="81">
        <v>0.15</v>
      </c>
      <c r="J94" s="87">
        <v>1399.0</v>
      </c>
      <c r="K94" s="130" t="str">
        <f>HYPERLINK("https://amzn.to/2SYXFXq","link*")</f>
        <v/>
      </c>
      <c r="L94" s="130" t="str">
        <f>HYPERLINK("https://www.bhphotovideo.com/c/product/1436292-REG/sigma_40mm_f_1_4_dg_hsm.html/BI/19619/KBID/12129/DFF/d10-v21-t1-x925196/SID/EZ","link*")</f>
        <v/>
      </c>
      <c r="M94" s="89" t="s">
        <v>33</v>
      </c>
      <c r="N94" s="130"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
      </c>
      <c r="O94" s="83">
        <v>40.0</v>
      </c>
      <c r="P94" s="84" t="s">
        <v>26</v>
      </c>
      <c r="Q94" s="81">
        <v>9.0</v>
      </c>
      <c r="R94" s="123">
        <v>43815.0</v>
      </c>
      <c r="S94" s="81" t="s">
        <v>41</v>
      </c>
      <c r="T94" s="86">
        <v>43435.0</v>
      </c>
      <c r="U94" s="68" t="s">
        <v>42</v>
      </c>
    </row>
    <row r="95" hidden="1">
      <c r="A95" s="124" t="str">
        <f>HYPERLINK("https://phillipreeve.net/blog/review-zeiss-batis-2-40-cf/","Zeiss Batis 2/40 CF T*")</f>
        <v/>
      </c>
      <c r="B95" s="76">
        <v>361.0</v>
      </c>
      <c r="C95" s="122">
        <v>40.0</v>
      </c>
      <c r="D95" s="78">
        <v>2.0</v>
      </c>
      <c r="E95" s="144">
        <v>91.0</v>
      </c>
      <c r="F95" s="151">
        <v>93.0</v>
      </c>
      <c r="G95" s="81" t="s">
        <v>30</v>
      </c>
      <c r="H95" s="82" t="s">
        <v>53</v>
      </c>
      <c r="I95" s="185">
        <v>0.3</v>
      </c>
      <c r="J95" s="87">
        <v>1299.0</v>
      </c>
      <c r="K95" s="130" t="str">
        <f>HYPERLINK("https://amzn.to/2LUN0MF","link*")</f>
        <v/>
      </c>
      <c r="L95" s="130" t="str">
        <f>HYPERLINK("https://www.bhphotovideo.com/c/product/1436738-REG/zeiss_000000_2239_137_batis_40mm_f_2_cf.html/BI/19619/KBID/12129/DFF/d10-v21-t1-x915694/SID/EZ","link*")</f>
        <v/>
      </c>
      <c r="M95" s="89" t="s">
        <v>33</v>
      </c>
      <c r="N95" s="130"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
      </c>
      <c r="O95" s="83">
        <v>24.0</v>
      </c>
      <c r="P95" s="84" t="s">
        <v>26</v>
      </c>
      <c r="Q95" s="81">
        <v>9.0</v>
      </c>
      <c r="R95" s="123">
        <v>43686.0</v>
      </c>
      <c r="S95" s="81" t="s">
        <v>58</v>
      </c>
      <c r="T95" s="86">
        <v>43435.0</v>
      </c>
      <c r="U95" s="68" t="s">
        <v>228</v>
      </c>
    </row>
    <row r="96" hidden="1">
      <c r="A96" s="75" t="s">
        <v>106</v>
      </c>
      <c r="B96" s="76">
        <v>162.0</v>
      </c>
      <c r="C96" s="122">
        <v>45.0</v>
      </c>
      <c r="D96" s="78">
        <v>1.8</v>
      </c>
      <c r="E96" s="144">
        <v>62.0</v>
      </c>
      <c r="F96" s="151">
        <v>56.0</v>
      </c>
      <c r="G96" s="81" t="s">
        <v>30</v>
      </c>
      <c r="H96" s="82" t="s">
        <v>74</v>
      </c>
      <c r="I96" s="81">
        <v>0.12</v>
      </c>
      <c r="J96" s="129">
        <v>399.0</v>
      </c>
      <c r="K96" s="130" t="str">
        <f>HYPERLINK("https://amzn.to/2YC6MST","link*")</f>
        <v/>
      </c>
      <c r="L96" s="130" t="str">
        <f>HYPERLINK("https://www.bhphotovideo.com/c/product/1478738-REG/samyang_af_45mm_f_1_8_fe.html/BI/19619/KBID/12129/DFF/d10-v21-t1-x964329/SID/EZ","link*")</f>
        <v/>
      </c>
      <c r="M96" s="89" t="s">
        <v>33</v>
      </c>
      <c r="N96" s="130"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
      </c>
      <c r="O96" s="83">
        <v>45.0</v>
      </c>
      <c r="P96" s="84" t="s">
        <v>26</v>
      </c>
      <c r="Q96" s="81">
        <v>9.0</v>
      </c>
      <c r="R96" s="123">
        <v>43623.0</v>
      </c>
      <c r="S96" s="81" t="s">
        <v>46</v>
      </c>
      <c r="T96" s="86">
        <v>43647.0</v>
      </c>
    </row>
    <row r="97" hidden="1">
      <c r="A97" s="75" t="s">
        <v>107</v>
      </c>
      <c r="B97" s="76">
        <v>215.0</v>
      </c>
      <c r="C97" s="122">
        <v>45.0</v>
      </c>
      <c r="D97" s="78">
        <v>2.8</v>
      </c>
      <c r="E97" s="144">
        <v>64.0</v>
      </c>
      <c r="F97" s="145">
        <v>46.0</v>
      </c>
      <c r="G97" s="81" t="s">
        <v>30</v>
      </c>
      <c r="H97" s="82" t="s">
        <v>90</v>
      </c>
      <c r="I97" s="140">
        <v>0.25</v>
      </c>
      <c r="J97" s="87">
        <v>549.0</v>
      </c>
      <c r="K97" s="130" t="str">
        <f>HYPERLINK("https://amzn.to/2SYEvAX","link*")</f>
        <v/>
      </c>
      <c r="L97" s="130" t="str">
        <f>HYPERLINK("https://www.bhphotovideo.com/c/product/1492966-REG/sigma_360965_45mm_f_2_8_dg_dn.html/BI/19619/KBID/12129/DFF/d10-v21-t1-x976020/SID/EZ","link*")</f>
        <v/>
      </c>
      <c r="M97" s="89" t="s">
        <v>33</v>
      </c>
      <c r="N97" s="130"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
      </c>
      <c r="O97" s="83">
        <v>24.0</v>
      </c>
      <c r="P97" s="84" t="s">
        <v>26</v>
      </c>
      <c r="Q97" s="81">
        <v>7.0</v>
      </c>
      <c r="R97" s="123">
        <v>43654.0</v>
      </c>
      <c r="S97" s="81" t="s">
        <v>41</v>
      </c>
      <c r="T97" s="86">
        <v>43647.0</v>
      </c>
      <c r="U97" s="68" t="s">
        <v>108</v>
      </c>
    </row>
    <row r="98" hidden="1">
      <c r="A98" s="124" t="str">
        <f>HYPERLINK("https://phillipreeve.net/blog/review-voigtlander-50mm-1-2-nokton-e/","Voigtlander 50mm F1.2 Nokton")</f>
        <v/>
      </c>
      <c r="B98" s="76">
        <v>440.0</v>
      </c>
      <c r="C98" s="122">
        <v>50.0</v>
      </c>
      <c r="D98" s="392">
        <v>1.2</v>
      </c>
      <c r="E98" s="144">
        <v>70.0</v>
      </c>
      <c r="F98" s="145">
        <v>58.0</v>
      </c>
      <c r="G98" s="81" t="s">
        <v>24</v>
      </c>
      <c r="H98" s="82" t="s">
        <v>47</v>
      </c>
      <c r="I98" s="346"/>
      <c r="J98" s="87">
        <v>1099.0</v>
      </c>
      <c r="K98" s="130" t="str">
        <f>HYPERLINK("https://amzn.to/2OAfE7N","link*")</f>
        <v/>
      </c>
      <c r="L98" s="130" t="str">
        <f>HYPERLINK("https://www.bhphotovideo.com/c/product/1433349-REG/voigtlander_ba348a_nokton_50mm_f_1_2_aspherical.html/BI/19619/KBID/12129/DFF/d10-v21-t1-x915623/SID/EZ","link*")</f>
        <v/>
      </c>
      <c r="M98" s="89" t="s">
        <v>33</v>
      </c>
      <c r="N98" s="130"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
      </c>
      <c r="O98" s="83">
        <v>45.0</v>
      </c>
      <c r="P98" s="84" t="s">
        <v>26</v>
      </c>
      <c r="Q98" s="81">
        <v>12.0</v>
      </c>
      <c r="R98" s="123">
        <v>43624.0</v>
      </c>
      <c r="S98" s="81" t="s">
        <v>28</v>
      </c>
      <c r="T98" s="86">
        <v>43556.0</v>
      </c>
    </row>
    <row r="99" hidden="1">
      <c r="A99" s="75" t="s">
        <v>109</v>
      </c>
      <c r="B99" s="76">
        <v>778.0</v>
      </c>
      <c r="C99" s="122">
        <v>50.0</v>
      </c>
      <c r="D99" s="78">
        <v>1.4</v>
      </c>
      <c r="E99" s="144">
        <v>84.0</v>
      </c>
      <c r="F99" s="145">
        <v>108.0</v>
      </c>
      <c r="G99" s="81" t="s">
        <v>30</v>
      </c>
      <c r="H99" s="82" t="s">
        <v>48</v>
      </c>
      <c r="I99" s="81">
        <v>0.15</v>
      </c>
      <c r="J99" s="87">
        <v>1499.0</v>
      </c>
      <c r="K99" s="130" t="str">
        <f>HYPERLINK("https://amzn.to/2K88EL7","link*")</f>
        <v/>
      </c>
      <c r="L99" s="89" t="s">
        <v>33</v>
      </c>
      <c r="M99" s="89" t="s">
        <v>33</v>
      </c>
      <c r="N99" s="130"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
      </c>
      <c r="O99" s="83">
        <v>45.0</v>
      </c>
      <c r="P99" s="84" t="s">
        <v>26</v>
      </c>
      <c r="Q99" s="81">
        <v>11.0</v>
      </c>
      <c r="R99" s="123">
        <v>43720.0</v>
      </c>
      <c r="S99" s="81" t="s">
        <v>32</v>
      </c>
      <c r="T99" s="86">
        <v>42583.0</v>
      </c>
    </row>
    <row r="100" hidden="1">
      <c r="A100" s="75" t="s">
        <v>110</v>
      </c>
      <c r="B100" s="76">
        <v>815.0</v>
      </c>
      <c r="C100" s="122">
        <v>50.0</v>
      </c>
      <c r="D100" s="78">
        <v>1.4</v>
      </c>
      <c r="E100" s="144">
        <v>85.0</v>
      </c>
      <c r="F100" s="145">
        <v>100.0</v>
      </c>
      <c r="G100" s="81" t="s">
        <v>30</v>
      </c>
      <c r="H100" s="82" t="s">
        <v>56</v>
      </c>
      <c r="I100" s="81">
        <v>0.18</v>
      </c>
      <c r="J100" s="87">
        <v>949.0</v>
      </c>
      <c r="K100" s="130" t="str">
        <f>HYPERLINK("https://amzn.to/2K4JmyT","link*")</f>
        <v/>
      </c>
      <c r="L100" s="130" t="str">
        <f>HYPERLINK("https://www.bhphotovideo.com/c/product/1393493-REG/sigma_50mm_f_1_4_dg_hsm.html/BI/19619/KBID/12129/kw/SI5014SO/DFF/d10-v2-t1-xSI5014SO","link*")</f>
        <v/>
      </c>
      <c r="M100" s="130" t="str">
        <f>HYPERLINK("https://amzn.to/2Wpdoz5","link*")</f>
        <v/>
      </c>
      <c r="N100" s="130"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
      </c>
      <c r="O100" s="83">
        <v>40.0</v>
      </c>
      <c r="P100" s="84" t="s">
        <v>26</v>
      </c>
      <c r="Q100" s="81">
        <v>9.0</v>
      </c>
      <c r="R100" s="123">
        <v>43690.0</v>
      </c>
      <c r="S100" s="81" t="s">
        <v>41</v>
      </c>
      <c r="T100" s="86">
        <v>43221.0</v>
      </c>
      <c r="U100" s="68" t="s">
        <v>42</v>
      </c>
    </row>
    <row r="101" hidden="1">
      <c r="A101" s="75" t="s">
        <v>111</v>
      </c>
      <c r="B101" s="76">
        <v>585.0</v>
      </c>
      <c r="C101" s="122">
        <v>50.0</v>
      </c>
      <c r="D101" s="78">
        <v>1.4</v>
      </c>
      <c r="E101" s="144">
        <v>74.0</v>
      </c>
      <c r="F101" s="145">
        <v>98.0</v>
      </c>
      <c r="G101" s="81" t="s">
        <v>30</v>
      </c>
      <c r="H101" s="82" t="s">
        <v>53</v>
      </c>
      <c r="I101" s="81">
        <v>0.15</v>
      </c>
      <c r="J101" s="87">
        <v>699.0</v>
      </c>
      <c r="K101" s="130" t="str">
        <f>HYPERLINK("https://amzn.to/2SY1Pyr","link*")</f>
        <v/>
      </c>
      <c r="L101" s="130" t="str">
        <f>HYPERLINK("https://www.bhphotovideo.com/c/product/1352862-REG/samyang_syio50af_e_50mm_f_1_4_auto_focus.html/BI/19619/KBID/12129/DFF/d10-v21-t1-x837927/SID/EZ","link*")</f>
        <v/>
      </c>
      <c r="M101" s="89" t="s">
        <v>33</v>
      </c>
      <c r="N101" s="130"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
      </c>
      <c r="O101" s="83">
        <v>45.0</v>
      </c>
      <c r="P101" s="84" t="s">
        <v>26</v>
      </c>
      <c r="Q101" s="81">
        <v>9.0</v>
      </c>
      <c r="R101" s="123">
        <v>43686.0</v>
      </c>
      <c r="S101" s="81" t="s">
        <v>46</v>
      </c>
      <c r="T101" s="86">
        <v>42583.0</v>
      </c>
    </row>
    <row r="102">
      <c r="A102" s="131" t="str">
        <f>HYPERLINK("https://phillipreeve.net/blog/review-sony-fe-1-850/","Sony 50mm F1.8")</f>
        <v>Sony 50mm F1.8</v>
      </c>
      <c r="B102" s="76">
        <v>186.0</v>
      </c>
      <c r="C102" s="122">
        <v>50.0</v>
      </c>
      <c r="D102" s="78">
        <v>1.8</v>
      </c>
      <c r="E102" s="144">
        <v>69.0</v>
      </c>
      <c r="F102" s="145">
        <v>60.0</v>
      </c>
      <c r="G102" s="81" t="s">
        <v>30</v>
      </c>
      <c r="H102" s="82" t="s">
        <v>74</v>
      </c>
      <c r="I102" s="81">
        <v>0.14</v>
      </c>
      <c r="J102" s="153">
        <v>249.0</v>
      </c>
      <c r="K102" s="88" t="str">
        <f>HYPERLINK("http://amzn.to/2v2F5Se","link*")</f>
        <v>link*</v>
      </c>
      <c r="L102" s="88" t="str">
        <f>HYPERLINK("https://www.bhphotovideo.com/c/product/1242613-REG/sony_sel50f18f_fe_50mm_f_1_8_lens.html/BI/19619/KBID/12129/kw/SO5018F/DFF/d10-v2-t1-xSO5018F","link*")</f>
        <v>link*</v>
      </c>
      <c r="M102" s="88" t="str">
        <f>HYPERLINK("http://amzn.to/2wyHB25","link*")</f>
        <v>link*</v>
      </c>
      <c r="N102"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102" s="83">
        <v>45.0</v>
      </c>
      <c r="P102" s="84" t="s">
        <v>26</v>
      </c>
      <c r="Q102" s="81">
        <v>7.0</v>
      </c>
      <c r="R102" s="123">
        <v>43591.0</v>
      </c>
      <c r="S102" s="81" t="s">
        <v>32</v>
      </c>
      <c r="T102" s="86">
        <v>42430.0</v>
      </c>
    </row>
    <row r="103" hidden="1">
      <c r="A103" s="131" t="str">
        <f>HYPERLINK("https://phillipreeve.net/blog/review-zeiss-loxia-planar-250-t/","Zeiss Loxia 50mm F2")</f>
        <v>Zeiss Loxia 50mm F2</v>
      </c>
      <c r="B103" s="76">
        <v>320.0</v>
      </c>
      <c r="C103" s="122">
        <v>50.0</v>
      </c>
      <c r="D103" s="78">
        <v>2.0</v>
      </c>
      <c r="E103" s="144">
        <v>62.0</v>
      </c>
      <c r="F103" s="145">
        <v>60.0</v>
      </c>
      <c r="G103" s="81" t="s">
        <v>24</v>
      </c>
      <c r="H103" s="82" t="s">
        <v>71</v>
      </c>
      <c r="I103" s="81">
        <v>0.15</v>
      </c>
      <c r="J103" s="87">
        <v>949.0</v>
      </c>
      <c r="K103" s="88" t="str">
        <f>HYPERLINK("http://amzn.to/2faVsIu","link*")</f>
        <v>link*</v>
      </c>
      <c r="L103" s="88" t="str">
        <f>HYPERLINK("https://www.bhphotovideo.com/c/product/1080387-REG/zeiss_2103_748_loxia_50mm_f_2_planar.html/BI/19619/KBID/12129/kw/ZE502LFE/DFF/d10-v2-t1-xZE502LFE","link*")</f>
        <v>link*</v>
      </c>
      <c r="M103" s="88" t="str">
        <f>HYPERLINK("http://amzn.to/2wyJAU4","link*")</f>
        <v>link*</v>
      </c>
      <c r="N103"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103" s="83">
        <v>45.0</v>
      </c>
      <c r="P103" s="84" t="s">
        <v>26</v>
      </c>
      <c r="Q103" s="81">
        <v>10.0</v>
      </c>
      <c r="R103" s="123">
        <v>43561.0</v>
      </c>
      <c r="S103" s="81" t="s">
        <v>58</v>
      </c>
      <c r="T103" s="86">
        <v>41913.0</v>
      </c>
      <c r="U103" s="68" t="s">
        <v>101</v>
      </c>
    </row>
    <row r="104">
      <c r="A104" s="131" t="str">
        <f>HYPERLINK("https://phillipreeve.net/blog/rolling-review-sony-fe-2-850-macro/","Sony 50mm F/2.8 Macro")</f>
        <v>Sony 50mm F/2.8 Macro</v>
      </c>
      <c r="B104" s="76">
        <v>236.0</v>
      </c>
      <c r="C104" s="122">
        <v>50.0</v>
      </c>
      <c r="D104" s="78">
        <v>1.8</v>
      </c>
      <c r="E104" s="144">
        <v>72.0</v>
      </c>
      <c r="F104" s="145">
        <v>71.0</v>
      </c>
      <c r="G104" s="81" t="s">
        <v>30</v>
      </c>
      <c r="H104" s="82" t="s">
        <v>90</v>
      </c>
      <c r="I104" s="259">
        <v>1.0</v>
      </c>
      <c r="J104" s="129">
        <v>499.0</v>
      </c>
      <c r="K104" s="88" t="str">
        <f>HYPERLINK("http://amzn.to/2v2g0qz","link*")</f>
        <v>link*</v>
      </c>
      <c r="L104" s="88" t="str">
        <f>HYPERLINK("https://www.bhphotovideo.com/c/product/1277527-REG/sony_sel50m28_fe_50mm_f_2_8_macro.html/BI/19619/KBID/12129/kw/SO5028FF/DFF/d10-v2-t1-xSO5028FF","link*")</f>
        <v>link*</v>
      </c>
      <c r="M104" s="88" t="str">
        <f>HYPERLINK("http://amzn.to/2vbknRN","link*")</f>
        <v>link*</v>
      </c>
      <c r="N104"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104" s="83">
        <v>16.0</v>
      </c>
      <c r="P104" s="84" t="s">
        <v>26</v>
      </c>
      <c r="Q104" s="81">
        <v>7.0</v>
      </c>
      <c r="R104" s="123">
        <v>43654.0</v>
      </c>
      <c r="S104" s="81" t="s">
        <v>32</v>
      </c>
      <c r="T104" s="86">
        <v>42614.0</v>
      </c>
    </row>
    <row r="105">
      <c r="A105" s="131" t="str">
        <f>HYPERLINK("https://phillipreeve.net/blog/sony-fe-1-855-za-sonnar-t-review/","Sony ZA 55mm F1.8 Sonnar")</f>
        <v>Sony ZA 55mm F1.8 Sonnar</v>
      </c>
      <c r="B105" s="76">
        <v>281.0</v>
      </c>
      <c r="C105" s="122">
        <v>55.0</v>
      </c>
      <c r="D105" s="78">
        <v>1.8</v>
      </c>
      <c r="E105" s="144">
        <v>64.0</v>
      </c>
      <c r="F105" s="145">
        <v>71.0</v>
      </c>
      <c r="G105" s="81" t="s">
        <v>30</v>
      </c>
      <c r="H105" s="82" t="s">
        <v>74</v>
      </c>
      <c r="I105" s="81">
        <v>0.14</v>
      </c>
      <c r="J105" s="87">
        <v>999.0</v>
      </c>
      <c r="K105" s="88" t="str">
        <f>HYPERLINK("https://amzn.to/2ywdgEk","link*")</f>
        <v>link*</v>
      </c>
      <c r="L105" s="88" t="str">
        <f>HYPERLINK("https://www.bhphotovideo.com/c/product/1008124-REG/sony_sel55f18z_sonnar_t_fe_55mm.html/BI/19619/KBID/12129/DFF/d10-v21-t1-x466841/SID/EZ","link*")</f>
        <v>link*</v>
      </c>
      <c r="M105" s="89" t="s">
        <v>33</v>
      </c>
      <c r="N105"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105" s="83">
        <v>50.0</v>
      </c>
      <c r="P105" s="84" t="s">
        <v>26</v>
      </c>
      <c r="Q105" s="81">
        <v>9.0</v>
      </c>
      <c r="R105" s="123">
        <v>43592.0</v>
      </c>
      <c r="S105" s="81" t="s">
        <v>32</v>
      </c>
      <c r="T105" s="86">
        <v>41548.0</v>
      </c>
    </row>
    <row r="106" hidden="1">
      <c r="A106" s="131" t="str">
        <f>HYPERLINK("https://phillipreeve.net/blog/voigtlander-65-f2-apo-macro-review/","Voigtlander Macro 65mm F2 Apo Lanthar")</f>
        <v>Voigtlander Macro 65mm F2 Apo Lanthar</v>
      </c>
      <c r="B106" s="76">
        <v>635.0</v>
      </c>
      <c r="C106" s="122">
        <v>65.0</v>
      </c>
      <c r="D106" s="78">
        <v>2.0</v>
      </c>
      <c r="E106" s="144">
        <v>78.0</v>
      </c>
      <c r="F106" s="145">
        <v>91.0</v>
      </c>
      <c r="G106" s="81" t="s">
        <v>24</v>
      </c>
      <c r="H106" s="82" t="s">
        <v>53</v>
      </c>
      <c r="I106" s="393">
        <v>0.5</v>
      </c>
      <c r="J106" s="87">
        <v>999.0</v>
      </c>
      <c r="K106" s="88" t="str">
        <f>HYPERLINK("https://amzn.to/2LU48SI","link*")</f>
        <v>link*</v>
      </c>
      <c r="L106" s="88" t="str">
        <f>HYPERLINK("https://www.bhphotovideo.com/c/product/1350400-REG/voigtlander_macro_apo_lanthar_65mm_f2.html/BI/19619/KBID/12129/DFF/d10-v21-t1-x835677/SID/EZ","link*")</f>
        <v>link*</v>
      </c>
      <c r="M106" s="89" t="s">
        <v>33</v>
      </c>
      <c r="N106"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106" s="83">
        <v>31.0</v>
      </c>
      <c r="P106" s="84" t="s">
        <v>26</v>
      </c>
      <c r="Q106" s="81">
        <v>10.0</v>
      </c>
      <c r="R106" s="123">
        <v>43687.0</v>
      </c>
      <c r="S106" s="81" t="s">
        <v>28</v>
      </c>
      <c r="T106" s="281">
        <v>42917.0</v>
      </c>
    </row>
    <row r="107" hidden="1">
      <c r="A107" s="75" t="s">
        <v>112</v>
      </c>
      <c r="B107" s="76">
        <v>562.0</v>
      </c>
      <c r="C107" s="122">
        <v>70.0</v>
      </c>
      <c r="D107" s="78">
        <v>2.8</v>
      </c>
      <c r="E107" s="144">
        <v>71.0</v>
      </c>
      <c r="F107" s="145">
        <v>106.0</v>
      </c>
      <c r="G107" s="81" t="s">
        <v>30</v>
      </c>
      <c r="H107" s="82" t="s">
        <v>74</v>
      </c>
      <c r="I107" s="259">
        <v>1.0</v>
      </c>
      <c r="J107" s="211">
        <v>569.0</v>
      </c>
      <c r="K107" s="88" t="str">
        <f>HYPERLINK("https://amzn.to/2YGO9te","link*")</f>
        <v>link*</v>
      </c>
      <c r="L107" s="88" t="str">
        <f>HYPERLINK("https://www.bhphotovideo.com/c/product/1393483-REG/sigma_70mm_f_2_8_dg_macro.html/BI/19619/KBID/12129/DFF/d10-v21-t1-x895111/SID/EZ","link*")</f>
        <v>link*</v>
      </c>
      <c r="M107" s="89" t="s">
        <v>33</v>
      </c>
      <c r="N107" s="88"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107" s="83">
        <v>26.0</v>
      </c>
      <c r="P107" s="84" t="s">
        <v>26</v>
      </c>
      <c r="Q107" s="81">
        <v>9.0</v>
      </c>
      <c r="R107" s="123">
        <v>43751.0</v>
      </c>
      <c r="S107" s="81" t="s">
        <v>41</v>
      </c>
      <c r="T107" s="86">
        <v>43221.0</v>
      </c>
      <c r="U107" s="68" t="s">
        <v>42</v>
      </c>
    </row>
    <row r="108">
      <c r="A108" s="75" t="s">
        <v>113</v>
      </c>
      <c r="B108" s="76">
        <v>1480.0</v>
      </c>
      <c r="C108" s="122">
        <v>70.0</v>
      </c>
      <c r="D108" s="78">
        <v>2.8</v>
      </c>
      <c r="E108" s="144">
        <v>88.0</v>
      </c>
      <c r="F108" s="145">
        <v>200.0</v>
      </c>
      <c r="G108" s="81" t="s">
        <v>30</v>
      </c>
      <c r="H108" s="82" t="s">
        <v>56</v>
      </c>
      <c r="I108" s="185">
        <v>0.25</v>
      </c>
      <c r="J108" s="87">
        <v>2599.0</v>
      </c>
      <c r="K108" s="88" t="str">
        <f>HYPERLINK("https://amzn.to/2KbaJGn","link*")</f>
        <v>link*</v>
      </c>
      <c r="L108" s="88" t="str">
        <f>HYPERLINK("https://www.bhphotovideo.com/c/product/1222776-REG/sony_sel70200gm_fe_70_200mm_f_2_8_gm.html/BI/19619/KBID/12129/DFF/d10-v21-t1-x746807/SID/EZ","link*")</f>
        <v>link*</v>
      </c>
      <c r="M108" s="89" t="s">
        <v>33</v>
      </c>
      <c r="N108"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108" s="83">
        <v>96.0</v>
      </c>
      <c r="P108" s="154" t="s">
        <v>49</v>
      </c>
      <c r="Q108" s="81">
        <v>11.0</v>
      </c>
      <c r="R108" s="85" t="s">
        <v>114</v>
      </c>
      <c r="S108" s="81" t="s">
        <v>32</v>
      </c>
      <c r="T108" s="86">
        <v>42401.0</v>
      </c>
    </row>
    <row r="109">
      <c r="A109" s="75" t="s">
        <v>117</v>
      </c>
      <c r="B109" s="76">
        <v>854.0</v>
      </c>
      <c r="C109" s="122">
        <v>70.0</v>
      </c>
      <c r="D109" s="78" t="s">
        <v>118</v>
      </c>
      <c r="E109" s="144">
        <v>84.0</v>
      </c>
      <c r="F109" s="145">
        <v>144.0</v>
      </c>
      <c r="G109" s="81" t="s">
        <v>30</v>
      </c>
      <c r="H109" s="82" t="s">
        <v>48</v>
      </c>
      <c r="I109" s="140">
        <v>0.31</v>
      </c>
      <c r="J109" s="87">
        <v>1198.0</v>
      </c>
      <c r="K109" s="88" t="str">
        <f>HYPERLINK("https://amzn.to/2SVN1Ao","link*")</f>
        <v>link*</v>
      </c>
      <c r="L109" s="88" t="str">
        <f>HYPERLINK("https://www.bhphotovideo.com/c/product/1242614-REG/sony_sel70300g_fe_70_300mm_f_4_5_5_6_g.html/BI/19619/KBID/12129/DFF/d10-v21-t1-x722726/SID/EZ","link*")</f>
        <v>link*</v>
      </c>
      <c r="M109" s="89" t="s">
        <v>33</v>
      </c>
      <c r="N109"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109" s="83">
        <v>90.0</v>
      </c>
      <c r="P109" s="154" t="s">
        <v>49</v>
      </c>
      <c r="Q109" s="81">
        <v>9.0</v>
      </c>
      <c r="R109" s="85" t="s">
        <v>52</v>
      </c>
      <c r="S109" s="81" t="s">
        <v>32</v>
      </c>
      <c r="T109" s="86">
        <v>42430.0</v>
      </c>
    </row>
    <row r="110">
      <c r="A110" s="131" t="str">
        <f>HYPERLINK("https://phillipreeve.net/blog/review-sony-fe-470-200-g-oss/https://phillipreeve.net/blog/review-sony-fe-470-200-g-oss/","Sony G 4/70-200 OSS")</f>
        <v>Sony G 4/70-200 OSS</v>
      </c>
      <c r="B110" s="76">
        <v>840.0</v>
      </c>
      <c r="C110" s="122">
        <v>70.0</v>
      </c>
      <c r="D110" s="78">
        <v>4.0</v>
      </c>
      <c r="E110" s="144">
        <v>80.0</v>
      </c>
      <c r="F110" s="145">
        <v>175.0</v>
      </c>
      <c r="G110" s="81" t="s">
        <v>30</v>
      </c>
      <c r="H110" s="82" t="s">
        <v>48</v>
      </c>
      <c r="I110" s="81">
        <v>0.18</v>
      </c>
      <c r="J110" s="87">
        <v>1498.0</v>
      </c>
      <c r="K110" s="88" t="str">
        <f>HYPERLINK("http://amzn.to/2fbeX3x","link*")</f>
        <v>link*</v>
      </c>
      <c r="L110" s="88" t="str">
        <f>HYPERLINK("https://www.bhphotovideo.com/c/product/1380865-REG/sony_fe_70_200mm_f_4_g.html/BI/19619/KBID/12129/kw/SO702004F/DFF/d10-v2-t1-xSO702004F","link*")</f>
        <v>link*</v>
      </c>
      <c r="M110" s="88" t="str">
        <f>HYPERLINK("http://amzn.to/2vbFQKj","link*")</f>
        <v>link*</v>
      </c>
      <c r="N110"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110" s="83">
        <v>100.0</v>
      </c>
      <c r="P110" s="154" t="s">
        <v>49</v>
      </c>
      <c r="Q110" s="81">
        <v>9.0</v>
      </c>
      <c r="R110" s="85" t="s">
        <v>121</v>
      </c>
      <c r="S110" s="81" t="s">
        <v>32</v>
      </c>
      <c r="T110" s="86">
        <v>41548.0</v>
      </c>
    </row>
    <row r="111">
      <c r="A111" s="131" t="str">
        <f>HYPERLINK("https://phillipreeve.net/blog/review-sony-fe-85mm-1-4-gm/","Sony GM 1.4/85")</f>
        <v>Sony GM 1.4/85</v>
      </c>
      <c r="B111" s="76">
        <v>854.0</v>
      </c>
      <c r="C111" s="122">
        <v>85.0</v>
      </c>
      <c r="D111" s="78">
        <v>1.4</v>
      </c>
      <c r="E111" s="144">
        <v>84.0</v>
      </c>
      <c r="F111" s="145">
        <v>108.0</v>
      </c>
      <c r="G111" s="81" t="s">
        <v>30</v>
      </c>
      <c r="H111" s="82" t="s">
        <v>56</v>
      </c>
      <c r="I111" s="81">
        <v>0.12</v>
      </c>
      <c r="J111" s="87">
        <v>1799.0</v>
      </c>
      <c r="K111" s="88" t="str">
        <f>HYPERLINK("https://amzn.to/2SZeKAh","link*")</f>
        <v>link*</v>
      </c>
      <c r="L111" s="88" t="str">
        <f>HYPERLINK("https://www.bhphotovideo.com/c/product/1222775-REG/sony_sel85f14gm_fe_85mm_f_1_4_gm.html/BI/19619/KBID/12129/DFF/d10-v21-t1-x707644/SID/EZ","link*")</f>
        <v>link*</v>
      </c>
      <c r="M111" s="89" t="s">
        <v>33</v>
      </c>
      <c r="N111"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111" s="83">
        <v>80.0</v>
      </c>
      <c r="P111" s="84" t="s">
        <v>26</v>
      </c>
      <c r="Q111" s="81">
        <v>11.0</v>
      </c>
      <c r="R111" s="123">
        <v>43688.0</v>
      </c>
      <c r="S111" s="81" t="s">
        <v>32</v>
      </c>
      <c r="T111" s="86">
        <v>42401.0</v>
      </c>
    </row>
    <row r="112" hidden="1">
      <c r="A112" s="75" t="s">
        <v>123</v>
      </c>
      <c r="B112" s="76">
        <v>1130.0</v>
      </c>
      <c r="C112" s="122">
        <v>85.0</v>
      </c>
      <c r="D112" s="78">
        <v>1.4</v>
      </c>
      <c r="E112" s="144">
        <v>95.0</v>
      </c>
      <c r="F112" s="145">
        <v>152.0</v>
      </c>
      <c r="G112" s="81" t="s">
        <v>30</v>
      </c>
      <c r="H112" s="232" t="s">
        <v>124</v>
      </c>
      <c r="I112" s="81">
        <v>0.12</v>
      </c>
      <c r="J112" s="87">
        <v>1199.0</v>
      </c>
      <c r="K112" s="88" t="str">
        <f>HYPERLINK("https://amzn.to/2MBd68k","link*")</f>
        <v>link*</v>
      </c>
      <c r="L112" s="88" t="str">
        <f>HYPERLINK("https://www.bhphotovideo.com/c/product/1393494-REG/sigma_85mm_f_1_4_dg_hsm.html/BI/19619/KBID/12129/kw/SI8514SO/DFF/d10-v2-t1-xSI8514SO","link*")</f>
        <v>link*</v>
      </c>
      <c r="M112" s="88" t="str">
        <f>HYPERLINK("https://amzn.to/2Wto6JH","link*")</f>
        <v>link*</v>
      </c>
      <c r="N112"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112" s="83">
        <v>85.0</v>
      </c>
      <c r="P112" s="84" t="s">
        <v>26</v>
      </c>
      <c r="Q112" s="81">
        <v>9.0</v>
      </c>
      <c r="R112" s="123">
        <v>43724.0</v>
      </c>
      <c r="S112" s="81" t="s">
        <v>41</v>
      </c>
      <c r="T112" s="86">
        <v>43221.0</v>
      </c>
      <c r="U112" s="68" t="s">
        <v>42</v>
      </c>
    </row>
    <row r="113" hidden="1">
      <c r="A113" s="75" t="s">
        <v>125</v>
      </c>
      <c r="B113" s="76">
        <v>568.0</v>
      </c>
      <c r="C113" s="122">
        <v>85.0</v>
      </c>
      <c r="D113" s="78">
        <v>1.4</v>
      </c>
      <c r="E113" s="144">
        <v>88.0</v>
      </c>
      <c r="F113" s="145">
        <v>100.0</v>
      </c>
      <c r="G113" s="81" t="s">
        <v>30</v>
      </c>
      <c r="H113" s="82" t="s">
        <v>56</v>
      </c>
      <c r="I113" s="81">
        <v>0.11</v>
      </c>
      <c r="J113" s="153">
        <v>699.0</v>
      </c>
      <c r="K113" s="88" t="str">
        <f>HYPERLINK("https://amzn.to/2T0yJ1A","link*")</f>
        <v>link*</v>
      </c>
      <c r="L113" s="88" t="str">
        <f>HYPERLINK("https://www.bhphotovideo.com/c/product/1470654-REG/samyang_syio85af_e_af_85mm_f_1_4_lens.html/BI/19619/KBID/12129/DFF/d10-v21-t1-x955078/SID/EZ","link*")</f>
        <v>link*</v>
      </c>
      <c r="M113" s="89" t="s">
        <v>33</v>
      </c>
      <c r="N113"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113" s="83">
        <v>90.0</v>
      </c>
      <c r="P113" s="84" t="s">
        <v>26</v>
      </c>
      <c r="Q113" s="81">
        <v>9.0</v>
      </c>
      <c r="R113" s="123">
        <v>43688.0</v>
      </c>
      <c r="S113" s="81" t="s">
        <v>46</v>
      </c>
      <c r="T113" s="86">
        <v>43586.0</v>
      </c>
    </row>
    <row r="114">
      <c r="A114" s="131" t="str">
        <f>HYPERLINK("https://phillipreeve.net/blog/review-sony-fe-85-mm-1-8/","Sony FE 85mm f/1.8")</f>
        <v>Sony FE 85mm f/1.8</v>
      </c>
      <c r="B114" s="76">
        <v>371.0</v>
      </c>
      <c r="C114" s="122">
        <v>85.0</v>
      </c>
      <c r="D114" s="78">
        <v>1.8</v>
      </c>
      <c r="E114" s="144">
        <v>77.0</v>
      </c>
      <c r="F114" s="145">
        <v>82.0</v>
      </c>
      <c r="G114" s="81" t="s">
        <v>30</v>
      </c>
      <c r="H114" s="82" t="s">
        <v>53</v>
      </c>
      <c r="I114" s="81">
        <v>0.13</v>
      </c>
      <c r="J114" s="153">
        <v>599.0</v>
      </c>
      <c r="K114" s="88" t="str">
        <f>HYPERLINK("https://amzn.to/2YB4RxU","link*")</f>
        <v>link*</v>
      </c>
      <c r="L114" s="88" t="str">
        <f t="shared" ref="L114:L115" si="3">HYPERLINK("https://www.bhphotovideo.com/c/product/1140833-REG/zeiss_2103_751_85mm_f_1_8_batis_short.html/BI/19619/KBID/12129/DFF/d10-v21-t1-x627139/SID/EZ","link*")</f>
        <v>link*</v>
      </c>
      <c r="M114" s="89" t="s">
        <v>33</v>
      </c>
      <c r="N114"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114" s="83">
        <v>80.0</v>
      </c>
      <c r="P114" s="84" t="s">
        <v>26</v>
      </c>
      <c r="Q114" s="81">
        <v>9.0</v>
      </c>
      <c r="R114" s="123">
        <v>43686.0</v>
      </c>
      <c r="S114" s="81" t="s">
        <v>32</v>
      </c>
      <c r="T114" s="86">
        <v>42767.0</v>
      </c>
    </row>
    <row r="115" hidden="1">
      <c r="A115" s="131" t="str">
        <f>HYPERLINK("https://phillipreeve.net/blog/zeiss-batis-sonnar-t-85mm-f1-8-a-review/","Zeiss Batis 1.8/85")</f>
        <v>Zeiss Batis 1.8/85</v>
      </c>
      <c r="B115" s="76">
        <v>475.0</v>
      </c>
      <c r="C115" s="122">
        <v>85.0</v>
      </c>
      <c r="D115" s="78">
        <v>1.8</v>
      </c>
      <c r="E115" s="144">
        <v>92.0</v>
      </c>
      <c r="F115" s="145">
        <v>81.0</v>
      </c>
      <c r="G115" s="81" t="s">
        <v>30</v>
      </c>
      <c r="H115" s="82" t="s">
        <v>53</v>
      </c>
      <c r="I115" s="81">
        <v>0.13</v>
      </c>
      <c r="J115" s="87">
        <v>1199.0</v>
      </c>
      <c r="K115" s="88" t="str">
        <f>HYPERLINK("https://amzn.to/2T8oWqt","link*")</f>
        <v>link*</v>
      </c>
      <c r="L115" s="88" t="str">
        <f t="shared" si="3"/>
        <v>link*</v>
      </c>
      <c r="M115" s="89" t="s">
        <v>33</v>
      </c>
      <c r="N115"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115" s="83">
        <v>80.0</v>
      </c>
      <c r="P115" s="154" t="s">
        <v>49</v>
      </c>
      <c r="Q115" s="81">
        <v>9.0</v>
      </c>
      <c r="R115" s="123">
        <v>43688.0</v>
      </c>
      <c r="S115" s="81" t="s">
        <v>58</v>
      </c>
      <c r="T115" s="86">
        <v>42125.0</v>
      </c>
    </row>
    <row r="116" hidden="1">
      <c r="A116" s="75" t="s">
        <v>129</v>
      </c>
      <c r="B116" s="76">
        <v>665.0</v>
      </c>
      <c r="C116" s="122">
        <v>85.0</v>
      </c>
      <c r="D116" s="78">
        <v>1.8</v>
      </c>
      <c r="E116" s="144">
        <v>79.0</v>
      </c>
      <c r="F116" s="145">
        <v>92.0</v>
      </c>
      <c r="G116" s="81" t="s">
        <v>24</v>
      </c>
      <c r="H116" s="82" t="s">
        <v>48</v>
      </c>
      <c r="I116" s="81">
        <v>0.13</v>
      </c>
      <c r="J116" s="87">
        <v>299.0</v>
      </c>
      <c r="K116" s="88" t="str">
        <f>HYPERLINK("https://amzn.to/2LVVOBV","link*")</f>
        <v>link*</v>
      </c>
      <c r="L116" s="88" t="str">
        <f>HYPERLINK("https://www.bhphotovideo.com/c/product/1469189-REG/viltrox_pfu_rbmh_85mm_f1_8_e_mount_85mm_f_1_8_for_sony.html/BI/19619/KBID/12129/DFF/d10-v21-t1-x954301/SID/EZ","link*")</f>
        <v>link*</v>
      </c>
      <c r="M116" s="89" t="s">
        <v>33</v>
      </c>
      <c r="N116"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116" s="83">
        <v>80.0</v>
      </c>
      <c r="P116" s="84" t="s">
        <v>26</v>
      </c>
      <c r="Q116" s="81">
        <v>9.0</v>
      </c>
      <c r="R116" s="123">
        <v>43656.0</v>
      </c>
      <c r="S116" s="81" t="s">
        <v>63</v>
      </c>
      <c r="T116" s="646">
        <v>43586.0</v>
      </c>
      <c r="U116" s="68" t="s">
        <v>236</v>
      </c>
    </row>
    <row r="117" hidden="1">
      <c r="A117" s="75" t="s">
        <v>229</v>
      </c>
      <c r="B117" s="76">
        <v>636.0</v>
      </c>
      <c r="C117" s="122">
        <v>85.0</v>
      </c>
      <c r="D117" s="78">
        <v>1.8</v>
      </c>
      <c r="E117" s="144">
        <v>79.0</v>
      </c>
      <c r="F117" s="145">
        <v>92.0</v>
      </c>
      <c r="G117" s="81" t="s">
        <v>30</v>
      </c>
      <c r="H117" s="82" t="s">
        <v>48</v>
      </c>
      <c r="I117" s="81">
        <v>0.13</v>
      </c>
      <c r="J117" s="87">
        <v>379.0</v>
      </c>
      <c r="K117" s="88" t="str">
        <f>HYPERLINK("https://amzn.to/2SZfd5v","link*")</f>
        <v>link*</v>
      </c>
      <c r="L117" s="88" t="str">
        <f>HYPERLINK("https://www.bhphotovideo.com/c/product/1470585-REG/viltrox_pfu_rbmh_85mm_f1_8_stm_e_mount_85mm_f_1_8_lens_for.html/BI/19619/KBID/12129/DFF/d10-v21-t1-x955239/SID/EZ","link*")</f>
        <v>link*</v>
      </c>
      <c r="M117" s="89" t="s">
        <v>33</v>
      </c>
      <c r="N117"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117" s="83">
        <v>80.0</v>
      </c>
      <c r="P117" s="84" t="s">
        <v>26</v>
      </c>
      <c r="Q117" s="81">
        <v>9.0</v>
      </c>
      <c r="R117" s="123">
        <v>43656.0</v>
      </c>
      <c r="S117" s="81" t="s">
        <v>63</v>
      </c>
      <c r="T117" s="86">
        <v>43586.0</v>
      </c>
    </row>
    <row r="118" hidden="1">
      <c r="A118" s="131" t="str">
        <f>HYPERLINK("https://phillipreeve.net/blog/rolling-review-zeiss-loxia-85mm-2-4/","Zeiss Loxia 2.4/85")</f>
        <v>Zeiss Loxia 2.4/85</v>
      </c>
      <c r="B118" s="76">
        <v>594.0</v>
      </c>
      <c r="C118" s="122">
        <v>85.0</v>
      </c>
      <c r="D118" s="78">
        <v>2.4</v>
      </c>
      <c r="E118" s="144">
        <v>63.0</v>
      </c>
      <c r="F118" s="145">
        <v>95.0</v>
      </c>
      <c r="G118" s="81" t="s">
        <v>24</v>
      </c>
      <c r="H118" s="82" t="s">
        <v>71</v>
      </c>
      <c r="I118" s="81">
        <v>0.14</v>
      </c>
      <c r="J118" s="87">
        <v>1399.0</v>
      </c>
      <c r="K118" s="88" t="str">
        <f>HYPERLINK("https://amzn.to/2SY4PLd","link*")</f>
        <v>link*</v>
      </c>
      <c r="L118" s="88" t="str">
        <f>HYPERLINK("https://www.bhphotovideo.com/c/product/1282150-REG/zeiss_2162_636_loxia_85mm_f_2_4_lens.html/BI/19619/KBID/12129/DFF/d10-v21-t1-x762761/SID/EZ","link*")</f>
        <v>link*</v>
      </c>
      <c r="M118" s="89" t="s">
        <v>33</v>
      </c>
      <c r="N118"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118" s="83">
        <v>80.0</v>
      </c>
      <c r="P118" s="84" t="s">
        <v>26</v>
      </c>
      <c r="Q118" s="81">
        <v>10.0</v>
      </c>
      <c r="R118" s="123">
        <v>43653.0</v>
      </c>
      <c r="S118" s="81" t="s">
        <v>58</v>
      </c>
      <c r="T118" s="86">
        <v>42644.0</v>
      </c>
    </row>
    <row r="119">
      <c r="A119" s="131" t="str">
        <f>HYPERLINK("https://phillipreeve.net/blog/review-sony-fe-90mm-f2-8-macro-oss-one-of-sonys-finest/","Sony 2.8/90 G OSS")</f>
        <v>Sony 2.8/90 G OSS</v>
      </c>
      <c r="B119" s="76">
        <v>602.0</v>
      </c>
      <c r="C119" s="122">
        <v>90.0</v>
      </c>
      <c r="D119" s="78">
        <v>2.8</v>
      </c>
      <c r="E119" s="144">
        <v>79.0</v>
      </c>
      <c r="F119" s="145">
        <v>131.0</v>
      </c>
      <c r="G119" s="81" t="s">
        <v>30</v>
      </c>
      <c r="H119" s="82" t="s">
        <v>66</v>
      </c>
      <c r="I119" s="259">
        <v>1.0</v>
      </c>
      <c r="J119" s="87">
        <v>1099.0</v>
      </c>
      <c r="K119" s="88" t="str">
        <f>HYPERLINK("http://amzn.to/2fbeX3x","link*")</f>
        <v>link*</v>
      </c>
      <c r="L119" s="88" t="str">
        <f>HYPERLINK("https://www.bhphotovideo.com/c/product/1380868-REG/sony_fe_90mm_f_2_8_macro.html/BI/19619/KBID/12129/kw/SO9028F/DFF/d10-v2-t1-xSO9028F","link*")</f>
        <v>link*</v>
      </c>
      <c r="M119" s="88" t="str">
        <f>HYPERLINK("http://amzn.to/2vvvHcw","link*")</f>
        <v>link*</v>
      </c>
      <c r="N119"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19" s="83">
        <v>28.0</v>
      </c>
      <c r="P119" s="154" t="s">
        <v>49</v>
      </c>
      <c r="Q119" s="81">
        <v>9.0</v>
      </c>
      <c r="R119" s="123">
        <v>43784.0</v>
      </c>
      <c r="S119" s="81" t="s">
        <v>32</v>
      </c>
      <c r="T119" s="86">
        <v>42064.0</v>
      </c>
    </row>
    <row r="120">
      <c r="A120" s="131" t="str">
        <f>HYPERLINK("https://phillipreeve.net/blog/review-sony-fe-100-f-2-8-stf-gm-oss-lens/","Sony GM 2.8/100 STF OSS")</f>
        <v>Sony GM 2.8/100 STF OSS</v>
      </c>
      <c r="B120" s="76">
        <v>700.0</v>
      </c>
      <c r="C120" s="122">
        <v>100.0</v>
      </c>
      <c r="D120" s="78">
        <v>2.8</v>
      </c>
      <c r="E120" s="144">
        <v>85.0</v>
      </c>
      <c r="F120" s="145">
        <v>118.0</v>
      </c>
      <c r="G120" s="81" t="s">
        <v>30</v>
      </c>
      <c r="H120" s="82" t="s">
        <v>48</v>
      </c>
      <c r="I120" s="185">
        <v>0.25</v>
      </c>
      <c r="J120" s="87">
        <v>1499.0</v>
      </c>
      <c r="K120" s="88" t="str">
        <f>HYPERLINK("https://amzn.to/2YD8rn4","link*")</f>
        <v>link*</v>
      </c>
      <c r="L120" s="88" t="str">
        <f>HYPERLINK("https://www.bhphotovideo.com/c/product/1317561-REG/sony_sel100f28gm_fe_100mm_f_2_8_stf.html/BI/19619/KBID/12129/DFF/d10-v21-t1-x795192/SID/EZ","link*")</f>
        <v>link*</v>
      </c>
      <c r="M120" s="89" t="s">
        <v>33</v>
      </c>
      <c r="N120"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120" s="83">
        <v>57.0</v>
      </c>
      <c r="P120" s="154" t="s">
        <v>49</v>
      </c>
      <c r="Q120" s="81">
        <v>11.0</v>
      </c>
      <c r="R120" s="123">
        <v>43752.0</v>
      </c>
      <c r="S120" s="81" t="s">
        <v>32</v>
      </c>
      <c r="T120" s="86">
        <v>42767.0</v>
      </c>
      <c r="U120" s="68" t="s">
        <v>132</v>
      </c>
    </row>
    <row r="121" hidden="1">
      <c r="A121" s="131" t="str">
        <f>HYPERLINK("https://phillipreeve.net/blog/review-tokina-firin-100mm-f2-8-fe-macro/","Tokina Firin 2.8/100 Macro")</f>
        <v>Tokina Firin 2.8/100 Macro</v>
      </c>
      <c r="B121" s="76">
        <v>570.0</v>
      </c>
      <c r="C121" s="122">
        <v>100.0</v>
      </c>
      <c r="D121" s="78">
        <v>2.8</v>
      </c>
      <c r="E121" s="144">
        <v>74.0</v>
      </c>
      <c r="F121" s="151">
        <v>123.0</v>
      </c>
      <c r="G121" s="81" t="s">
        <v>30</v>
      </c>
      <c r="H121" s="82" t="s">
        <v>90</v>
      </c>
      <c r="I121" s="259">
        <v>1.0</v>
      </c>
      <c r="J121" s="129">
        <v>599.0</v>
      </c>
      <c r="K121" s="88" t="str">
        <f>HYPERLINK("http://amzn.to/2fbeX3x","link*")</f>
        <v>link*</v>
      </c>
      <c r="L121" s="88" t="str">
        <f>HYPERLINK("https://www.bhphotovideo.com/c/product/1473390-REG/tokina_frn_afm100fxse_firin_100mm_f_2_8_fe.html/BI/19619/KBID/12129/kw/TO100AF/DFF/d10-v2-t1-xTO100AF","link*")</f>
        <v>link*</v>
      </c>
      <c r="M121"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121"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21" s="83">
        <v>30.0</v>
      </c>
      <c r="P121" s="84" t="s">
        <v>26</v>
      </c>
      <c r="Q121" s="81">
        <v>9.0</v>
      </c>
      <c r="R121" s="123">
        <v>43686.0</v>
      </c>
      <c r="S121" s="81" t="s">
        <v>67</v>
      </c>
      <c r="T121" s="86">
        <v>43617.0</v>
      </c>
      <c r="U121" s="68" t="s">
        <v>42</v>
      </c>
    </row>
    <row r="122">
      <c r="A122" s="75" t="s">
        <v>135</v>
      </c>
      <c r="B122" s="76">
        <v>1395.0</v>
      </c>
      <c r="C122" s="122">
        <v>100.0</v>
      </c>
      <c r="D122" s="78" t="s">
        <v>118</v>
      </c>
      <c r="E122" s="144">
        <v>94.0</v>
      </c>
      <c r="F122" s="151">
        <v>205.0</v>
      </c>
      <c r="G122" s="81" t="s">
        <v>30</v>
      </c>
      <c r="H122" s="82" t="s">
        <v>56</v>
      </c>
      <c r="I122" s="185">
        <v>0.35</v>
      </c>
      <c r="J122" s="87">
        <v>2499.0</v>
      </c>
      <c r="K122" s="88" t="str">
        <f>HYPERLINK("https://amzn.to/2SZ0aZO","link*")</f>
        <v>link*</v>
      </c>
      <c r="L122" s="88" t="str">
        <f>HYPERLINK("https://www.bhphotovideo.com/c/product/1333230-REG/sony_sel100400gm_fe_100_400mm_f_4_5_5_6_gm.html/BI/19619/KBID/12129/DFF/d10-v21-t1-x817745/SID/EZ","link*")</f>
        <v>link*</v>
      </c>
      <c r="M122" s="89" t="s">
        <v>33</v>
      </c>
      <c r="N122"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122" s="83">
        <v>98.0</v>
      </c>
      <c r="P122" s="154" t="s">
        <v>49</v>
      </c>
      <c r="Q122" s="81">
        <v>11.0</v>
      </c>
      <c r="R122" s="85" t="s">
        <v>134</v>
      </c>
      <c r="S122" s="81" t="s">
        <v>32</v>
      </c>
      <c r="T122" s="86">
        <v>42826.0</v>
      </c>
    </row>
    <row r="123" hidden="1">
      <c r="A123" s="75" t="s">
        <v>136</v>
      </c>
      <c r="B123" s="76">
        <v>1600.0</v>
      </c>
      <c r="C123" s="122">
        <v>105.0</v>
      </c>
      <c r="D123" s="78">
        <v>1.4</v>
      </c>
      <c r="E123" s="144">
        <v>116.0</v>
      </c>
      <c r="F123" s="151">
        <v>132.0</v>
      </c>
      <c r="G123" s="81" t="s">
        <v>30</v>
      </c>
      <c r="H123" s="384" t="s">
        <v>137</v>
      </c>
      <c r="I123" s="81">
        <v>0.12</v>
      </c>
      <c r="J123" s="87">
        <v>1599.0</v>
      </c>
      <c r="K123" s="88" t="str">
        <f>HYPERLINK("https://amzn.to/2EWeThZ","link*")</f>
        <v>link*</v>
      </c>
      <c r="L123" s="88" t="str">
        <f>HYPERLINK("https://www.bhphotovideo.com/c/product/1393488-REG/sigma_105mm_f_1_4_dg_hsm.html/BI/19619/KBID/12129/kw/SI10514SO/DFF/d10-v2-t1-xSI10514SO","link*")</f>
        <v>link*</v>
      </c>
      <c r="M123" s="88" t="str">
        <f>HYPERLINK("https://amzn.to/2WpOvTy","link*")</f>
        <v>link*</v>
      </c>
      <c r="N123"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123" s="83">
        <v>100.0</v>
      </c>
      <c r="P123" s="84" t="s">
        <v>26</v>
      </c>
      <c r="Q123" s="81">
        <v>9.0</v>
      </c>
      <c r="R123" s="123">
        <v>43816.0</v>
      </c>
      <c r="S123" s="81" t="s">
        <v>138</v>
      </c>
      <c r="T123" s="86">
        <v>43221.0</v>
      </c>
      <c r="U123" s="68" t="s">
        <v>42</v>
      </c>
    </row>
    <row r="124" hidden="1">
      <c r="A124" s="131" t="str">
        <f>HYPERLINK("https://phillipreeve.net/blog/voigtlander-110mm-f2-5-apo-review/","Voigtlander 110mm F2.5 APO Macro")</f>
        <v>Voigtlander 110mm F2.5 APO Macro</v>
      </c>
      <c r="B124" s="76">
        <v>771.0</v>
      </c>
      <c r="C124" s="122">
        <v>110.0</v>
      </c>
      <c r="D124" s="78">
        <v>2.5</v>
      </c>
      <c r="E124" s="144">
        <v>78.0</v>
      </c>
      <c r="F124" s="145">
        <v>100.0</v>
      </c>
      <c r="G124" s="81" t="s">
        <v>24</v>
      </c>
      <c r="H124" s="82" t="s">
        <v>47</v>
      </c>
      <c r="I124" s="259">
        <v>1.0</v>
      </c>
      <c r="J124" s="87">
        <v>1099.0</v>
      </c>
      <c r="K124" s="88" t="str">
        <f>HYPERLINK("https://amzn.to/2SXYsrm","link*")</f>
        <v>link*</v>
      </c>
      <c r="L124" s="88" t="str">
        <f>HYPERLINK("https://www.bhphotovideo.com/c/product/1418780-REG/voigtlander_ba349a_macro_apo_lanthar_110mm_f_2_5.html/BI/19619/KBID/12129/kw/VO11025/DFF/d10-v2-t1-xVO11025","link*")</f>
        <v>link*</v>
      </c>
      <c r="M124" s="89" t="s">
        <v>33</v>
      </c>
      <c r="N124"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124" s="83">
        <v>35.0</v>
      </c>
      <c r="P124" s="84" t="s">
        <v>26</v>
      </c>
      <c r="Q124" s="81">
        <v>10.0</v>
      </c>
      <c r="R124" s="123">
        <v>43813.0</v>
      </c>
      <c r="S124" s="81" t="s">
        <v>28</v>
      </c>
      <c r="T124" s="86">
        <v>43405.0</v>
      </c>
    </row>
    <row r="125">
      <c r="A125" s="131" t="str">
        <f>HYPERLINK("https://phillipreeve.net/blog/review-sony-fe-135mm-f1-8-gm/","Sony 1.8/135 GM")</f>
        <v>Sony 1.8/135 GM</v>
      </c>
      <c r="B125" s="76">
        <v>950.0</v>
      </c>
      <c r="C125" s="122">
        <v>135.0</v>
      </c>
      <c r="D125" s="78">
        <v>1.8</v>
      </c>
      <c r="E125" s="144">
        <v>90.0</v>
      </c>
      <c r="F125" s="145">
        <v>127.0</v>
      </c>
      <c r="G125" s="81" t="s">
        <v>30</v>
      </c>
      <c r="H125" s="270" t="s">
        <v>51</v>
      </c>
      <c r="I125" s="185">
        <v>0.25</v>
      </c>
      <c r="J125" s="87">
        <v>1899.0</v>
      </c>
      <c r="K125" s="88" t="str">
        <f>HYPERLINK("https://amzn.to/2WtonMJ","link*")</f>
        <v>link*</v>
      </c>
      <c r="L125" s="88" t="str">
        <f>HYPERLINK("https://www.bhphotovideo.com/c/product/1393495-REG/sigma_135mm_f_1_8_dg_hsm.html/BI/19619/KBID/12129/kw/SI13518SO/DFF/d10-v2-t1-xSI13518SO","link*")</f>
        <v>link*</v>
      </c>
      <c r="M125" s="88" t="str">
        <f>HYPERLINK("https://amzn.to/2Z9KKDE","link*")</f>
        <v>link*</v>
      </c>
      <c r="N125"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125" s="83">
        <v>70.0</v>
      </c>
      <c r="P125" s="84" t="s">
        <v>26</v>
      </c>
      <c r="Q125" s="81">
        <v>11.0</v>
      </c>
      <c r="R125" s="123">
        <v>43751.0</v>
      </c>
      <c r="S125" s="81" t="s">
        <v>32</v>
      </c>
      <c r="T125" s="86">
        <v>43525.0</v>
      </c>
    </row>
    <row r="126" hidden="1">
      <c r="A126" s="75" t="s">
        <v>142</v>
      </c>
      <c r="B126" s="76">
        <v>1130.0</v>
      </c>
      <c r="C126" s="122">
        <v>135.0</v>
      </c>
      <c r="D126" s="78">
        <v>1.8</v>
      </c>
      <c r="E126" s="144">
        <v>91.0</v>
      </c>
      <c r="F126" s="145">
        <v>115.0</v>
      </c>
      <c r="G126" s="81" t="s">
        <v>30</v>
      </c>
      <c r="H126" s="270" t="s">
        <v>51</v>
      </c>
      <c r="I126" s="81">
        <v>0.2</v>
      </c>
      <c r="J126" s="129">
        <v>1399.0</v>
      </c>
      <c r="K126" s="88" t="str">
        <f>HYPERLINK("https://amzn.to/2yxIM4R","link*")</f>
        <v>link*</v>
      </c>
      <c r="L126" s="88" t="str">
        <f>HYPERLINK("https://www.bhphotovideo.com/c/product/1393495-REG/sigma_135mm_f_1_8_dg_hsm.html/BI/19619/KBID/12129/DFF/d10-v21-t1-x881160/SID/EZ","link*")</f>
        <v>link*</v>
      </c>
      <c r="M126" s="89" t="s">
        <v>33</v>
      </c>
      <c r="N126"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126" s="83">
        <v>87.0</v>
      </c>
      <c r="P126" s="84" t="s">
        <v>26</v>
      </c>
      <c r="Q126" s="81">
        <v>9.0</v>
      </c>
      <c r="R126" s="123">
        <v>43751.0</v>
      </c>
      <c r="S126" s="81" t="s">
        <v>41</v>
      </c>
      <c r="T126" s="86">
        <v>43221.0</v>
      </c>
      <c r="U126" s="68" t="s">
        <v>42</v>
      </c>
    </row>
    <row r="127" hidden="1">
      <c r="A127" s="131" t="str">
        <f>HYPERLINK("https://phillipreeve.net/blog/zeiss-batis-apo-sonnar-t-135mm-f2-8/","Zeiss 2.8/135 APO")</f>
        <v>Zeiss 2.8/135 APO</v>
      </c>
      <c r="B127" s="76">
        <v>614.0</v>
      </c>
      <c r="C127" s="122">
        <v>135.0</v>
      </c>
      <c r="D127" s="78">
        <v>2.8</v>
      </c>
      <c r="E127" s="144">
        <v>99.0</v>
      </c>
      <c r="F127" s="145">
        <v>120.0</v>
      </c>
      <c r="G127" s="81" t="s">
        <v>30</v>
      </c>
      <c r="H127" s="82" t="s">
        <v>53</v>
      </c>
      <c r="I127" s="81">
        <v>0.19</v>
      </c>
      <c r="J127" s="87">
        <v>1699.0</v>
      </c>
      <c r="K127" s="88" t="str">
        <f>HYPERLINK("https://amzn.to/319GJA4","link*")</f>
        <v>link*</v>
      </c>
      <c r="L127" s="88" t="str">
        <f>HYPERLINK("https://www.bhphotovideo.com/c/product/1330083-REG/zeiss_2136_695_batis_135mm_f_2_8_lens.html/BI/19619/KBID/12129/DFF/d10-v21-t1-x814884/SID/EZ","link*")</f>
        <v>link*</v>
      </c>
      <c r="M127" s="89" t="s">
        <v>33</v>
      </c>
      <c r="N127"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127" s="83">
        <v>87.0</v>
      </c>
      <c r="P127" s="154" t="s">
        <v>49</v>
      </c>
      <c r="Q127" s="81">
        <v>9.0</v>
      </c>
      <c r="R127" s="123">
        <v>43783.0</v>
      </c>
      <c r="S127" s="81" t="s">
        <v>58</v>
      </c>
      <c r="T127" s="86">
        <v>42826.0</v>
      </c>
    </row>
    <row r="128">
      <c r="A128" s="75" t="s">
        <v>144</v>
      </c>
      <c r="B128" s="76">
        <v>2215.0</v>
      </c>
      <c r="C128" s="122">
        <v>200.0</v>
      </c>
      <c r="D128" s="78" t="s">
        <v>145</v>
      </c>
      <c r="E128" s="144">
        <v>112.0</v>
      </c>
      <c r="F128" s="145">
        <v>318.0</v>
      </c>
      <c r="G128" s="81" t="s">
        <v>30</v>
      </c>
      <c r="H128" s="198" t="s">
        <v>92</v>
      </c>
      <c r="I128" s="81">
        <v>0.2</v>
      </c>
      <c r="J128" s="87">
        <v>1999.0</v>
      </c>
      <c r="K128" s="89"/>
      <c r="L128" s="88" t="str">
        <f>HYPERLINK("https://www.bhphotovideo.com/c/product/1485540-REG/sony_sel200600g_fe_200_600mm_f_5_6_6_3_g.html/BI/19619/KBID/12129/DFF/d10-v21-t1-x968882/SID/EZ","link*")</f>
        <v>link*</v>
      </c>
      <c r="M128" s="89" t="s">
        <v>33</v>
      </c>
      <c r="N128"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128" s="83">
        <v>240.0</v>
      </c>
      <c r="P128" s="154" t="s">
        <v>49</v>
      </c>
      <c r="Q128" s="81">
        <v>11.0</v>
      </c>
      <c r="R128" s="85" t="s">
        <v>146</v>
      </c>
      <c r="S128" s="81" t="s">
        <v>32</v>
      </c>
      <c r="T128" s="86">
        <v>43647.0</v>
      </c>
    </row>
    <row r="129">
      <c r="A129" s="75" t="s">
        <v>147</v>
      </c>
      <c r="B129" s="76">
        <v>2895.0</v>
      </c>
      <c r="C129" s="122">
        <v>400.0</v>
      </c>
      <c r="D129" s="78">
        <v>2.8</v>
      </c>
      <c r="E129" s="144">
        <v>158.0</v>
      </c>
      <c r="F129" s="145">
        <v>359.0</v>
      </c>
      <c r="G129" s="81" t="s">
        <v>30</v>
      </c>
      <c r="H129" s="82" t="s">
        <v>148</v>
      </c>
      <c r="I129" s="81">
        <v>0.16</v>
      </c>
      <c r="J129" s="87">
        <v>11999.0</v>
      </c>
      <c r="K129" s="89"/>
      <c r="L129" s="88" t="str">
        <f>HYPERLINK("https://www.bhphotovideo.com/c/product/1369634-REG/sony_fe_400mm_f_2_8_gm.html/BI/19619/KBID/12129/DFF/d10-v21-t1-x905722/SID/EZ","link*")</f>
        <v>link*</v>
      </c>
      <c r="M129" s="89" t="s">
        <v>33</v>
      </c>
      <c r="N129"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129" s="83">
        <v>270.0</v>
      </c>
      <c r="P129" s="154" t="s">
        <v>49</v>
      </c>
      <c r="Q129" s="81">
        <v>11.0</v>
      </c>
      <c r="R129" s="85" t="s">
        <v>149</v>
      </c>
      <c r="S129" s="81" t="s">
        <v>32</v>
      </c>
      <c r="T129" s="86">
        <v>43313.0</v>
      </c>
    </row>
    <row r="130">
      <c r="A130" s="212" t="s">
        <v>150</v>
      </c>
      <c r="B130" s="213">
        <v>3040.0</v>
      </c>
      <c r="C130" s="451">
        <v>600.0</v>
      </c>
      <c r="D130" s="215">
        <v>4.0</v>
      </c>
      <c r="E130" s="144">
        <v>164.0</v>
      </c>
      <c r="F130" s="145">
        <v>449.0</v>
      </c>
      <c r="G130" s="218" t="s">
        <v>30</v>
      </c>
      <c r="H130" s="219" t="s">
        <v>25</v>
      </c>
      <c r="I130" s="218">
        <v>0.14</v>
      </c>
      <c r="J130" s="141" t="s">
        <v>230</v>
      </c>
      <c r="K130" s="89"/>
      <c r="L130" s="88" t="str">
        <f>HYPERLINK("https://www.bhphotovideo.com/c/product/1485539-REG/sony_sel600f40gm_fe_600mm_f_4_gm.html/BI/19619/KBID/12129/DFF/d10-v21-t1-x968881/SID/EZ","link*")</f>
        <v>link*</v>
      </c>
      <c r="M130" s="89" t="s">
        <v>33</v>
      </c>
      <c r="N130"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130" s="221">
        <v>451.0</v>
      </c>
      <c r="P130" s="154" t="s">
        <v>49</v>
      </c>
      <c r="Q130" s="218">
        <v>11.0</v>
      </c>
      <c r="R130" s="262" t="s">
        <v>151</v>
      </c>
      <c r="S130" s="218" t="s">
        <v>32</v>
      </c>
      <c r="T130" s="224">
        <v>43678.0</v>
      </c>
    </row>
    <row r="131">
      <c r="A131" s="275"/>
      <c r="H131" s="295"/>
      <c r="K131" s="283"/>
      <c r="L131" s="283"/>
      <c r="M131" s="283"/>
      <c r="N131" s="283"/>
    </row>
    <row r="132">
      <c r="A132" s="275"/>
      <c r="H132" s="295"/>
      <c r="K132" s="283"/>
      <c r="L132" s="283"/>
      <c r="M132" s="283"/>
      <c r="N132" s="283"/>
    </row>
    <row r="133">
      <c r="A133" s="275"/>
      <c r="H133" s="295"/>
      <c r="K133" s="283"/>
      <c r="L133" s="283"/>
      <c r="M133" s="283"/>
      <c r="N133" s="283"/>
    </row>
    <row r="134">
      <c r="A134" s="302"/>
      <c r="H134" s="295"/>
      <c r="K134" s="283"/>
      <c r="L134" s="283"/>
      <c r="M134" s="283"/>
      <c r="N134" s="283"/>
    </row>
    <row r="135">
      <c r="A135" s="275"/>
      <c r="H135" s="295"/>
      <c r="K135" s="283"/>
      <c r="L135" s="283"/>
      <c r="M135" s="283"/>
      <c r="N135" s="283"/>
    </row>
    <row r="136">
      <c r="A136" s="275"/>
      <c r="H136" s="295"/>
      <c r="K136" s="283"/>
      <c r="L136" s="283"/>
      <c r="M136" s="283"/>
      <c r="N136" s="283"/>
    </row>
    <row r="137">
      <c r="A137" s="302"/>
      <c r="H137" s="295"/>
      <c r="K137" s="283"/>
      <c r="L137" s="283"/>
      <c r="M137" s="283"/>
      <c r="N137" s="283"/>
    </row>
    <row r="138">
      <c r="A138" s="275"/>
      <c r="H138" s="295"/>
      <c r="K138" s="283"/>
      <c r="L138" s="283"/>
      <c r="M138" s="283"/>
      <c r="N138" s="283"/>
    </row>
    <row r="139">
      <c r="A139" s="275"/>
      <c r="H139" s="295"/>
      <c r="K139" s="283"/>
      <c r="L139" s="283"/>
      <c r="M139" s="283"/>
      <c r="N139" s="283"/>
    </row>
    <row r="140">
      <c r="A140" s="275"/>
      <c r="H140" s="295"/>
      <c r="K140" s="283"/>
      <c r="L140" s="283"/>
      <c r="M140" s="283"/>
      <c r="N140" s="283"/>
    </row>
    <row r="141">
      <c r="A141" s="275"/>
      <c r="H141" s="295"/>
      <c r="K141" s="283"/>
      <c r="L141" s="283"/>
      <c r="M141" s="283"/>
      <c r="N141" s="283"/>
    </row>
    <row r="142">
      <c r="A142" s="275"/>
      <c r="H142" s="295"/>
      <c r="K142" s="283"/>
      <c r="L142" s="283"/>
      <c r="M142" s="283"/>
      <c r="N142" s="283"/>
    </row>
    <row r="143">
      <c r="A143" s="275"/>
      <c r="H143" s="295"/>
      <c r="K143" s="283"/>
      <c r="L143" s="283"/>
      <c r="M143" s="283"/>
      <c r="N143" s="283"/>
    </row>
    <row r="144">
      <c r="A144" s="275"/>
      <c r="H144" s="295"/>
      <c r="K144" s="283"/>
      <c r="L144" s="283"/>
      <c r="M144" s="283"/>
      <c r="N144" s="283"/>
    </row>
    <row r="145">
      <c r="A145" s="275"/>
      <c r="H145" s="295"/>
      <c r="K145" s="283"/>
      <c r="L145" s="283"/>
      <c r="M145" s="283"/>
      <c r="N145" s="283"/>
    </row>
    <row r="146">
      <c r="A146" s="275"/>
      <c r="H146" s="295"/>
      <c r="K146" s="283"/>
      <c r="L146" s="283"/>
      <c r="M146" s="283"/>
      <c r="N146" s="283"/>
    </row>
    <row r="147">
      <c r="A147" s="302"/>
      <c r="H147" s="295"/>
      <c r="K147" s="283"/>
      <c r="L147" s="283"/>
      <c r="M147" s="283"/>
      <c r="N147" s="283"/>
    </row>
    <row r="148">
      <c r="A148" s="302"/>
      <c r="H148" s="295"/>
      <c r="K148" s="283"/>
      <c r="L148" s="283"/>
      <c r="M148" s="283"/>
      <c r="N148" s="283"/>
    </row>
    <row r="149">
      <c r="H149" s="295"/>
      <c r="K149" s="283"/>
      <c r="L149" s="283"/>
      <c r="M149" s="283"/>
      <c r="N149" s="283"/>
    </row>
    <row r="150">
      <c r="H150" s="295"/>
      <c r="K150" s="283"/>
      <c r="L150" s="283"/>
      <c r="M150" s="283"/>
      <c r="N150" s="283"/>
    </row>
    <row r="151">
      <c r="H151" s="295"/>
      <c r="K151" s="283"/>
      <c r="L151" s="283"/>
      <c r="M151" s="283"/>
      <c r="N151" s="283"/>
    </row>
    <row r="152">
      <c r="H152" s="295"/>
      <c r="K152" s="283"/>
      <c r="L152" s="283"/>
      <c r="M152" s="283"/>
      <c r="N152" s="283"/>
    </row>
    <row r="153">
      <c r="H153" s="295"/>
    </row>
    <row r="154">
      <c r="H154" s="295"/>
    </row>
    <row r="155">
      <c r="H155" s="295"/>
    </row>
    <row r="156">
      <c r="H156" s="295"/>
    </row>
    <row r="157">
      <c r="H157" s="295"/>
    </row>
    <row r="158">
      <c r="H158" s="295"/>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sheetData>
  <autoFilter ref="$A$1:$U$130">
    <filterColumn colId="18">
      <filters>
        <filter val="Sony"/>
      </filters>
    </filterColumn>
  </autoFilter>
  <conditionalFormatting sqref="C79:C130">
    <cfRule type="colorScale" priority="1">
      <colorScale>
        <cfvo type="formula" val="10"/>
        <cfvo type="formula" val="50"/>
        <cfvo type="formula" val="400"/>
        <color rgb="FFCFE2F3"/>
        <color rgb="FF709CE0"/>
        <color rgb="FF1155CC"/>
      </colorScale>
    </cfRule>
  </conditionalFormatting>
  <conditionalFormatting sqref="A79:A130">
    <cfRule type="expression" dxfId="10" priority="2">
      <formula>(today()-T79)&lt;0</formula>
    </cfRule>
  </conditionalFormatting>
  <conditionalFormatting sqref="A79:A130">
    <cfRule type="expression" dxfId="7" priority="3">
      <formula>(today()-T79)&lt;180</formula>
    </cfRule>
  </conditionalFormatting>
  <conditionalFormatting sqref="G79:G130">
    <cfRule type="cellIs" dxfId="10" priority="4" operator="equal">
      <formula>"MF"</formula>
    </cfRule>
  </conditionalFormatting>
  <conditionalFormatting sqref="I79:I130">
    <cfRule type="cellIs" dxfId="11" priority="5" operator="between">
      <formula>0.24</formula>
      <formula>0.45</formula>
    </cfRule>
  </conditionalFormatting>
  <conditionalFormatting sqref="I79:I130">
    <cfRule type="cellIs" dxfId="12" priority="6" operator="between">
      <formula>0.45</formula>
      <formula>0.99</formula>
    </cfRule>
  </conditionalFormatting>
  <conditionalFormatting sqref="I79:I130">
    <cfRule type="cellIs" dxfId="13" priority="7" operator="greaterThan">
      <formula>0.99</formula>
    </cfRule>
  </conditionalFormatting>
  <conditionalFormatting sqref="B1 B3:B1058">
    <cfRule type="cellIs" dxfId="0" priority="8" operator="between">
      <formula>50</formula>
      <formula>200</formula>
    </cfRule>
  </conditionalFormatting>
  <conditionalFormatting sqref="B1 B3:B1058">
    <cfRule type="cellIs" dxfId="1" priority="9" operator="between">
      <formula>201</formula>
      <formula>400</formula>
    </cfRule>
  </conditionalFormatting>
  <conditionalFormatting sqref="B3:B1053">
    <cfRule type="cellIs" dxfId="2" priority="10" operator="between">
      <formula>401</formula>
      <formula>650</formula>
    </cfRule>
  </conditionalFormatting>
  <conditionalFormatting sqref="B3:B1053">
    <cfRule type="cellIs" dxfId="3" priority="11" operator="between">
      <formula>651</formula>
      <formula>900</formula>
    </cfRule>
  </conditionalFormatting>
  <conditionalFormatting sqref="B3:B1053">
    <cfRule type="cellIs" dxfId="4" priority="12" operator="greaterThan">
      <formula>900</formula>
    </cfRule>
  </conditionalFormatting>
  <conditionalFormatting sqref="P3:P1053">
    <cfRule type="containsText" dxfId="5" priority="13" operator="containsText" text="yes">
      <formula>NOT(ISERROR(SEARCH(("yes"),(P3))))</formula>
    </cfRule>
  </conditionalFormatting>
  <conditionalFormatting sqref="F1:F1058">
    <cfRule type="colorScale" priority="14">
      <colorScale>
        <cfvo type="min"/>
        <cfvo type="formula" val="150"/>
        <color rgb="FFEAD1DC"/>
        <color rgb="FFA64D79"/>
      </colorScale>
    </cfRule>
  </conditionalFormatting>
  <conditionalFormatting sqref="D3:D130">
    <cfRule type="colorScale" priority="15">
      <colorScale>
        <cfvo type="formula" val="1.2"/>
        <cfvo type="formula" val="4"/>
        <color rgb="FF0B5394"/>
        <color rgb="FFFFFFFF"/>
      </colorScale>
    </cfRule>
  </conditionalFormatting>
  <conditionalFormatting sqref="E3:E130">
    <cfRule type="colorScale" priority="16">
      <colorScale>
        <cfvo type="formula" val="65"/>
        <cfvo type="formula" val="100"/>
        <color rgb="FFD9D2E9"/>
        <color rgb="FF674EA7"/>
      </colorScale>
    </cfRule>
  </conditionalFormatting>
  <conditionalFormatting sqref="D3:D130">
    <cfRule type="containsText" dxfId="6" priority="17" operator="containsText" text="1.2">
      <formula>NOT(ISERROR(SEARCH(("1.2"),(D3))))</formula>
    </cfRule>
  </conditionalFormatting>
  <conditionalFormatting sqref="B3:B1053">
    <cfRule type="cellIs" dxfId="3" priority="18" operator="between">
      <formula>651</formula>
      <formula>900</formula>
    </cfRule>
  </conditionalFormatting>
  <conditionalFormatting sqref="D3:D130">
    <cfRule type="containsText" dxfId="8" priority="19" operator="containsText" text="1.4">
      <formula>NOT(ISERROR(SEARCH(("1.4"),(D3))))</formula>
    </cfRule>
  </conditionalFormatting>
  <conditionalFormatting sqref="D3:D130 E3:AA81">
    <cfRule type="containsText" dxfId="9" priority="20" operator="containsText" text="1.8">
      <formula>NOT(ISERROR(SEARCH(("1.8"),(D3))))</formula>
    </cfRule>
  </conditionalFormatting>
  <conditionalFormatting sqref="F1:F1058">
    <cfRule type="colorScale" priority="21">
      <colorScale>
        <cfvo type="min"/>
        <cfvo type="formula" val="150"/>
        <color rgb="FFEAD1DC"/>
        <color rgb="FFA64D79"/>
      </colorScale>
    </cfRule>
  </conditionalFormatting>
  <conditionalFormatting sqref="D3:D81">
    <cfRule type="colorScale" priority="22">
      <colorScale>
        <cfvo type="formula" val="1.2"/>
        <cfvo type="formula" val="4"/>
        <color rgb="FF0B5394"/>
        <color rgb="FFFFFFFF"/>
      </colorScale>
    </cfRule>
  </conditionalFormatting>
  <conditionalFormatting sqref="E3:E81">
    <cfRule type="colorScale" priority="23">
      <colorScale>
        <cfvo type="formula" val="65"/>
        <cfvo type="formula" val="100"/>
        <color rgb="FFD9D2E9"/>
        <color rgb="FF674EA7"/>
      </colorScale>
    </cfRule>
  </conditionalFormatting>
  <conditionalFormatting sqref="D3:D81">
    <cfRule type="containsText" dxfId="6" priority="24" operator="containsText" text="1.2">
      <formula>NOT(ISERROR(SEARCH(("1.2"),(D3))))</formula>
    </cfRule>
  </conditionalFormatting>
  <conditionalFormatting sqref="B3:B1053">
    <cfRule type="cellIs" dxfId="3" priority="25" operator="between">
      <formula>651</formula>
      <formula>900</formula>
    </cfRule>
  </conditionalFormatting>
  <conditionalFormatting sqref="D3:D81">
    <cfRule type="containsText" dxfId="8" priority="26" operator="containsText" text="1.4">
      <formula>NOT(ISERROR(SEARCH(("1.4"),(D3))))</formula>
    </cfRule>
  </conditionalFormatting>
  <conditionalFormatting sqref="D3:AA81">
    <cfRule type="containsText" dxfId="9" priority="27" operator="containsText" text="1.8">
      <formula>NOT(ISERROR(SEARCH(("1.8"),(D3))))</formula>
    </cfRule>
  </conditionalFormatting>
  <conditionalFormatting sqref="F1:F1058">
    <cfRule type="colorScale" priority="28">
      <colorScale>
        <cfvo type="min"/>
        <cfvo type="formula" val="150"/>
        <color rgb="FFEAD1DC"/>
        <color rgb="FFA64D79"/>
      </colorScale>
    </cfRule>
  </conditionalFormatting>
  <conditionalFormatting sqref="D3:D81">
    <cfRule type="colorScale" priority="29">
      <colorScale>
        <cfvo type="formula" val="1.2"/>
        <cfvo type="formula" val="4"/>
        <color rgb="FF0B5394"/>
        <color rgb="FFFFFFFF"/>
      </colorScale>
    </cfRule>
  </conditionalFormatting>
  <conditionalFormatting sqref="E3:E81">
    <cfRule type="colorScale" priority="30">
      <colorScale>
        <cfvo type="formula" val="65"/>
        <cfvo type="formula" val="100"/>
        <color rgb="FFD9D2E9"/>
        <color rgb="FF674EA7"/>
      </colorScale>
    </cfRule>
  </conditionalFormatting>
  <conditionalFormatting sqref="D3:D81">
    <cfRule type="containsText" dxfId="6" priority="31" operator="containsText" text="1.2">
      <formula>NOT(ISERROR(SEARCH(("1.2"),(D3))))</formula>
    </cfRule>
  </conditionalFormatting>
  <conditionalFormatting sqref="B3:B1053">
    <cfRule type="cellIs" dxfId="3" priority="32" operator="between">
      <formula>651</formula>
      <formula>900</formula>
    </cfRule>
  </conditionalFormatting>
  <conditionalFormatting sqref="D3:D81">
    <cfRule type="containsText" dxfId="8" priority="33" operator="containsText" text="1.4">
      <formula>NOT(ISERROR(SEARCH(("1.4"),(D3))))</formula>
    </cfRule>
  </conditionalFormatting>
  <conditionalFormatting sqref="D3:AA81">
    <cfRule type="containsText" dxfId="9" priority="34" operator="containsText" text="1.8">
      <formula>NOT(ISERROR(SEARCH(("1.8"),(D3))))</formula>
    </cfRule>
  </conditionalFormatting>
  <conditionalFormatting sqref="F1:F1058">
    <cfRule type="colorScale" priority="35">
      <colorScale>
        <cfvo type="min"/>
        <cfvo type="formula" val="150"/>
        <color rgb="FFEAD1DC"/>
        <color rgb="FFA64D79"/>
      </colorScale>
    </cfRule>
  </conditionalFormatting>
  <conditionalFormatting sqref="D3:D81">
    <cfRule type="colorScale" priority="36">
      <colorScale>
        <cfvo type="formula" val="1.2"/>
        <cfvo type="formula" val="4"/>
        <color rgb="FF0B5394"/>
        <color rgb="FFFFFFFF"/>
      </colorScale>
    </cfRule>
  </conditionalFormatting>
  <conditionalFormatting sqref="E3:E81">
    <cfRule type="colorScale" priority="37">
      <colorScale>
        <cfvo type="formula" val="65"/>
        <cfvo type="formula" val="100"/>
        <color rgb="FFD9D2E9"/>
        <color rgb="FF674EA7"/>
      </colorScale>
    </cfRule>
  </conditionalFormatting>
  <conditionalFormatting sqref="D3:D81">
    <cfRule type="containsText" dxfId="6" priority="38" operator="containsText" text="1.2">
      <formula>NOT(ISERROR(SEARCH(("1.2"),(D3))))</formula>
    </cfRule>
  </conditionalFormatting>
  <conditionalFormatting sqref="B3:B1053">
    <cfRule type="cellIs" dxfId="3" priority="39" operator="between">
      <formula>651</formula>
      <formula>900</formula>
    </cfRule>
  </conditionalFormatting>
  <conditionalFormatting sqref="D3:D81">
    <cfRule type="containsText" dxfId="8" priority="40" operator="containsText" text="1.4">
      <formula>NOT(ISERROR(SEARCH(("1.4"),(D3))))</formula>
    </cfRule>
  </conditionalFormatting>
  <conditionalFormatting sqref="D3:AA81">
    <cfRule type="containsText" dxfId="9" priority="41" operator="containsText" text="1.8">
      <formula>NOT(ISERROR(SEARCH(("1.8"),(D3))))</formula>
    </cfRule>
  </conditionalFormatting>
  <conditionalFormatting sqref="F1:F1058">
    <cfRule type="colorScale" priority="42">
      <colorScale>
        <cfvo type="min"/>
        <cfvo type="formula" val="150"/>
        <color rgb="FFEAD1DC"/>
        <color rgb="FFA64D79"/>
      </colorScale>
    </cfRule>
  </conditionalFormatting>
  <conditionalFormatting sqref="D3:D81">
    <cfRule type="colorScale" priority="43">
      <colorScale>
        <cfvo type="formula" val="1.2"/>
        <cfvo type="formula" val="4"/>
        <color rgb="FF0B5394"/>
        <color rgb="FFFFFFFF"/>
      </colorScale>
    </cfRule>
  </conditionalFormatting>
  <conditionalFormatting sqref="E3:E81">
    <cfRule type="colorScale" priority="44">
      <colorScale>
        <cfvo type="formula" val="65"/>
        <cfvo type="formula" val="100"/>
        <color rgb="FFD9D2E9"/>
        <color rgb="FF674EA7"/>
      </colorScale>
    </cfRule>
  </conditionalFormatting>
  <conditionalFormatting sqref="D3:D81">
    <cfRule type="containsText" dxfId="6" priority="45" operator="containsText" text="1.2">
      <formula>NOT(ISERROR(SEARCH(("1.2"),(D3))))</formula>
    </cfRule>
  </conditionalFormatting>
  <conditionalFormatting sqref="B3:B1053">
    <cfRule type="cellIs" dxfId="3" priority="46" operator="between">
      <formula>651</formula>
      <formula>900</formula>
    </cfRule>
  </conditionalFormatting>
  <conditionalFormatting sqref="D3:D81">
    <cfRule type="containsText" dxfId="8" priority="47" operator="containsText" text="1.4">
      <formula>NOT(ISERROR(SEARCH(("1.4"),(D3))))</formula>
    </cfRule>
  </conditionalFormatting>
  <conditionalFormatting sqref="D3:AA81">
    <cfRule type="containsText" dxfId="9" priority="48" operator="containsText" text="1.8">
      <formula>NOT(ISERROR(SEARCH(("1.8"),(D3))))</formula>
    </cfRule>
  </conditionalFormatting>
  <conditionalFormatting sqref="F1:F1058">
    <cfRule type="colorScale" priority="49">
      <colorScale>
        <cfvo type="min"/>
        <cfvo type="formula" val="150"/>
        <color rgb="FFEAD1DC"/>
        <color rgb="FFA64D79"/>
      </colorScale>
    </cfRule>
  </conditionalFormatting>
  <conditionalFormatting sqref="D3:D81">
    <cfRule type="colorScale" priority="50">
      <colorScale>
        <cfvo type="formula" val="1.2"/>
        <cfvo type="formula" val="4"/>
        <color rgb="FF0B5394"/>
        <color rgb="FFFFFFFF"/>
      </colorScale>
    </cfRule>
  </conditionalFormatting>
  <conditionalFormatting sqref="E3:E81">
    <cfRule type="colorScale" priority="51">
      <colorScale>
        <cfvo type="formula" val="65"/>
        <cfvo type="formula" val="100"/>
        <color rgb="FFD9D2E9"/>
        <color rgb="FF674EA7"/>
      </colorScale>
    </cfRule>
  </conditionalFormatting>
  <conditionalFormatting sqref="D3:D81">
    <cfRule type="containsText" dxfId="6" priority="52" operator="containsText" text="1.2">
      <formula>NOT(ISERROR(SEARCH(("1.2"),(D3))))</formula>
    </cfRule>
  </conditionalFormatting>
  <conditionalFormatting sqref="B3:B1053">
    <cfRule type="cellIs" dxfId="3" priority="53" operator="between">
      <formula>651</formula>
      <formula>900</formula>
    </cfRule>
  </conditionalFormatting>
  <conditionalFormatting sqref="D3:D81">
    <cfRule type="containsText" dxfId="8" priority="54" operator="containsText" text="1.4">
      <formula>NOT(ISERROR(SEARCH(("1.4"),(D3))))</formula>
    </cfRule>
  </conditionalFormatting>
  <conditionalFormatting sqref="D3:AA81">
    <cfRule type="containsText" dxfId="9" priority="55" operator="containsText" text="1.8">
      <formula>NOT(ISERROR(SEARCH(("1.8"),(D3))))</formula>
    </cfRule>
  </conditionalFormatting>
  <conditionalFormatting sqref="F1:F1058">
    <cfRule type="colorScale" priority="56">
      <colorScale>
        <cfvo type="min"/>
        <cfvo type="formula" val="150"/>
        <color rgb="FFEAD1DC"/>
        <color rgb="FFA64D79"/>
      </colorScale>
    </cfRule>
  </conditionalFormatting>
  <conditionalFormatting sqref="D3:D81">
    <cfRule type="colorScale" priority="57">
      <colorScale>
        <cfvo type="formula" val="1.2"/>
        <cfvo type="formula" val="4"/>
        <color rgb="FF0B5394"/>
        <color rgb="FFFFFFFF"/>
      </colorScale>
    </cfRule>
  </conditionalFormatting>
  <conditionalFormatting sqref="E3:E81">
    <cfRule type="colorScale" priority="58">
      <colorScale>
        <cfvo type="formula" val="65"/>
        <cfvo type="formula" val="100"/>
        <color rgb="FFD9D2E9"/>
        <color rgb="FF674EA7"/>
      </colorScale>
    </cfRule>
  </conditionalFormatting>
  <conditionalFormatting sqref="D3:D81">
    <cfRule type="containsText" dxfId="6" priority="59" operator="containsText" text="1.2">
      <formula>NOT(ISERROR(SEARCH(("1.2"),(D3))))</formula>
    </cfRule>
  </conditionalFormatting>
  <conditionalFormatting sqref="B3:B1053">
    <cfRule type="cellIs" dxfId="3" priority="60" operator="between">
      <formula>651</formula>
      <formula>900</formula>
    </cfRule>
  </conditionalFormatting>
  <conditionalFormatting sqref="D3:D81">
    <cfRule type="containsText" dxfId="8" priority="61" operator="containsText" text="1.4">
      <formula>NOT(ISERROR(SEARCH(("1.4"),(D3))))</formula>
    </cfRule>
  </conditionalFormatting>
  <conditionalFormatting sqref="D3:AA81">
    <cfRule type="containsText" dxfId="9" priority="62" operator="containsText" text="1.8">
      <formula>NOT(ISERROR(SEARCH(("1.8"),(D3))))</formula>
    </cfRule>
  </conditionalFormatting>
  <conditionalFormatting sqref="F1:F1058">
    <cfRule type="colorScale" priority="63">
      <colorScale>
        <cfvo type="min"/>
        <cfvo type="formula" val="150"/>
        <color rgb="FFEAD1DC"/>
        <color rgb="FFA64D79"/>
      </colorScale>
    </cfRule>
  </conditionalFormatting>
  <conditionalFormatting sqref="D3:D81">
    <cfRule type="colorScale" priority="64">
      <colorScale>
        <cfvo type="formula" val="1.2"/>
        <cfvo type="formula" val="4"/>
        <color rgb="FF0B5394"/>
        <color rgb="FFFFFFFF"/>
      </colorScale>
    </cfRule>
  </conditionalFormatting>
  <conditionalFormatting sqref="E3:E81">
    <cfRule type="colorScale" priority="65">
      <colorScale>
        <cfvo type="formula" val="65"/>
        <cfvo type="formula" val="100"/>
        <color rgb="FFD9D2E9"/>
        <color rgb="FF674EA7"/>
      </colorScale>
    </cfRule>
  </conditionalFormatting>
  <conditionalFormatting sqref="D3:D81">
    <cfRule type="containsText" dxfId="6" priority="66" operator="containsText" text="1.2">
      <formula>NOT(ISERROR(SEARCH(("1.2"),(D3))))</formula>
    </cfRule>
  </conditionalFormatting>
  <conditionalFormatting sqref="B3:B1053">
    <cfRule type="cellIs" dxfId="3" priority="67" operator="between">
      <formula>651</formula>
      <formula>900</formula>
    </cfRule>
  </conditionalFormatting>
  <conditionalFormatting sqref="D3:D81">
    <cfRule type="containsText" dxfId="8" priority="68" operator="containsText" text="1.4">
      <formula>NOT(ISERROR(SEARCH(("1.4"),(D3))))</formula>
    </cfRule>
  </conditionalFormatting>
  <conditionalFormatting sqref="D3:AA81">
    <cfRule type="containsText" dxfId="9" priority="69" operator="containsText" text="1.8">
      <formula>NOT(ISERROR(SEARCH(("1.8"),(D3))))</formula>
    </cfRule>
  </conditionalFormatting>
  <conditionalFormatting sqref="F1:F1058">
    <cfRule type="colorScale" priority="70">
      <colorScale>
        <cfvo type="min"/>
        <cfvo type="formula" val="150"/>
        <color rgb="FFEAD1DC"/>
        <color rgb="FFA64D79"/>
      </colorScale>
    </cfRule>
  </conditionalFormatting>
  <conditionalFormatting sqref="D3:D81">
    <cfRule type="colorScale" priority="71">
      <colorScale>
        <cfvo type="formula" val="1.2"/>
        <cfvo type="formula" val="4"/>
        <color rgb="FF0B5394"/>
        <color rgb="FFFFFFFF"/>
      </colorScale>
    </cfRule>
  </conditionalFormatting>
  <conditionalFormatting sqref="E3:E81">
    <cfRule type="colorScale" priority="72">
      <colorScale>
        <cfvo type="formula" val="65"/>
        <cfvo type="formula" val="100"/>
        <color rgb="FFD9D2E9"/>
        <color rgb="FF674EA7"/>
      </colorScale>
    </cfRule>
  </conditionalFormatting>
  <conditionalFormatting sqref="D3:D81">
    <cfRule type="containsText" dxfId="6" priority="73" operator="containsText" text="1.2">
      <formula>NOT(ISERROR(SEARCH(("1.2"),(D3))))</formula>
    </cfRule>
  </conditionalFormatting>
  <conditionalFormatting sqref="B3:B1053">
    <cfRule type="cellIs" dxfId="3" priority="74" operator="between">
      <formula>651</formula>
      <formula>900</formula>
    </cfRule>
  </conditionalFormatting>
  <conditionalFormatting sqref="D3:D81">
    <cfRule type="containsText" dxfId="8" priority="75" operator="containsText" text="1.4">
      <formula>NOT(ISERROR(SEARCH(("1.4"),(D3))))</formula>
    </cfRule>
  </conditionalFormatting>
  <conditionalFormatting sqref="D3:AA81">
    <cfRule type="containsText" dxfId="9" priority="76" operator="containsText" text="1.8">
      <formula>NOT(ISERROR(SEARCH(("1.8"),(D3))))</formula>
    </cfRule>
  </conditionalFormatting>
  <conditionalFormatting sqref="F1:F1058">
    <cfRule type="colorScale" priority="77">
      <colorScale>
        <cfvo type="min"/>
        <cfvo type="formula" val="150"/>
        <color rgb="FFEAD1DC"/>
        <color rgb="FFA64D79"/>
      </colorScale>
    </cfRule>
  </conditionalFormatting>
  <conditionalFormatting sqref="D3:D81">
    <cfRule type="colorScale" priority="78">
      <colorScale>
        <cfvo type="formula" val="1.2"/>
        <cfvo type="formula" val="4"/>
        <color rgb="FF0B5394"/>
        <color rgb="FFFFFFFF"/>
      </colorScale>
    </cfRule>
  </conditionalFormatting>
  <conditionalFormatting sqref="E3:E81">
    <cfRule type="colorScale" priority="79">
      <colorScale>
        <cfvo type="formula" val="65"/>
        <cfvo type="formula" val="100"/>
        <color rgb="FFD9D2E9"/>
        <color rgb="FF674EA7"/>
      </colorScale>
    </cfRule>
  </conditionalFormatting>
  <conditionalFormatting sqref="D3:D81">
    <cfRule type="containsText" dxfId="6" priority="80" operator="containsText" text="1.2">
      <formula>NOT(ISERROR(SEARCH(("1.2"),(D3))))</formula>
    </cfRule>
  </conditionalFormatting>
  <conditionalFormatting sqref="B3:B1053">
    <cfRule type="cellIs" dxfId="3" priority="81" operator="between">
      <formula>651</formula>
      <formula>900</formula>
    </cfRule>
  </conditionalFormatting>
  <conditionalFormatting sqref="D3:D81">
    <cfRule type="containsText" dxfId="8" priority="82" operator="containsText" text="1.4">
      <formula>NOT(ISERROR(SEARCH(("1.4"),(D3))))</formula>
    </cfRule>
  </conditionalFormatting>
  <conditionalFormatting sqref="D3:AA81">
    <cfRule type="containsText" dxfId="9" priority="83" operator="containsText" text="1.8">
      <formula>NOT(ISERROR(SEARCH(("1.8"),(D3))))</formula>
    </cfRule>
  </conditionalFormatting>
  <conditionalFormatting sqref="F1:F1058">
    <cfRule type="colorScale" priority="84">
      <colorScale>
        <cfvo type="min"/>
        <cfvo type="formula" val="150"/>
        <color rgb="FFEAD1DC"/>
        <color rgb="FFA64D79"/>
      </colorScale>
    </cfRule>
  </conditionalFormatting>
  <conditionalFormatting sqref="D3:D81">
    <cfRule type="colorScale" priority="85">
      <colorScale>
        <cfvo type="formula" val="1.2"/>
        <cfvo type="formula" val="4"/>
        <color rgb="FF0B5394"/>
        <color rgb="FFFFFFFF"/>
      </colorScale>
    </cfRule>
  </conditionalFormatting>
  <conditionalFormatting sqref="E3:E81">
    <cfRule type="colorScale" priority="86">
      <colorScale>
        <cfvo type="formula" val="65"/>
        <cfvo type="formula" val="100"/>
        <color rgb="FFD9D2E9"/>
        <color rgb="FF674EA7"/>
      </colorScale>
    </cfRule>
  </conditionalFormatting>
  <conditionalFormatting sqref="D3:D81">
    <cfRule type="containsText" dxfId="6" priority="87" operator="containsText" text="1.2">
      <formula>NOT(ISERROR(SEARCH(("1.2"),(D3))))</formula>
    </cfRule>
  </conditionalFormatting>
  <conditionalFormatting sqref="B3:B1053">
    <cfRule type="cellIs" dxfId="3" priority="88" operator="between">
      <formula>651</formula>
      <formula>900</formula>
    </cfRule>
  </conditionalFormatting>
  <conditionalFormatting sqref="D3:D81">
    <cfRule type="containsText" dxfId="8" priority="89" operator="containsText" text="1.4">
      <formula>NOT(ISERROR(SEARCH(("1.4"),(D3))))</formula>
    </cfRule>
  </conditionalFormatting>
  <conditionalFormatting sqref="D3:AA81">
    <cfRule type="containsText" dxfId="9" priority="90" operator="containsText" text="1.8">
      <formula>NOT(ISERROR(SEARCH(("1.8"),(D3))))</formula>
    </cfRule>
  </conditionalFormatting>
  <conditionalFormatting sqref="F1:F1058">
    <cfRule type="colorScale" priority="91">
      <colorScale>
        <cfvo type="min"/>
        <cfvo type="formula" val="150"/>
        <color rgb="FFEAD1DC"/>
        <color rgb="FFA64D79"/>
      </colorScale>
    </cfRule>
  </conditionalFormatting>
  <conditionalFormatting sqref="D3:D81">
    <cfRule type="colorScale" priority="92">
      <colorScale>
        <cfvo type="formula" val="1.2"/>
        <cfvo type="formula" val="4"/>
        <color rgb="FF0B5394"/>
        <color rgb="FFFFFFFF"/>
      </colorScale>
    </cfRule>
  </conditionalFormatting>
  <conditionalFormatting sqref="E3:E81">
    <cfRule type="colorScale" priority="93">
      <colorScale>
        <cfvo type="formula" val="65"/>
        <cfvo type="formula" val="100"/>
        <color rgb="FFD9D2E9"/>
        <color rgb="FF674EA7"/>
      </colorScale>
    </cfRule>
  </conditionalFormatting>
  <conditionalFormatting sqref="D3:D81">
    <cfRule type="containsText" dxfId="6" priority="94" operator="containsText" text="1.2">
      <formula>NOT(ISERROR(SEARCH(("1.2"),(D3))))</formula>
    </cfRule>
  </conditionalFormatting>
  <conditionalFormatting sqref="B3:B1053">
    <cfRule type="cellIs" dxfId="3" priority="95" operator="between">
      <formula>651</formula>
      <formula>900</formula>
    </cfRule>
  </conditionalFormatting>
  <conditionalFormatting sqref="D3:D81">
    <cfRule type="containsText" dxfId="8" priority="96" operator="containsText" text="1.4">
      <formula>NOT(ISERROR(SEARCH(("1.4"),(D3))))</formula>
    </cfRule>
  </conditionalFormatting>
  <conditionalFormatting sqref="D3:AA81">
    <cfRule type="containsText" dxfId="9" priority="97" operator="containsText" text="1.8">
      <formula>NOT(ISERROR(SEARCH(("1.8"),(D3))))</formula>
    </cfRule>
  </conditionalFormatting>
  <conditionalFormatting sqref="F1:F1058">
    <cfRule type="colorScale" priority="98">
      <colorScale>
        <cfvo type="min"/>
        <cfvo type="formula" val="150"/>
        <color rgb="FFEAD1DC"/>
        <color rgb="FFA64D79"/>
      </colorScale>
    </cfRule>
  </conditionalFormatting>
  <conditionalFormatting sqref="D3:D81">
    <cfRule type="colorScale" priority="99">
      <colorScale>
        <cfvo type="formula" val="1.2"/>
        <cfvo type="formula" val="4"/>
        <color rgb="FF0B5394"/>
        <color rgb="FFFFFFFF"/>
      </colorScale>
    </cfRule>
  </conditionalFormatting>
  <conditionalFormatting sqref="E3:E81">
    <cfRule type="colorScale" priority="100">
      <colorScale>
        <cfvo type="formula" val="65"/>
        <cfvo type="formula" val="100"/>
        <color rgb="FFD9D2E9"/>
        <color rgb="FF674EA7"/>
      </colorScale>
    </cfRule>
  </conditionalFormatting>
  <conditionalFormatting sqref="D3:D81">
    <cfRule type="containsText" dxfId="6" priority="101" operator="containsText" text="1.2">
      <formula>NOT(ISERROR(SEARCH(("1.2"),(D3))))</formula>
    </cfRule>
  </conditionalFormatting>
  <conditionalFormatting sqref="D12 D33">
    <cfRule type="notContainsBlanks" dxfId="7" priority="102">
      <formula>LEN(TRIM(D12))&gt;0</formula>
    </cfRule>
  </conditionalFormatting>
  <conditionalFormatting sqref="D3:D81">
    <cfRule type="containsText" dxfId="8" priority="103" operator="containsText" text="1.4">
      <formula>NOT(ISERROR(SEARCH(("1.4"),(D3))))</formula>
    </cfRule>
  </conditionalFormatting>
  <conditionalFormatting sqref="D3:AA81">
    <cfRule type="containsText" dxfId="9" priority="104" operator="containsText" text="1.8">
      <formula>NOT(ISERROR(SEARCH(("1.8"),(D3))))</formula>
    </cfRule>
  </conditionalFormatting>
  <conditionalFormatting sqref="F1:F1058">
    <cfRule type="colorScale" priority="105">
      <colorScale>
        <cfvo type="min"/>
        <cfvo type="formula" val="150"/>
        <color rgb="FFEAD1DC"/>
        <color rgb="FFA64D79"/>
      </colorScale>
    </cfRule>
  </conditionalFormatting>
  <conditionalFormatting sqref="D3:D81">
    <cfRule type="colorScale" priority="106">
      <colorScale>
        <cfvo type="formula" val="1.2"/>
        <cfvo type="formula" val="4"/>
        <color rgb="FF0B5394"/>
        <color rgb="FFFFFFFF"/>
      </colorScale>
    </cfRule>
  </conditionalFormatting>
  <conditionalFormatting sqref="E3:E81">
    <cfRule type="colorScale" priority="107">
      <colorScale>
        <cfvo type="formula" val="65"/>
        <cfvo type="formula" val="100"/>
        <color rgb="FFD9D2E9"/>
        <color rgb="FF674EA7"/>
      </colorScale>
    </cfRule>
  </conditionalFormatting>
  <conditionalFormatting sqref="D3:D81">
    <cfRule type="containsText" dxfId="6" priority="108" operator="containsText" text="1.2">
      <formula>NOT(ISERROR(SEARCH(("1.2"),(D3))))</formula>
    </cfRule>
  </conditionalFormatting>
  <conditionalFormatting sqref="B3:B1053">
    <cfRule type="cellIs" dxfId="3" priority="109" operator="between">
      <formula>651</formula>
      <formula>900</formula>
    </cfRule>
  </conditionalFormatting>
  <conditionalFormatting sqref="D3:D81">
    <cfRule type="containsText" dxfId="8" priority="110" operator="containsText" text="1.4">
      <formula>NOT(ISERROR(SEARCH(("1.4"),(D3))))</formula>
    </cfRule>
  </conditionalFormatting>
  <conditionalFormatting sqref="D3:AA81">
    <cfRule type="containsText" dxfId="9" priority="111" operator="containsText" text="1.8">
      <formula>NOT(ISERROR(SEARCH(("1.8"),(D3))))</formula>
    </cfRule>
  </conditionalFormatting>
  <conditionalFormatting sqref="F1:F1058">
    <cfRule type="colorScale" priority="112">
      <colorScale>
        <cfvo type="min"/>
        <cfvo type="formula" val="150"/>
        <color rgb="FFEAD1DC"/>
        <color rgb="FFA64D79"/>
      </colorScale>
    </cfRule>
  </conditionalFormatting>
  <conditionalFormatting sqref="D3:D81">
    <cfRule type="colorScale" priority="113">
      <colorScale>
        <cfvo type="formula" val="1.2"/>
        <cfvo type="formula" val="4"/>
        <color rgb="FF0B5394"/>
        <color rgb="FFFFFFFF"/>
      </colorScale>
    </cfRule>
  </conditionalFormatting>
  <conditionalFormatting sqref="E3:E81">
    <cfRule type="colorScale" priority="114">
      <colorScale>
        <cfvo type="formula" val="65"/>
        <cfvo type="formula" val="100"/>
        <color rgb="FFD9D2E9"/>
        <color rgb="FF674EA7"/>
      </colorScale>
    </cfRule>
  </conditionalFormatting>
  <conditionalFormatting sqref="D3:D81">
    <cfRule type="containsText" dxfId="6" priority="115" operator="containsText" text="1.2">
      <formula>NOT(ISERROR(SEARCH(("1.2"),(D3))))</formula>
    </cfRule>
  </conditionalFormatting>
  <conditionalFormatting sqref="B3:B1053">
    <cfRule type="cellIs" dxfId="3" priority="116" operator="between">
      <formula>651</formula>
      <formula>900</formula>
    </cfRule>
  </conditionalFormatting>
  <conditionalFormatting sqref="D3:D81">
    <cfRule type="containsText" dxfId="8" priority="117" operator="containsText" text="1.4">
      <formula>NOT(ISERROR(SEARCH(("1.4"),(D3))))</formula>
    </cfRule>
  </conditionalFormatting>
  <conditionalFormatting sqref="D3:AA81">
    <cfRule type="containsText" dxfId="9" priority="118" operator="containsText" text="1.8">
      <formula>NOT(ISERROR(SEARCH(("1.8"),(D3))))</formula>
    </cfRule>
  </conditionalFormatting>
  <conditionalFormatting sqref="F1:F1058">
    <cfRule type="colorScale" priority="119">
      <colorScale>
        <cfvo type="min"/>
        <cfvo type="formula" val="150"/>
        <color rgb="FFEAD1DC"/>
        <color rgb="FFA64D79"/>
      </colorScale>
    </cfRule>
  </conditionalFormatting>
  <conditionalFormatting sqref="D3:D81">
    <cfRule type="colorScale" priority="120">
      <colorScale>
        <cfvo type="formula" val="1.2"/>
        <cfvo type="formula" val="4"/>
        <color rgb="FF0B5394"/>
        <color rgb="FFFFFFFF"/>
      </colorScale>
    </cfRule>
  </conditionalFormatting>
  <conditionalFormatting sqref="E3:E81">
    <cfRule type="colorScale" priority="121">
      <colorScale>
        <cfvo type="formula" val="65"/>
        <cfvo type="formula" val="100"/>
        <color rgb="FFD9D2E9"/>
        <color rgb="FF674EA7"/>
      </colorScale>
    </cfRule>
  </conditionalFormatting>
  <conditionalFormatting sqref="D3:D81">
    <cfRule type="containsText" dxfId="6" priority="122" operator="containsText" text="1.2">
      <formula>NOT(ISERROR(SEARCH(("1.2"),(D3))))</formula>
    </cfRule>
  </conditionalFormatting>
  <conditionalFormatting sqref="B3:B1053">
    <cfRule type="cellIs" dxfId="3" priority="123" operator="between">
      <formula>651</formula>
      <formula>900</formula>
    </cfRule>
  </conditionalFormatting>
  <conditionalFormatting sqref="D3:D81">
    <cfRule type="containsText" dxfId="8" priority="124" operator="containsText" text="1.4">
      <formula>NOT(ISERROR(SEARCH(("1.4"),(D3))))</formula>
    </cfRule>
  </conditionalFormatting>
  <conditionalFormatting sqref="D3:AA81">
    <cfRule type="containsText" dxfId="9" priority="125" operator="containsText" text="1.8">
      <formula>NOT(ISERROR(SEARCH(("1.8"),(D3))))</formula>
    </cfRule>
  </conditionalFormatting>
  <conditionalFormatting sqref="F1:F1058">
    <cfRule type="colorScale" priority="126">
      <colorScale>
        <cfvo type="min"/>
        <cfvo type="formula" val="150"/>
        <color rgb="FFEAD1DC"/>
        <color rgb="FFA64D79"/>
      </colorScale>
    </cfRule>
  </conditionalFormatting>
  <conditionalFormatting sqref="D3:D81">
    <cfRule type="colorScale" priority="127">
      <colorScale>
        <cfvo type="formula" val="1.2"/>
        <cfvo type="formula" val="4"/>
        <color rgb="FF0B5394"/>
        <color rgb="FFFFFFFF"/>
      </colorScale>
    </cfRule>
  </conditionalFormatting>
  <conditionalFormatting sqref="E3:E81">
    <cfRule type="colorScale" priority="128">
      <colorScale>
        <cfvo type="formula" val="65"/>
        <cfvo type="formula" val="100"/>
        <color rgb="FFD9D2E9"/>
        <color rgb="FF674EA7"/>
      </colorScale>
    </cfRule>
  </conditionalFormatting>
  <conditionalFormatting sqref="D3:D81">
    <cfRule type="containsText" dxfId="6" priority="129" operator="containsText" text="1.2">
      <formula>NOT(ISERROR(SEARCH(("1.2"),(D3))))</formula>
    </cfRule>
  </conditionalFormatting>
  <conditionalFormatting sqref="B3:B1053">
    <cfRule type="cellIs" dxfId="3" priority="130" operator="between">
      <formula>651</formula>
      <formula>900</formula>
    </cfRule>
  </conditionalFormatting>
  <conditionalFormatting sqref="D3:D81">
    <cfRule type="containsText" dxfId="8" priority="131" operator="containsText" text="1.4">
      <formula>NOT(ISERROR(SEARCH(("1.4"),(D3))))</formula>
    </cfRule>
  </conditionalFormatting>
  <conditionalFormatting sqref="D3:AA81">
    <cfRule type="containsText" dxfId="9" priority="132" operator="containsText" text="1.8">
      <formula>NOT(ISERROR(SEARCH(("1.8"),(D3))))</formula>
    </cfRule>
  </conditionalFormatting>
  <conditionalFormatting sqref="F1:F1058">
    <cfRule type="colorScale" priority="133">
      <colorScale>
        <cfvo type="min"/>
        <cfvo type="formula" val="150"/>
        <color rgb="FFEAD1DC"/>
        <color rgb="FFA64D79"/>
      </colorScale>
    </cfRule>
  </conditionalFormatting>
  <conditionalFormatting sqref="D3:D81">
    <cfRule type="colorScale" priority="134">
      <colorScale>
        <cfvo type="formula" val="1.2"/>
        <cfvo type="formula" val="4"/>
        <color rgb="FF0B5394"/>
        <color rgb="FFFFFFFF"/>
      </colorScale>
    </cfRule>
  </conditionalFormatting>
  <conditionalFormatting sqref="E3:E81">
    <cfRule type="colorScale" priority="135">
      <colorScale>
        <cfvo type="formula" val="65"/>
        <cfvo type="formula" val="100"/>
        <color rgb="FFD9D2E9"/>
        <color rgb="FF674EA7"/>
      </colorScale>
    </cfRule>
  </conditionalFormatting>
  <conditionalFormatting sqref="D3:D81">
    <cfRule type="containsText" dxfId="6" priority="136" operator="containsText" text="1.2">
      <formula>NOT(ISERROR(SEARCH(("1.2"),(D3))))</formula>
    </cfRule>
  </conditionalFormatting>
  <conditionalFormatting sqref="D12">
    <cfRule type="notContainsBlanks" dxfId="7" priority="137">
      <formula>LEN(TRIM(D12))&gt;0</formula>
    </cfRule>
  </conditionalFormatting>
  <conditionalFormatting sqref="D3:D81">
    <cfRule type="containsText" dxfId="8" priority="138" operator="containsText" text="1.4">
      <formula>NOT(ISERROR(SEARCH(("1.4"),(D3))))</formula>
    </cfRule>
  </conditionalFormatting>
  <conditionalFormatting sqref="D3:AA81">
    <cfRule type="containsText" dxfId="9" priority="139" operator="containsText" text="1.8">
      <formula>NOT(ISERROR(SEARCH(("1.8"),(D3))))</formula>
    </cfRule>
  </conditionalFormatting>
  <dataValidations>
    <dataValidation type="list" allowBlank="1" sqref="S3:S130">
      <formula1>"Sony,Voigtlander,Zeiss,Sigma,Samyang,Viltrox,Tokina,Tamron"</formula1>
    </dataValidation>
  </dataValidations>
  <hyperlinks>
    <hyperlink r:id="rId1" ref="K1"/>
    <hyperlink r:id="rId2" ref="M1"/>
    <hyperlink r:id="rId3" ref="N1"/>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5.29"/>
    <col customWidth="1" min="3" max="3" width="6.29"/>
    <col customWidth="1" min="4" max="4" width="7.29"/>
    <col customWidth="1" min="5" max="5" width="6.29"/>
    <col customWidth="1" min="6" max="6" width="5.86"/>
    <col customWidth="1" min="7" max="7" width="7.71"/>
    <col customWidth="1" min="8" max="9" width="5.57"/>
    <col customWidth="1" min="10" max="10" width="5.86"/>
    <col customWidth="1" min="11" max="12" width="7.71"/>
  </cols>
  <sheetData>
    <row r="1">
      <c r="A1" s="647" t="s">
        <v>0</v>
      </c>
      <c r="B1" s="648" t="s">
        <v>1</v>
      </c>
      <c r="C1" s="649" t="s">
        <v>4</v>
      </c>
      <c r="D1" s="650" t="s">
        <v>5</v>
      </c>
      <c r="E1" s="651" t="s">
        <v>7</v>
      </c>
      <c r="F1" s="652" t="s">
        <v>8</v>
      </c>
      <c r="G1" s="652" t="s">
        <v>9</v>
      </c>
      <c r="H1" s="652" t="s">
        <v>11</v>
      </c>
      <c r="I1" s="652" t="s">
        <v>12</v>
      </c>
      <c r="J1" s="652" t="s">
        <v>14</v>
      </c>
      <c r="K1" s="653" t="s">
        <v>15</v>
      </c>
      <c r="L1" s="653" t="s">
        <v>308</v>
      </c>
    </row>
    <row r="2">
      <c r="A2" s="654" t="s">
        <v>309</v>
      </c>
      <c r="B2" s="655">
        <v>162.0</v>
      </c>
      <c r="C2" s="656">
        <v>62.0</v>
      </c>
      <c r="D2" s="657">
        <v>56.0</v>
      </c>
      <c r="E2" s="658" t="s">
        <v>74</v>
      </c>
      <c r="F2" s="658">
        <v>0.12</v>
      </c>
      <c r="G2" s="659">
        <v>45.0</v>
      </c>
      <c r="H2" s="658">
        <v>9.0</v>
      </c>
      <c r="I2" s="660">
        <v>43623.0</v>
      </c>
      <c r="J2" s="661">
        <v>43647.0</v>
      </c>
      <c r="K2" s="662">
        <v>399.0</v>
      </c>
      <c r="L2" s="662">
        <v>300.0</v>
      </c>
    </row>
    <row r="3">
      <c r="A3" s="663" t="s">
        <v>310</v>
      </c>
      <c r="B3" s="664">
        <v>215.0</v>
      </c>
      <c r="C3" s="665">
        <v>64.0</v>
      </c>
      <c r="D3" s="666">
        <v>46.0</v>
      </c>
      <c r="E3" s="667" t="s">
        <v>90</v>
      </c>
      <c r="F3" s="668">
        <v>0.25</v>
      </c>
      <c r="G3" s="669">
        <v>24.0</v>
      </c>
      <c r="H3" s="667">
        <v>7.0</v>
      </c>
      <c r="I3" s="670">
        <v>43654.0</v>
      </c>
      <c r="J3" s="671">
        <v>43647.0</v>
      </c>
      <c r="K3" s="672">
        <v>549.0</v>
      </c>
      <c r="L3" s="673" t="s">
        <v>36</v>
      </c>
    </row>
    <row r="4" hidden="1"/>
    <row r="5">
      <c r="A5" s="674" t="s">
        <v>311</v>
      </c>
      <c r="B5" s="439">
        <v>778.0</v>
      </c>
      <c r="C5" s="549">
        <v>84.0</v>
      </c>
      <c r="D5" s="550">
        <v>108.0</v>
      </c>
      <c r="E5" s="508" t="s">
        <v>48</v>
      </c>
      <c r="F5" s="508">
        <v>0.15</v>
      </c>
      <c r="G5" s="422">
        <v>45.0</v>
      </c>
      <c r="H5" s="508">
        <v>11.0</v>
      </c>
      <c r="I5" s="437">
        <v>43720.0</v>
      </c>
      <c r="J5" s="425">
        <v>42583.0</v>
      </c>
      <c r="K5" s="420">
        <v>1499.0</v>
      </c>
      <c r="L5" s="420">
        <v>1000.0</v>
      </c>
    </row>
    <row r="6">
      <c r="A6" s="674" t="s">
        <v>312</v>
      </c>
      <c r="B6" s="432">
        <v>910.0</v>
      </c>
      <c r="C6" s="489">
        <v>85.0</v>
      </c>
      <c r="D6" s="675">
        <v>125.9</v>
      </c>
      <c r="E6" s="508" t="s">
        <v>56</v>
      </c>
      <c r="F6" s="508">
        <v>0.18</v>
      </c>
      <c r="G6" s="422">
        <v>40.0</v>
      </c>
      <c r="H6" s="508">
        <v>9.0</v>
      </c>
      <c r="I6" s="437">
        <v>43690.0</v>
      </c>
      <c r="J6" s="425">
        <v>43221.0</v>
      </c>
      <c r="K6" s="420">
        <v>949.0</v>
      </c>
      <c r="L6" s="420">
        <v>650.0</v>
      </c>
    </row>
    <row r="7">
      <c r="A7" s="674" t="s">
        <v>313</v>
      </c>
      <c r="B7" s="413">
        <v>585.0</v>
      </c>
      <c r="C7" s="552">
        <v>74.0</v>
      </c>
      <c r="D7" s="444">
        <v>98.0</v>
      </c>
      <c r="E7" s="508" t="s">
        <v>53</v>
      </c>
      <c r="F7" s="508">
        <v>0.15</v>
      </c>
      <c r="G7" s="422">
        <v>45.0</v>
      </c>
      <c r="H7" s="508">
        <v>9.0</v>
      </c>
      <c r="I7" s="437">
        <v>43686.0</v>
      </c>
      <c r="J7" s="425">
        <v>42583.0</v>
      </c>
      <c r="K7" s="420">
        <v>699.0</v>
      </c>
      <c r="L7" s="420">
        <v>365.0</v>
      </c>
    </row>
    <row r="8">
      <c r="A8" s="538" t="str">
        <f>HYPERLINK("https://phillipreeve.net/blog/review-sony-fe-1-850/","Sony FE 
50mm F1.8")</f>
        <v>Sony FE 
50mm F1.8</v>
      </c>
      <c r="B8" s="463">
        <v>186.0</v>
      </c>
      <c r="C8" s="476">
        <v>69.0</v>
      </c>
      <c r="D8" s="511">
        <v>60.0</v>
      </c>
      <c r="E8" s="508" t="s">
        <v>74</v>
      </c>
      <c r="F8" s="508">
        <v>0.14</v>
      </c>
      <c r="G8" s="422">
        <v>45.0</v>
      </c>
      <c r="H8" s="508">
        <v>7.0</v>
      </c>
      <c r="I8" s="437">
        <v>43591.0</v>
      </c>
      <c r="J8" s="425">
        <v>42430.0</v>
      </c>
      <c r="K8" s="459">
        <v>249.0</v>
      </c>
      <c r="L8" s="459">
        <v>165.0</v>
      </c>
    </row>
    <row r="9" hidden="1"/>
    <row r="10">
      <c r="A10" s="676" t="str">
        <f>HYPERLINK("https://phillipreeve.net/blog/rolling-review-sony-fe-2-850-macro/","Sony FE 
50mm F/2.8 Macro")</f>
        <v>Sony FE 
50mm F/2.8 Macro</v>
      </c>
      <c r="B10" s="664">
        <v>236.0</v>
      </c>
      <c r="C10" s="677">
        <v>72.0</v>
      </c>
      <c r="D10" s="678">
        <v>71.0</v>
      </c>
      <c r="E10" s="667" t="s">
        <v>90</v>
      </c>
      <c r="F10" s="679">
        <v>1.0</v>
      </c>
      <c r="G10" s="669">
        <v>16.0</v>
      </c>
      <c r="H10" s="667">
        <v>7.0</v>
      </c>
      <c r="I10" s="670">
        <v>43654.0</v>
      </c>
      <c r="J10" s="671">
        <v>42614.0</v>
      </c>
      <c r="K10" s="680">
        <v>499.0</v>
      </c>
      <c r="L10" s="680">
        <v>350.0</v>
      </c>
    </row>
    <row r="11">
      <c r="A11" s="676" t="str">
        <f>HYPERLINK("https://phillipreeve.net/blog/sony-fe-1-855-za-sonnar-t-review/","Sony ZA 
55mm F1.8 Sonnar")</f>
        <v>Sony ZA 
55mm F1.8 Sonnar</v>
      </c>
      <c r="B11" s="664">
        <v>281.0</v>
      </c>
      <c r="C11" s="665">
        <v>64.0</v>
      </c>
      <c r="D11" s="678">
        <v>71.0</v>
      </c>
      <c r="E11" s="667" t="s">
        <v>74</v>
      </c>
      <c r="F11" s="667">
        <v>0.14</v>
      </c>
      <c r="G11" s="669">
        <v>50.0</v>
      </c>
      <c r="H11" s="667">
        <v>9.0</v>
      </c>
      <c r="I11" s="670">
        <v>43592.0</v>
      </c>
      <c r="J11" s="671">
        <v>41548.0</v>
      </c>
      <c r="K11" s="672">
        <v>999.0</v>
      </c>
      <c r="L11" s="672">
        <v>625.0</v>
      </c>
    </row>
    <row r="12">
      <c r="A12" s="647" t="s">
        <v>0</v>
      </c>
      <c r="B12" s="648" t="s">
        <v>1</v>
      </c>
      <c r="C12" s="649" t="s">
        <v>4</v>
      </c>
      <c r="D12" s="650" t="s">
        <v>5</v>
      </c>
      <c r="E12" s="651" t="s">
        <v>7</v>
      </c>
      <c r="F12" s="652" t="s">
        <v>8</v>
      </c>
      <c r="G12" s="652" t="s">
        <v>9</v>
      </c>
      <c r="H12" s="652" t="s">
        <v>11</v>
      </c>
      <c r="I12" s="652" t="s">
        <v>12</v>
      </c>
      <c r="J12" s="652" t="s">
        <v>14</v>
      </c>
      <c r="K12" s="653" t="s">
        <v>15</v>
      </c>
      <c r="L12" s="653" t="s">
        <v>308</v>
      </c>
    </row>
    <row r="13">
      <c r="A13" s="538" t="str">
        <f>HYPERLINK("https://phillipreeve.net/blog/review-voigtlander-50mm-1-2-nokton-e/","Voigtlander 
50mm F1.2 Nokton")</f>
        <v>Voigtlander 
50mm F1.2 Nokton</v>
      </c>
      <c r="B13" s="413">
        <v>440.0</v>
      </c>
      <c r="C13" s="481">
        <v>70.0</v>
      </c>
      <c r="D13" s="548">
        <v>58.0</v>
      </c>
      <c r="E13" s="508" t="s">
        <v>47</v>
      </c>
      <c r="F13" s="508">
        <v>0.15</v>
      </c>
      <c r="G13" s="422">
        <v>45.0</v>
      </c>
      <c r="H13" s="508">
        <v>12.0</v>
      </c>
      <c r="I13" s="437">
        <v>43624.0</v>
      </c>
      <c r="J13" s="425">
        <v>43556.0</v>
      </c>
      <c r="K13" s="420">
        <v>1099.0</v>
      </c>
      <c r="L13" s="681" t="s">
        <v>36</v>
      </c>
    </row>
    <row r="14">
      <c r="A14" s="546" t="str">
        <f>HYPERLINK("https://docs.google.com/document/d/115s6JHR9S4pBUesKJEkgWeoP8rcGbT31p6fQSg5SFQM/edit?usp=sharing","Voigtlander 50mm F2
 APO-Lanthar")</f>
        <v>Voigtlander 50mm F2
 APO-Lanthar</v>
      </c>
      <c r="B14" s="427">
        <v>364.0</v>
      </c>
      <c r="C14" s="482">
        <v>63.0</v>
      </c>
      <c r="D14" s="682">
        <v>61.0</v>
      </c>
      <c r="E14" s="508" t="s">
        <v>74</v>
      </c>
      <c r="F14" s="508">
        <v>0.156</v>
      </c>
      <c r="G14" s="422">
        <v>45.0</v>
      </c>
      <c r="H14" s="508">
        <v>12.0</v>
      </c>
      <c r="I14" s="437">
        <v>43687.0</v>
      </c>
      <c r="J14" s="425">
        <v>43811.0</v>
      </c>
      <c r="K14" s="420">
        <v>1049.0</v>
      </c>
      <c r="L14" s="681" t="s">
        <v>36</v>
      </c>
    </row>
    <row r="15">
      <c r="A15" s="538" t="str">
        <f>HYPERLINK("https://phillipreeve.net/blog/review-zeiss-loxia-planar-250-t/","Zeiss Loxia 
50mm F2")</f>
        <v>Zeiss Loxia 
50mm F2</v>
      </c>
      <c r="B15" s="427">
        <v>320.0</v>
      </c>
      <c r="C15" s="482">
        <v>62.0</v>
      </c>
      <c r="D15" s="511">
        <v>60.0</v>
      </c>
      <c r="E15" s="508" t="s">
        <v>71</v>
      </c>
      <c r="F15" s="508">
        <v>0.15</v>
      </c>
      <c r="G15" s="422">
        <v>45.0</v>
      </c>
      <c r="H15" s="508">
        <v>10.0</v>
      </c>
      <c r="I15" s="437">
        <v>43561.0</v>
      </c>
      <c r="J15" s="425">
        <v>41913.0</v>
      </c>
      <c r="K15" s="420">
        <v>949.0</v>
      </c>
      <c r="L15" s="420">
        <v>500.0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86"/>
    <col customWidth="1" min="2" max="2" width="6.57"/>
    <col customWidth="1" min="3" max="3" width="11.0"/>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598" t="s">
        <v>0</v>
      </c>
      <c r="B1" s="3" t="s">
        <v>1</v>
      </c>
      <c r="C1" s="3" t="s">
        <v>261</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262</v>
      </c>
    </row>
    <row r="2" ht="18.0" hidden="1" customHeight="1">
      <c r="A2" s="17" t="s">
        <v>166</v>
      </c>
      <c r="B2" s="18"/>
      <c r="C2" s="18"/>
      <c r="D2" s="18"/>
      <c r="E2" s="18"/>
      <c r="F2" s="18"/>
      <c r="G2" s="19"/>
      <c r="H2" s="20"/>
      <c r="I2" s="18"/>
      <c r="J2" s="18"/>
      <c r="K2" s="18"/>
      <c r="L2" s="18"/>
      <c r="M2" s="18"/>
      <c r="N2" s="18"/>
      <c r="O2" s="18"/>
      <c r="P2" s="19"/>
      <c r="Q2" s="18"/>
      <c r="R2" s="19"/>
      <c r="S2" s="21"/>
      <c r="T2" s="19"/>
    </row>
    <row r="3">
      <c r="A3" s="131" t="str">
        <f>HYPERLINK("https://phillipreeve.net/blog/review-voigtlander-15mm-4-5-e-super-wide-heliar/","Voigtlander 15mm F4.5 Super Wide Heliar")</f>
        <v>Voigtlander 15mm F4.5 Super Wide Heliar</v>
      </c>
      <c r="B3" s="76">
        <v>298.0</v>
      </c>
      <c r="C3" s="122">
        <v>15.0</v>
      </c>
      <c r="D3" s="78">
        <v>4.5</v>
      </c>
      <c r="E3" s="391">
        <v>67.0</v>
      </c>
      <c r="F3" s="389">
        <v>62.0</v>
      </c>
      <c r="G3" s="84" t="s">
        <v>24</v>
      </c>
      <c r="H3" s="82" t="s">
        <v>47</v>
      </c>
      <c r="I3" s="81">
        <v>0.083</v>
      </c>
      <c r="J3" s="87">
        <v>799.0</v>
      </c>
      <c r="K3" s="88" t="str">
        <f>HYPERLINK("https://amzn.to/2YwplrQ","link*")</f>
        <v>link*</v>
      </c>
      <c r="L3" s="88" t="str">
        <f>HYPERLINK("https://www.bhphotovideo.com/c/product/1219549-REG/voigtlander_ba329b_super_wide_heliar_15mm_f_4_5.html/BI/19619/KBID/12129/DFF/d10-v21-t1-x618202/SID/EZ","link*")</f>
        <v>link*</v>
      </c>
      <c r="M3" s="88" t="str">
        <f>HYPERLINK("https://amzn.to/2ZpTKt5","link*")</f>
        <v>link*</v>
      </c>
      <c r="N3"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3" s="83">
        <v>30.0</v>
      </c>
      <c r="P3" s="84" t="s">
        <v>26</v>
      </c>
      <c r="Q3" s="81">
        <v>10.0</v>
      </c>
      <c r="R3" s="128" t="s">
        <v>38</v>
      </c>
      <c r="S3" s="81" t="s">
        <v>28</v>
      </c>
      <c r="T3" s="86">
        <v>42401.0</v>
      </c>
    </row>
    <row r="4" hidden="1">
      <c r="A4" s="603"/>
      <c r="B4" s="76"/>
      <c r="C4" s="81"/>
      <c r="D4" s="78"/>
      <c r="E4" s="79"/>
      <c r="F4" s="79"/>
      <c r="G4" s="84"/>
      <c r="H4" s="82"/>
      <c r="I4" s="81"/>
      <c r="J4" s="81"/>
      <c r="K4" s="89"/>
      <c r="L4" s="89"/>
      <c r="M4" s="89"/>
      <c r="N4" s="89"/>
      <c r="O4" s="81"/>
      <c r="P4" s="84"/>
      <c r="Q4" s="81"/>
      <c r="R4" s="378"/>
      <c r="S4" s="81"/>
      <c r="T4" s="81"/>
    </row>
    <row r="5" hidden="1">
      <c r="A5" s="75" t="s">
        <v>29</v>
      </c>
      <c r="B5" s="76">
        <v>565.0</v>
      </c>
      <c r="C5" s="122">
        <v>12.0</v>
      </c>
      <c r="D5" s="78">
        <v>4.0</v>
      </c>
      <c r="E5" s="79">
        <v>87.0</v>
      </c>
      <c r="F5" s="122">
        <v>117.0</v>
      </c>
      <c r="G5" s="84" t="s">
        <v>30</v>
      </c>
      <c r="H5" s="82" t="s">
        <v>25</v>
      </c>
      <c r="I5" s="81">
        <v>0.14</v>
      </c>
      <c r="J5" s="87">
        <v>1699.0</v>
      </c>
      <c r="K5" s="88" t="str">
        <f>HYPERLINK("https://amzn.to/2SSzKc4","link*")</f>
        <v>link*</v>
      </c>
      <c r="L5" s="88" t="str">
        <f>HYPERLINK("https://www.bhphotovideo.com/c/product/1338517-REG/sony_sel1224g_fe_12_24mm_f_4_g.html/BI/19619/KBID/12129/DFF/d10-v21-t1-x822838/SID/EZ","link*")</f>
        <v>link*</v>
      </c>
      <c r="M5" s="88" t="str">
        <f>HYPERLINK("https://amzn.to/2Kg94zb","link*")</f>
        <v>link*</v>
      </c>
      <c r="N5"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5" s="83">
        <v>24.0</v>
      </c>
      <c r="P5" s="84" t="s">
        <v>26</v>
      </c>
      <c r="Q5" s="81">
        <v>7.0</v>
      </c>
      <c r="R5" s="378" t="s">
        <v>31</v>
      </c>
      <c r="S5" s="81" t="s">
        <v>32</v>
      </c>
      <c r="T5" s="86">
        <v>42856.0</v>
      </c>
    </row>
    <row r="6" hidden="1">
      <c r="A6" s="395"/>
      <c r="B6" s="76"/>
      <c r="C6" s="81"/>
      <c r="D6" s="121"/>
      <c r="E6" s="343"/>
      <c r="F6" s="344"/>
      <c r="G6" s="81"/>
      <c r="H6" s="82"/>
      <c r="I6" s="81"/>
      <c r="J6" s="81"/>
      <c r="K6" s="89"/>
      <c r="L6" s="89"/>
      <c r="M6" s="89"/>
      <c r="N6" s="89"/>
      <c r="O6" s="81"/>
      <c r="P6" s="84"/>
      <c r="Q6" s="81"/>
      <c r="R6" s="123"/>
      <c r="S6" s="81"/>
      <c r="T6" s="346"/>
    </row>
    <row r="7" hidden="1">
      <c r="A7" s="398"/>
      <c r="B7" s="76"/>
      <c r="C7" s="81"/>
      <c r="D7" s="78"/>
      <c r="E7" s="79"/>
      <c r="F7" s="344"/>
      <c r="G7" s="81"/>
      <c r="H7" s="82"/>
      <c r="I7" s="81"/>
      <c r="J7" s="81"/>
      <c r="K7" s="89"/>
      <c r="L7" s="89"/>
      <c r="M7" s="89"/>
      <c r="N7" s="89"/>
      <c r="O7" s="81"/>
      <c r="P7" s="84"/>
      <c r="Q7" s="81"/>
      <c r="R7" s="85"/>
      <c r="S7" s="81"/>
      <c r="T7" s="81"/>
    </row>
    <row r="8" hidden="1">
      <c r="A8" s="395"/>
      <c r="B8" s="76"/>
      <c r="C8" s="81"/>
      <c r="D8" s="78"/>
      <c r="E8" s="79"/>
      <c r="F8" s="79"/>
      <c r="G8" s="81"/>
      <c r="H8" s="82"/>
      <c r="I8" s="81"/>
      <c r="J8" s="81"/>
      <c r="K8" s="89"/>
      <c r="L8" s="89"/>
      <c r="M8" s="89"/>
      <c r="N8" s="89"/>
      <c r="O8" s="81"/>
      <c r="P8" s="84"/>
      <c r="Q8" s="81"/>
      <c r="R8" s="123"/>
      <c r="S8" s="81"/>
      <c r="T8" s="346"/>
    </row>
    <row r="9">
      <c r="A9" s="131" t="str">
        <f>HYPERLINK("https://phillipreeve.net/blog/review-voigtlander-10mm-5-6-e-hyper-wide-heliar/","Voigtlander 10mm F5.6 Hyper Wide ")</f>
        <v>Voigtlander 10mm F5.6 Hyper Wide </v>
      </c>
      <c r="B9" s="76">
        <v>375.0</v>
      </c>
      <c r="C9" s="122">
        <v>10.0</v>
      </c>
      <c r="D9" s="78">
        <v>5.6</v>
      </c>
      <c r="E9" s="388">
        <v>67.0</v>
      </c>
      <c r="F9" s="389" t="s">
        <v>23</v>
      </c>
      <c r="G9" s="390" t="s">
        <v>24</v>
      </c>
      <c r="H9" s="82" t="s">
        <v>25</v>
      </c>
      <c r="I9" s="81">
        <v>0.067</v>
      </c>
      <c r="J9" s="87">
        <v>1099.0</v>
      </c>
      <c r="K9" s="88" t="str">
        <f>HYPERLINK("https://amzn.to/2jJ8WxH","link*")</f>
        <v>link*</v>
      </c>
      <c r="L9" s="88" t="str">
        <f>HYPERLINK("https://www.bhphotovideo.com/c/product/1219550-REG/voigtlander_ba334b_heliar_hyper_wide_10mm_f_5_6.html/BI/19619/KBID/12129/DFF/d10-v21-t1-x732282/SID/EZ","link*")</f>
        <v>link*</v>
      </c>
      <c r="M9" s="88" t="str">
        <f>HYPERLINK("https://amzn.to/2jG72hr","link*")</f>
        <v>link*</v>
      </c>
      <c r="N9" s="88"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9" s="83">
        <v>30.0</v>
      </c>
      <c r="P9" s="84" t="s">
        <v>26</v>
      </c>
      <c r="Q9" s="81">
        <v>10.0</v>
      </c>
      <c r="R9" s="378" t="s">
        <v>27</v>
      </c>
      <c r="S9" s="81" t="s">
        <v>28</v>
      </c>
      <c r="T9" s="86">
        <v>42552.0</v>
      </c>
      <c r="U9" s="68" t="s">
        <v>225</v>
      </c>
    </row>
    <row r="10" hidden="1">
      <c r="A10" s="137"/>
      <c r="B10" s="76"/>
      <c r="C10" s="81"/>
      <c r="D10" s="78"/>
      <c r="E10" s="79"/>
      <c r="F10" s="79"/>
      <c r="G10" s="84"/>
      <c r="H10" s="82"/>
      <c r="I10" s="81"/>
      <c r="J10" s="81"/>
      <c r="K10" s="130"/>
      <c r="L10" s="130"/>
      <c r="M10" s="130"/>
      <c r="N10" s="130"/>
      <c r="O10" s="81"/>
      <c r="P10" s="154"/>
      <c r="Q10" s="81"/>
      <c r="R10" s="128"/>
      <c r="S10" s="81"/>
      <c r="T10" s="81"/>
    </row>
    <row r="11" hidden="1">
      <c r="A11" s="395"/>
      <c r="B11" s="76"/>
      <c r="C11" s="81"/>
      <c r="D11" s="78"/>
      <c r="E11" s="79"/>
      <c r="F11" s="79"/>
      <c r="G11" s="84"/>
      <c r="H11" s="82"/>
      <c r="I11" s="81"/>
      <c r="J11" s="81"/>
      <c r="K11" s="89"/>
      <c r="L11" s="89"/>
      <c r="M11" s="89"/>
      <c r="N11" s="89"/>
      <c r="O11" s="81"/>
      <c r="P11" s="84"/>
      <c r="Q11" s="81"/>
      <c r="R11" s="128"/>
      <c r="S11" s="81"/>
      <c r="T11" s="81"/>
    </row>
    <row r="12" hidden="1">
      <c r="A12" s="611"/>
      <c r="B12" s="76"/>
      <c r="C12" s="81"/>
      <c r="D12" s="78"/>
      <c r="E12" s="379"/>
      <c r="F12" s="79"/>
      <c r="G12" s="84"/>
      <c r="H12" s="82"/>
      <c r="I12" s="81"/>
      <c r="J12" s="643"/>
      <c r="K12" s="89"/>
      <c r="L12" s="89"/>
      <c r="M12" s="89"/>
      <c r="N12" s="89"/>
      <c r="O12" s="81"/>
      <c r="P12" s="84"/>
      <c r="Q12" s="81"/>
      <c r="R12" s="128"/>
      <c r="S12" s="81"/>
      <c r="T12" s="81"/>
    </row>
    <row r="13" hidden="1">
      <c r="A13" s="137"/>
      <c r="B13" s="76"/>
      <c r="C13" s="81"/>
      <c r="D13" s="78"/>
      <c r="E13" s="79"/>
      <c r="F13" s="79"/>
      <c r="G13" s="84"/>
      <c r="H13" s="82"/>
      <c r="I13" s="81"/>
      <c r="J13" s="81"/>
      <c r="K13" s="89"/>
      <c r="L13" s="89"/>
      <c r="M13" s="89"/>
      <c r="N13" s="89"/>
      <c r="O13" s="81"/>
      <c r="P13" s="84"/>
      <c r="Q13" s="81"/>
      <c r="R13" s="128"/>
      <c r="S13" s="81"/>
      <c r="T13" s="346"/>
    </row>
    <row r="14" hidden="1" customHeight="1">
      <c r="A14" s="395"/>
      <c r="B14" s="76"/>
      <c r="C14" s="81"/>
      <c r="D14" s="380"/>
      <c r="E14" s="79"/>
      <c r="F14" s="79"/>
      <c r="G14" s="81"/>
      <c r="H14" s="82"/>
      <c r="I14" s="81"/>
      <c r="J14" s="81"/>
      <c r="K14" s="89"/>
      <c r="L14" s="89"/>
      <c r="M14" s="89"/>
      <c r="N14" s="89"/>
      <c r="O14" s="81"/>
      <c r="P14" s="84"/>
      <c r="Q14" s="81"/>
      <c r="R14" s="123"/>
      <c r="S14" s="81"/>
      <c r="T14" s="346"/>
    </row>
    <row r="15" hidden="1">
      <c r="A15" s="395"/>
      <c r="B15" s="76"/>
      <c r="C15" s="81"/>
      <c r="D15" s="121"/>
      <c r="E15" s="79"/>
      <c r="F15" s="79"/>
      <c r="G15" s="400"/>
      <c r="H15" s="82"/>
      <c r="I15" s="81"/>
      <c r="J15" s="81"/>
      <c r="K15" s="89"/>
      <c r="L15" s="89"/>
      <c r="M15" s="89"/>
      <c r="N15" s="89"/>
      <c r="O15" s="81"/>
      <c r="P15" s="84"/>
      <c r="Q15" s="81"/>
      <c r="R15" s="123"/>
      <c r="S15" s="81"/>
      <c r="T15" s="346"/>
    </row>
    <row r="16" hidden="1">
      <c r="A16" s="137"/>
      <c r="B16" s="76"/>
      <c r="C16" s="81"/>
      <c r="D16" s="125"/>
      <c r="E16" s="391"/>
      <c r="F16" s="79"/>
      <c r="G16" s="397"/>
      <c r="H16" s="82"/>
      <c r="I16" s="81"/>
      <c r="J16" s="644"/>
      <c r="K16" s="130"/>
      <c r="L16" s="130"/>
      <c r="M16" s="130"/>
      <c r="N16" s="130"/>
      <c r="O16" s="81"/>
      <c r="P16" s="84"/>
      <c r="Q16" s="81"/>
      <c r="R16" s="128"/>
      <c r="S16" s="81"/>
      <c r="T16" s="346"/>
    </row>
    <row r="17" hidden="1">
      <c r="A17" s="395"/>
      <c r="B17" s="76"/>
      <c r="C17" s="81"/>
      <c r="D17" s="125"/>
      <c r="E17" s="379"/>
      <c r="F17" s="79"/>
      <c r="G17" s="84"/>
      <c r="H17" s="82"/>
      <c r="I17" s="81"/>
      <c r="J17" s="81"/>
      <c r="K17" s="89"/>
      <c r="L17" s="89"/>
      <c r="M17" s="89"/>
      <c r="N17" s="89"/>
      <c r="O17" s="81"/>
      <c r="P17" s="84"/>
      <c r="Q17" s="81"/>
      <c r="R17" s="128"/>
      <c r="S17" s="81"/>
      <c r="T17" s="346"/>
    </row>
    <row r="18" hidden="1">
      <c r="A18" s="75" t="s">
        <v>40</v>
      </c>
      <c r="B18" s="76">
        <v>1170.0</v>
      </c>
      <c r="C18" s="122">
        <v>14.0</v>
      </c>
      <c r="D18" s="121">
        <v>1.8</v>
      </c>
      <c r="E18" s="343">
        <v>95.0</v>
      </c>
      <c r="F18" s="80">
        <v>126.0</v>
      </c>
      <c r="G18" s="81" t="s">
        <v>30</v>
      </c>
      <c r="H18" s="82" t="s">
        <v>25</v>
      </c>
      <c r="I18" s="81">
        <v>0.1</v>
      </c>
      <c r="J18" s="87">
        <v>1599.0</v>
      </c>
      <c r="K18" s="88" t="str">
        <f>HYPERLINK("https://amzn.to/2SOWTvV","link*")</f>
        <v>link*</v>
      </c>
      <c r="L18" s="88" t="str">
        <f>HYPERLINK("https://www.bhphotovideo.com/c/product/1393489-REG/sigma_14mm_f_1_8_dg_hsm.html/BI/19619/KBID/12129/DFF/d10-v21-t1-x881154/SID/EZ","link*")</f>
        <v>link*</v>
      </c>
      <c r="M18" s="88" t="str">
        <f>HYPERLINK("https://amzn.to/2ZDl4QJ","link*")</f>
        <v>link*</v>
      </c>
      <c r="N18" s="88"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18" s="83">
        <v>27.0</v>
      </c>
      <c r="P18" s="84" t="s">
        <v>26</v>
      </c>
      <c r="Q18" s="81">
        <v>9.0</v>
      </c>
      <c r="R18" s="123">
        <v>43785.0</v>
      </c>
      <c r="S18" s="81" t="s">
        <v>41</v>
      </c>
      <c r="T18" s="86">
        <v>43221.0</v>
      </c>
      <c r="U18" s="68" t="s">
        <v>42</v>
      </c>
    </row>
    <row r="19" hidden="1">
      <c r="A19" s="137"/>
      <c r="B19" s="76"/>
      <c r="C19" s="81"/>
      <c r="D19" s="78"/>
      <c r="E19" s="391"/>
      <c r="F19" s="396"/>
      <c r="G19" s="397"/>
      <c r="H19" s="82"/>
      <c r="I19" s="346"/>
      <c r="J19" s="81"/>
      <c r="K19" s="89"/>
      <c r="L19" s="89"/>
      <c r="M19" s="89"/>
      <c r="N19" s="89"/>
      <c r="O19" s="81"/>
      <c r="P19" s="84"/>
      <c r="Q19" s="81"/>
      <c r="R19" s="128"/>
      <c r="S19" s="81"/>
      <c r="T19" s="346"/>
    </row>
    <row r="20" hidden="1">
      <c r="A20" s="75" t="s">
        <v>43</v>
      </c>
      <c r="B20" s="76">
        <v>795.0</v>
      </c>
      <c r="C20" s="122">
        <v>14.0</v>
      </c>
      <c r="D20" s="78">
        <v>2.8</v>
      </c>
      <c r="E20" s="79">
        <v>85.0</v>
      </c>
      <c r="F20" s="80">
        <v>131.0</v>
      </c>
      <c r="G20" s="81" t="s">
        <v>30</v>
      </c>
      <c r="H20" s="82" t="s">
        <v>25</v>
      </c>
      <c r="I20" s="81">
        <v>0.14</v>
      </c>
      <c r="J20" s="87">
        <v>1399.0</v>
      </c>
      <c r="K20" s="88" t="str">
        <f>HYPERLINK("https://amzn.to/2zt8rMC","link*")</f>
        <v>link*</v>
      </c>
      <c r="L20" s="88" t="str">
        <f>HYPERLINK("https://www.bhphotovideo.com/c/product/1492972-REG/sigma_213965_14_24mm_f_2_8_dg_dn.html/BI/19619/KBID/12129/DFF/d10-v21-t1-x976041/SID/EZ","link*")</f>
        <v>link*</v>
      </c>
      <c r="M20" s="89" t="s">
        <v>33</v>
      </c>
      <c r="N20"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20" s="83">
        <v>28.0</v>
      </c>
      <c r="P20" s="84" t="s">
        <v>26</v>
      </c>
      <c r="Q20" s="81">
        <v>11.0</v>
      </c>
      <c r="R20" s="85" t="s">
        <v>44</v>
      </c>
      <c r="S20" s="81" t="s">
        <v>41</v>
      </c>
      <c r="T20" s="86">
        <v>43739.0</v>
      </c>
      <c r="U20" s="68" t="s">
        <v>37</v>
      </c>
    </row>
    <row r="21" hidden="1">
      <c r="A21" s="137"/>
      <c r="B21" s="76"/>
      <c r="C21" s="81"/>
      <c r="D21" s="149"/>
      <c r="E21" s="79"/>
      <c r="F21" s="79"/>
      <c r="G21" s="84"/>
      <c r="H21" s="82"/>
      <c r="I21" s="81"/>
      <c r="J21" s="81"/>
      <c r="K21" s="89"/>
      <c r="L21" s="89"/>
      <c r="M21" s="89"/>
      <c r="N21" s="89"/>
      <c r="O21" s="81"/>
      <c r="P21" s="84"/>
      <c r="Q21" s="81"/>
      <c r="R21" s="128"/>
      <c r="S21" s="81"/>
      <c r="T21" s="81"/>
    </row>
    <row r="22" hidden="1">
      <c r="A22" s="395"/>
      <c r="B22" s="76"/>
      <c r="C22" s="81"/>
      <c r="D22" s="149"/>
      <c r="E22" s="79"/>
      <c r="F22" s="79"/>
      <c r="G22" s="81"/>
      <c r="H22" s="82"/>
      <c r="I22" s="81"/>
      <c r="J22" s="81"/>
      <c r="K22" s="89"/>
      <c r="L22" s="89"/>
      <c r="M22" s="89"/>
      <c r="N22" s="89"/>
      <c r="O22" s="81"/>
      <c r="P22" s="84"/>
      <c r="Q22" s="81"/>
      <c r="R22" s="123"/>
      <c r="S22" s="81"/>
      <c r="T22" s="346"/>
    </row>
    <row r="23" hidden="1">
      <c r="A23" s="137"/>
      <c r="B23" s="76"/>
      <c r="C23" s="81"/>
      <c r="D23" s="78"/>
      <c r="E23" s="79"/>
      <c r="F23" s="79"/>
      <c r="G23" s="84"/>
      <c r="H23" s="82"/>
      <c r="I23" s="81"/>
      <c r="J23" s="644"/>
      <c r="K23" s="130"/>
      <c r="L23" s="130"/>
      <c r="M23" s="130"/>
      <c r="N23" s="89"/>
      <c r="O23" s="81"/>
      <c r="P23" s="84"/>
      <c r="Q23" s="81"/>
      <c r="R23" s="128"/>
      <c r="S23" s="81"/>
      <c r="T23" s="346"/>
    </row>
    <row r="24" hidden="1">
      <c r="A24" s="137"/>
      <c r="B24" s="76"/>
      <c r="C24" s="81"/>
      <c r="D24" s="78"/>
      <c r="E24" s="79"/>
      <c r="F24" s="79"/>
      <c r="G24" s="84"/>
      <c r="H24" s="82"/>
      <c r="I24" s="140"/>
      <c r="J24" s="81"/>
      <c r="K24" s="89"/>
      <c r="L24" s="89"/>
      <c r="M24" s="89"/>
      <c r="N24" s="89"/>
      <c r="O24" s="81"/>
      <c r="P24" s="84"/>
      <c r="Q24" s="81"/>
      <c r="R24" s="128"/>
      <c r="S24" s="81"/>
      <c r="T24" s="81"/>
    </row>
    <row r="25" hidden="1">
      <c r="A25" s="395"/>
      <c r="B25" s="76"/>
      <c r="C25" s="81"/>
      <c r="D25" s="78"/>
      <c r="E25" s="79"/>
      <c r="F25" s="79"/>
      <c r="G25" s="84"/>
      <c r="H25" s="82"/>
      <c r="I25" s="140"/>
      <c r="J25" s="81"/>
      <c r="K25" s="130"/>
      <c r="L25" s="89"/>
      <c r="M25" s="130"/>
      <c r="N25" s="130"/>
      <c r="O25" s="81"/>
      <c r="P25" s="154"/>
      <c r="Q25" s="81"/>
      <c r="R25" s="128"/>
      <c r="S25" s="81"/>
      <c r="T25" s="81"/>
    </row>
    <row r="26" hidden="1">
      <c r="A26" s="395"/>
      <c r="B26" s="76"/>
      <c r="C26" s="81"/>
      <c r="D26" s="78"/>
      <c r="E26" s="79"/>
      <c r="F26" s="79"/>
      <c r="G26" s="84"/>
      <c r="H26" s="82"/>
      <c r="I26" s="140"/>
      <c r="J26" s="81"/>
      <c r="K26" s="89"/>
      <c r="L26" s="89"/>
      <c r="M26" s="89"/>
      <c r="N26" s="89"/>
      <c r="O26" s="81"/>
      <c r="P26" s="154"/>
      <c r="Q26" s="81"/>
      <c r="R26" s="128"/>
      <c r="S26" s="81"/>
      <c r="T26" s="81"/>
    </row>
    <row r="27" hidden="1">
      <c r="A27" s="137"/>
      <c r="B27" s="76"/>
      <c r="C27" s="81"/>
      <c r="D27" s="78"/>
      <c r="E27" s="79"/>
      <c r="F27" s="79"/>
      <c r="G27" s="84"/>
      <c r="H27" s="82"/>
      <c r="I27" s="81"/>
      <c r="J27" s="81"/>
      <c r="K27" s="130"/>
      <c r="L27" s="89"/>
      <c r="M27" s="130"/>
      <c r="N27" s="130"/>
      <c r="O27" s="81"/>
      <c r="P27" s="154"/>
      <c r="Q27" s="81"/>
      <c r="R27" s="128"/>
      <c r="S27" s="81"/>
      <c r="T27" s="81"/>
    </row>
    <row r="28" hidden="1">
      <c r="A28" s="137"/>
      <c r="B28" s="76"/>
      <c r="C28" s="81"/>
      <c r="D28" s="78"/>
      <c r="E28" s="79"/>
      <c r="F28" s="79"/>
      <c r="G28" s="84"/>
      <c r="H28" s="82"/>
      <c r="I28" s="81"/>
      <c r="J28" s="81"/>
      <c r="K28" s="89"/>
      <c r="L28" s="89"/>
      <c r="M28" s="89"/>
      <c r="N28" s="89"/>
      <c r="O28" s="81"/>
      <c r="P28" s="84"/>
      <c r="Q28" s="81"/>
      <c r="R28" s="128"/>
      <c r="S28" s="81"/>
      <c r="T28" s="346"/>
    </row>
    <row r="29" hidden="1">
      <c r="A29" s="137"/>
      <c r="B29" s="76"/>
      <c r="C29" s="81"/>
      <c r="D29" s="78"/>
      <c r="E29" s="79"/>
      <c r="F29" s="79"/>
      <c r="G29" s="397"/>
      <c r="H29" s="82"/>
      <c r="I29" s="81"/>
      <c r="J29" s="81"/>
      <c r="K29" s="89"/>
      <c r="L29" s="89"/>
      <c r="M29" s="89"/>
      <c r="N29" s="89"/>
      <c r="O29" s="81"/>
      <c r="P29" s="84"/>
      <c r="Q29" s="81"/>
      <c r="R29" s="128"/>
      <c r="S29" s="81"/>
      <c r="T29" s="346"/>
    </row>
    <row r="30" hidden="1">
      <c r="A30" s="395"/>
      <c r="B30" s="76"/>
      <c r="C30" s="81"/>
      <c r="D30" s="78"/>
      <c r="E30" s="79"/>
      <c r="F30" s="79"/>
      <c r="G30" s="84"/>
      <c r="H30" s="82"/>
      <c r="I30" s="81"/>
      <c r="J30" s="643"/>
      <c r="K30" s="89"/>
      <c r="L30" s="89"/>
      <c r="M30" s="89"/>
      <c r="N30" s="89"/>
      <c r="O30" s="81"/>
      <c r="P30" s="84"/>
      <c r="Q30" s="81"/>
      <c r="R30" s="128"/>
      <c r="S30" s="81"/>
      <c r="T30" s="81"/>
    </row>
    <row r="31" hidden="1">
      <c r="A31" s="137"/>
      <c r="B31" s="76"/>
      <c r="C31" s="81"/>
      <c r="D31" s="78"/>
      <c r="E31" s="79"/>
      <c r="F31" s="79"/>
      <c r="G31" s="84"/>
      <c r="H31" s="82"/>
      <c r="I31" s="81"/>
      <c r="J31" s="643"/>
      <c r="K31" s="89"/>
      <c r="L31" s="89"/>
      <c r="M31" s="89"/>
      <c r="N31" s="89"/>
      <c r="O31" s="81"/>
      <c r="P31" s="84"/>
      <c r="Q31" s="81"/>
      <c r="R31" s="128"/>
      <c r="S31" s="81"/>
      <c r="T31" s="81"/>
    </row>
    <row r="32" hidden="1">
      <c r="A32" s="137"/>
      <c r="B32" s="76"/>
      <c r="C32" s="81"/>
      <c r="D32" s="78"/>
      <c r="E32" s="79"/>
      <c r="F32" s="79"/>
      <c r="G32" s="84"/>
      <c r="H32" s="82"/>
      <c r="I32" s="140"/>
      <c r="J32" s="643"/>
      <c r="K32" s="89"/>
      <c r="L32" s="89"/>
      <c r="M32" s="89"/>
      <c r="N32" s="89"/>
      <c r="O32" s="81"/>
      <c r="P32" s="84"/>
      <c r="Q32" s="81"/>
      <c r="R32" s="128"/>
      <c r="S32" s="81"/>
      <c r="T32" s="346"/>
    </row>
    <row r="33" hidden="1">
      <c r="A33" s="395"/>
      <c r="B33" s="76"/>
      <c r="C33" s="81"/>
      <c r="D33" s="78"/>
      <c r="E33" s="79"/>
      <c r="F33" s="79"/>
      <c r="G33" s="84"/>
      <c r="H33" s="82"/>
      <c r="I33" s="346"/>
      <c r="J33" s="81"/>
      <c r="K33" s="89"/>
      <c r="L33" s="89"/>
      <c r="M33" s="89"/>
      <c r="N33" s="89"/>
      <c r="O33" s="346"/>
      <c r="P33" s="154"/>
      <c r="Q33" s="346"/>
      <c r="R33" s="378"/>
      <c r="S33" s="81"/>
      <c r="T33" s="81"/>
    </row>
    <row r="34" hidden="1">
      <c r="A34" s="395"/>
      <c r="B34" s="76"/>
      <c r="C34" s="81"/>
      <c r="D34" s="78"/>
      <c r="E34" s="79"/>
      <c r="F34" s="79"/>
      <c r="G34" s="84"/>
      <c r="H34" s="382"/>
      <c r="I34" s="346"/>
      <c r="J34" s="81"/>
      <c r="K34" s="89"/>
      <c r="L34" s="89"/>
      <c r="M34" s="89"/>
      <c r="N34" s="89"/>
      <c r="O34" s="346"/>
      <c r="P34" s="154"/>
      <c r="Q34" s="346"/>
      <c r="R34" s="378"/>
      <c r="S34" s="81"/>
      <c r="T34" s="81"/>
    </row>
    <row r="35" hidden="1" customHeight="1">
      <c r="A35" s="402"/>
      <c r="B35" s="76"/>
      <c r="C35" s="81"/>
      <c r="D35" s="383"/>
      <c r="E35" s="79"/>
      <c r="F35" s="79"/>
      <c r="G35" s="81"/>
      <c r="H35" s="270"/>
      <c r="I35" s="81"/>
      <c r="J35" s="81"/>
      <c r="K35" s="89"/>
      <c r="L35" s="89"/>
      <c r="M35" s="89"/>
      <c r="N35" s="89"/>
      <c r="O35" s="81"/>
      <c r="P35" s="84"/>
      <c r="Q35" s="81"/>
      <c r="R35" s="123"/>
      <c r="S35" s="81"/>
      <c r="T35" s="81"/>
    </row>
    <row r="36" hidden="1">
      <c r="A36" s="137"/>
      <c r="B36" s="76"/>
      <c r="C36" s="81"/>
      <c r="D36" s="78"/>
      <c r="E36" s="79"/>
      <c r="F36" s="79"/>
      <c r="G36" s="81"/>
      <c r="H36" s="82"/>
      <c r="I36" s="81"/>
      <c r="J36" s="81"/>
      <c r="K36" s="89"/>
      <c r="L36" s="89"/>
      <c r="M36" s="89"/>
      <c r="N36" s="89"/>
      <c r="O36" s="81"/>
      <c r="P36" s="84"/>
      <c r="Q36" s="81"/>
      <c r="R36" s="123"/>
      <c r="S36" s="81"/>
      <c r="T36" s="81"/>
    </row>
    <row r="37" hidden="1">
      <c r="A37" s="395"/>
      <c r="B37" s="76"/>
      <c r="C37" s="81"/>
      <c r="D37" s="78"/>
      <c r="E37" s="79"/>
      <c r="F37" s="79"/>
      <c r="G37" s="81"/>
      <c r="H37" s="82"/>
      <c r="I37" s="81"/>
      <c r="J37" s="81"/>
      <c r="K37" s="89"/>
      <c r="L37" s="89"/>
      <c r="M37" s="89"/>
      <c r="N37" s="89"/>
      <c r="O37" s="81"/>
      <c r="P37" s="84"/>
      <c r="Q37" s="81"/>
      <c r="R37" s="123"/>
      <c r="S37" s="81"/>
      <c r="T37" s="346"/>
    </row>
    <row r="38" hidden="1">
      <c r="A38" s="75" t="s">
        <v>45</v>
      </c>
      <c r="B38" s="76">
        <v>505.0</v>
      </c>
      <c r="C38" s="122">
        <v>14.0</v>
      </c>
      <c r="D38" s="78">
        <v>2.8</v>
      </c>
      <c r="E38" s="79">
        <v>86.0</v>
      </c>
      <c r="F38" s="122">
        <v>98.0</v>
      </c>
      <c r="G38" s="81" t="s">
        <v>30</v>
      </c>
      <c r="H38" s="82" t="s">
        <v>25</v>
      </c>
      <c r="I38" s="81">
        <v>0.12</v>
      </c>
      <c r="J38" s="87">
        <v>799.0</v>
      </c>
      <c r="K38" s="88" t="str">
        <f>HYPERLINK("https://amzn.to/2SX2HUi","link*")</f>
        <v>link*</v>
      </c>
      <c r="L38" s="88" t="str">
        <f>HYPERLINK("https://www.bhphotovideo.com/c/product/1352863-REG/samyang_syio14af_e_14mm_f_2_8_f_f_wide.html/BI/19619/KBID/12129/DFF/d10-v21-t1-x837928/SID/EZ","link*")</f>
        <v>link*</v>
      </c>
      <c r="M38" s="88" t="str">
        <f>HYPERLINK("https://amzn.to/31hwSIL","link*")</f>
        <v>link*</v>
      </c>
      <c r="N38"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38" s="83">
        <v>20.0</v>
      </c>
      <c r="P38" s="84" t="s">
        <v>26</v>
      </c>
      <c r="Q38" s="81">
        <v>7.0</v>
      </c>
      <c r="R38" s="123">
        <v>43752.0</v>
      </c>
      <c r="S38" s="81" t="s">
        <v>46</v>
      </c>
      <c r="T38" s="86">
        <v>43221.0</v>
      </c>
    </row>
    <row r="39" hidden="1" customHeight="1">
      <c r="A39" s="395"/>
      <c r="B39" s="76"/>
      <c r="C39" s="81"/>
      <c r="D39" s="78"/>
      <c r="E39" s="79"/>
      <c r="F39" s="79"/>
      <c r="G39" s="81"/>
      <c r="H39" s="82"/>
      <c r="I39" s="81"/>
      <c r="J39" s="643"/>
      <c r="K39" s="89"/>
      <c r="L39" s="89"/>
      <c r="M39" s="89"/>
      <c r="N39" s="89"/>
      <c r="O39" s="81"/>
      <c r="P39" s="84"/>
      <c r="Q39" s="81"/>
      <c r="R39" s="123"/>
      <c r="S39" s="81"/>
      <c r="T39" s="346"/>
    </row>
    <row r="40" hidden="1">
      <c r="A40" s="395"/>
      <c r="B40" s="76"/>
      <c r="C40" s="81"/>
      <c r="D40" s="78"/>
      <c r="E40" s="79"/>
      <c r="F40" s="79"/>
      <c r="G40" s="81"/>
      <c r="H40" s="82"/>
      <c r="I40" s="185"/>
      <c r="J40" s="81"/>
      <c r="K40" s="89"/>
      <c r="L40" s="89"/>
      <c r="M40" s="89"/>
      <c r="N40" s="89"/>
      <c r="O40" s="81"/>
      <c r="P40" s="84"/>
      <c r="Q40" s="81"/>
      <c r="R40" s="123"/>
      <c r="S40" s="81"/>
      <c r="T40" s="81"/>
    </row>
    <row r="41" hidden="1">
      <c r="A41" s="137"/>
      <c r="B41" s="76"/>
      <c r="C41" s="81"/>
      <c r="D41" s="78"/>
      <c r="E41" s="79"/>
      <c r="F41" s="79"/>
      <c r="G41" s="400"/>
      <c r="H41" s="82"/>
      <c r="I41" s="81"/>
      <c r="J41" s="81"/>
      <c r="K41" s="89"/>
      <c r="L41" s="89"/>
      <c r="M41" s="89"/>
      <c r="N41" s="89"/>
      <c r="O41" s="81"/>
      <c r="P41" s="84"/>
      <c r="Q41" s="81"/>
      <c r="R41" s="123"/>
      <c r="S41" s="81"/>
      <c r="T41" s="346"/>
    </row>
    <row r="42" hidden="1">
      <c r="A42" s="137"/>
      <c r="B42" s="76"/>
      <c r="C42" s="81"/>
      <c r="D42" s="78"/>
      <c r="E42" s="79"/>
      <c r="F42" s="79"/>
      <c r="G42" s="81"/>
      <c r="H42" s="82"/>
      <c r="I42" s="81"/>
      <c r="J42" s="81"/>
      <c r="K42" s="89"/>
      <c r="L42" s="89"/>
      <c r="M42" s="89"/>
      <c r="N42" s="89"/>
      <c r="O42" s="81"/>
      <c r="P42" s="84"/>
      <c r="Q42" s="81"/>
      <c r="R42" s="123"/>
      <c r="S42" s="81"/>
      <c r="T42" s="81"/>
    </row>
    <row r="43" hidden="1">
      <c r="A43" s="395"/>
      <c r="B43" s="76"/>
      <c r="C43" s="81"/>
      <c r="D43" s="78"/>
      <c r="E43" s="79"/>
      <c r="F43" s="79"/>
      <c r="G43" s="81"/>
      <c r="H43" s="82"/>
      <c r="I43" s="81"/>
      <c r="J43" s="645"/>
      <c r="K43" s="89"/>
      <c r="L43" s="89"/>
      <c r="M43" s="89"/>
      <c r="N43" s="89"/>
      <c r="O43" s="81"/>
      <c r="P43" s="84"/>
      <c r="Q43" s="81"/>
      <c r="R43" s="123"/>
      <c r="S43" s="81"/>
      <c r="T43" s="81"/>
    </row>
    <row r="44">
      <c r="A44" s="131" t="str">
        <f>HYPERLINK("https://phillipreeve.net/blog/review-voigtlander-12mm-5-6-aspherical-ultra-wide-heliar/","Voigtlander 12mm F5.6 Ultra Wide-Heliar Aspherical")</f>
        <v>Voigtlander 12mm F5.6 Ultra Wide-Heliar Aspherical</v>
      </c>
      <c r="B44" s="76">
        <v>350.0</v>
      </c>
      <c r="C44" s="122">
        <v>12.0</v>
      </c>
      <c r="D44" s="78">
        <v>5.6</v>
      </c>
      <c r="E44" s="391">
        <v>67.0</v>
      </c>
      <c r="F44" s="389">
        <v>68.0</v>
      </c>
      <c r="G44" s="84" t="s">
        <v>24</v>
      </c>
      <c r="H44" s="82" t="s">
        <v>25</v>
      </c>
      <c r="I44" s="81"/>
      <c r="J44" s="87">
        <v>749.0</v>
      </c>
      <c r="K44" s="89"/>
      <c r="L44" s="89"/>
      <c r="M44" s="89"/>
      <c r="N44" s="88"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44" s="83">
        <v>30.0</v>
      </c>
      <c r="P44" s="84" t="s">
        <v>26</v>
      </c>
      <c r="Q44" s="81">
        <v>10.0</v>
      </c>
      <c r="R44" s="378" t="s">
        <v>38</v>
      </c>
      <c r="S44" s="81" t="s">
        <v>28</v>
      </c>
      <c r="T44" s="86">
        <v>42583.0</v>
      </c>
      <c r="U44" s="68" t="s">
        <v>39</v>
      </c>
    </row>
    <row r="45" hidden="1">
      <c r="A45" s="395"/>
      <c r="B45" s="76"/>
      <c r="C45" s="81"/>
      <c r="D45" s="78"/>
      <c r="E45" s="622"/>
      <c r="F45" s="622"/>
      <c r="G45" s="81"/>
      <c r="H45" s="198"/>
      <c r="I45" s="81"/>
      <c r="J45" s="81"/>
      <c r="K45" s="89"/>
      <c r="L45" s="89"/>
      <c r="M45" s="89"/>
      <c r="N45" s="89"/>
      <c r="O45" s="81"/>
      <c r="P45" s="84"/>
      <c r="Q45" s="81"/>
      <c r="R45" s="123"/>
      <c r="S45" s="81"/>
      <c r="T45" s="346"/>
    </row>
    <row r="46" hidden="1">
      <c r="A46" s="395"/>
      <c r="B46" s="76"/>
      <c r="C46" s="81"/>
      <c r="D46" s="78"/>
      <c r="E46" s="79"/>
      <c r="F46" s="79"/>
      <c r="G46" s="81"/>
      <c r="H46" s="82"/>
      <c r="I46" s="185"/>
      <c r="J46" s="81"/>
      <c r="K46" s="89"/>
      <c r="L46" s="89"/>
      <c r="M46" s="89"/>
      <c r="N46" s="89"/>
      <c r="O46" s="81"/>
      <c r="P46" s="84"/>
      <c r="Q46" s="81"/>
      <c r="R46" s="123"/>
      <c r="S46" s="81"/>
      <c r="T46" s="346"/>
    </row>
    <row r="47" hidden="1">
      <c r="A47" s="402"/>
      <c r="B47" s="76"/>
      <c r="C47" s="81"/>
      <c r="D47" s="78"/>
      <c r="E47" s="79"/>
      <c r="F47" s="79"/>
      <c r="G47" s="81"/>
      <c r="H47" s="82"/>
      <c r="I47" s="81"/>
      <c r="J47" s="644"/>
      <c r="K47" s="89"/>
      <c r="L47" s="89"/>
      <c r="M47" s="89"/>
      <c r="N47" s="89"/>
      <c r="O47" s="81"/>
      <c r="P47" s="84"/>
      <c r="Q47" s="81"/>
      <c r="R47" s="123"/>
      <c r="S47" s="81"/>
      <c r="T47" s="346"/>
    </row>
    <row r="48" hidden="1">
      <c r="A48" s="398"/>
      <c r="B48" s="76"/>
      <c r="C48" s="81"/>
      <c r="D48" s="78"/>
      <c r="E48" s="79"/>
      <c r="F48" s="79"/>
      <c r="G48" s="81"/>
      <c r="H48" s="82"/>
      <c r="I48" s="140"/>
      <c r="J48" s="81"/>
      <c r="K48" s="89"/>
      <c r="L48" s="89"/>
      <c r="M48" s="89"/>
      <c r="N48" s="89"/>
      <c r="O48" s="81"/>
      <c r="P48" s="84"/>
      <c r="Q48" s="81"/>
      <c r="R48" s="123"/>
      <c r="S48" s="81"/>
      <c r="T48" s="346"/>
    </row>
    <row r="49" hidden="1">
      <c r="A49" s="131" t="str">
        <f>HYPERLINK("https://phillipreeve.net/blog/sony-fe-16-35mm-f4-za-t-review/","Sony ZA 4/16-35 OSS ")</f>
        <v>Sony ZA 4/16-35 OSS </v>
      </c>
      <c r="B49" s="76">
        <v>523.0</v>
      </c>
      <c r="C49" s="122">
        <v>16.0</v>
      </c>
      <c r="D49" s="78">
        <v>4.0</v>
      </c>
      <c r="E49" s="79">
        <v>78.0</v>
      </c>
      <c r="F49" s="122">
        <v>98.0</v>
      </c>
      <c r="G49" s="84" t="s">
        <v>30</v>
      </c>
      <c r="H49" s="82" t="s">
        <v>48</v>
      </c>
      <c r="I49" s="81">
        <v>0.19</v>
      </c>
      <c r="J49" s="87">
        <v>1349.0</v>
      </c>
      <c r="K49" s="88" t="str">
        <f>HYPERLINK("http://amzn.to/2v2sY7q","link*")</f>
        <v>link*</v>
      </c>
      <c r="L49" s="88" t="str">
        <f>HYPERLINK("https://www.bhphotovideo.com/c/product/1380866-REG/sony_16_35mm_f_4_vario_tsr.html/BI/19619/KBID/12129/kw/SO16354F/DFF/d10-v2-t1-xSO16354F","link*")</f>
        <v>link*</v>
      </c>
      <c r="M49" s="88" t="str">
        <f>HYPERLINK("http://amzn.to/2wyMLuP","link*")</f>
        <v>link*</v>
      </c>
      <c r="N49"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49" s="83">
        <v>28.0</v>
      </c>
      <c r="P49" s="154" t="s">
        <v>49</v>
      </c>
      <c r="Q49" s="81">
        <v>7.0</v>
      </c>
      <c r="R49" s="128" t="s">
        <v>38</v>
      </c>
      <c r="S49" s="81" t="s">
        <v>32</v>
      </c>
      <c r="T49" s="86">
        <v>41883.0</v>
      </c>
    </row>
    <row r="50" hidden="1">
      <c r="A50" s="395"/>
      <c r="B50" s="76"/>
      <c r="C50" s="81"/>
      <c r="D50" s="78"/>
      <c r="E50" s="79"/>
      <c r="F50" s="79"/>
      <c r="G50" s="81"/>
      <c r="H50" s="82"/>
      <c r="I50" s="81"/>
      <c r="J50" s="81"/>
      <c r="K50" s="89"/>
      <c r="L50" s="89"/>
      <c r="M50" s="89"/>
      <c r="N50" s="89"/>
      <c r="O50" s="81"/>
      <c r="P50" s="84"/>
      <c r="Q50" s="81"/>
      <c r="R50" s="123"/>
      <c r="S50" s="81"/>
      <c r="T50" s="346"/>
    </row>
    <row r="51" hidden="1">
      <c r="A51" s="395"/>
      <c r="B51" s="76"/>
      <c r="C51" s="81"/>
      <c r="D51" s="78"/>
      <c r="E51" s="79"/>
      <c r="F51" s="79"/>
      <c r="G51" s="81"/>
      <c r="H51" s="82"/>
      <c r="I51" s="81"/>
      <c r="J51" s="81"/>
      <c r="K51" s="89"/>
      <c r="L51" s="89"/>
      <c r="M51" s="89"/>
      <c r="N51" s="89"/>
      <c r="O51" s="81"/>
      <c r="P51" s="84"/>
      <c r="Q51" s="81"/>
      <c r="R51" s="403"/>
      <c r="S51" s="81"/>
      <c r="T51" s="346"/>
    </row>
    <row r="52" hidden="1">
      <c r="A52" s="395"/>
      <c r="B52" s="76"/>
      <c r="C52" s="81"/>
      <c r="D52" s="78"/>
      <c r="E52" s="79"/>
      <c r="F52" s="79"/>
      <c r="G52" s="81"/>
      <c r="H52" s="82"/>
      <c r="I52" s="81"/>
      <c r="J52" s="81"/>
      <c r="K52" s="89"/>
      <c r="L52" s="89"/>
      <c r="M52" s="89"/>
      <c r="N52" s="89"/>
      <c r="O52" s="81"/>
      <c r="P52" s="84"/>
      <c r="Q52" s="81"/>
      <c r="R52" s="123"/>
      <c r="S52" s="81"/>
      <c r="T52" s="346"/>
    </row>
    <row r="53" hidden="1">
      <c r="A53" s="137"/>
      <c r="B53" s="76"/>
      <c r="C53" s="81"/>
      <c r="D53" s="78"/>
      <c r="E53" s="79"/>
      <c r="F53" s="79"/>
      <c r="G53" s="81"/>
      <c r="H53" s="82"/>
      <c r="I53" s="81"/>
      <c r="J53" s="643"/>
      <c r="K53" s="89"/>
      <c r="L53" s="89"/>
      <c r="M53" s="89"/>
      <c r="N53" s="89"/>
      <c r="O53" s="81"/>
      <c r="P53" s="84"/>
      <c r="Q53" s="81"/>
      <c r="R53" s="123"/>
      <c r="S53" s="81"/>
      <c r="T53" s="81"/>
    </row>
    <row r="54" hidden="1">
      <c r="A54" s="137"/>
      <c r="B54" s="76"/>
      <c r="C54" s="81"/>
      <c r="D54" s="78"/>
      <c r="E54" s="79"/>
      <c r="F54" s="79"/>
      <c r="G54" s="400"/>
      <c r="H54" s="82"/>
      <c r="I54" s="81"/>
      <c r="J54" s="81"/>
      <c r="K54" s="89"/>
      <c r="L54" s="89"/>
      <c r="M54" s="89"/>
      <c r="N54" s="89"/>
      <c r="O54" s="81"/>
      <c r="P54" s="84"/>
      <c r="Q54" s="81"/>
      <c r="R54" s="123"/>
      <c r="S54" s="81"/>
      <c r="T54" s="346"/>
    </row>
    <row r="55" hidden="1">
      <c r="A55" s="137"/>
      <c r="B55" s="76"/>
      <c r="C55" s="81"/>
      <c r="D55" s="78"/>
      <c r="E55" s="79"/>
      <c r="F55" s="79"/>
      <c r="G55" s="81"/>
      <c r="H55" s="82"/>
      <c r="I55" s="259"/>
      <c r="J55" s="644"/>
      <c r="K55" s="89"/>
      <c r="L55" s="89"/>
      <c r="M55" s="89"/>
      <c r="N55" s="89"/>
      <c r="O55" s="81"/>
      <c r="P55" s="84"/>
      <c r="Q55" s="81"/>
      <c r="R55" s="123"/>
      <c r="S55" s="81"/>
      <c r="T55" s="81"/>
    </row>
    <row r="56" hidden="1">
      <c r="A56" s="137"/>
      <c r="B56" s="76"/>
      <c r="C56" s="81"/>
      <c r="D56" s="78"/>
      <c r="E56" s="79"/>
      <c r="F56" s="79"/>
      <c r="G56" s="81"/>
      <c r="H56" s="82"/>
      <c r="I56" s="81"/>
      <c r="J56" s="81"/>
      <c r="K56" s="89"/>
      <c r="L56" s="89"/>
      <c r="M56" s="89"/>
      <c r="N56" s="89"/>
      <c r="O56" s="81"/>
      <c r="P56" s="84"/>
      <c r="Q56" s="81"/>
      <c r="R56" s="123"/>
      <c r="S56" s="81"/>
      <c r="T56" s="81"/>
    </row>
    <row r="57" hidden="1">
      <c r="A57" s="75" t="s">
        <v>50</v>
      </c>
      <c r="B57" s="76">
        <v>680.0</v>
      </c>
      <c r="C57" s="122">
        <v>16.0</v>
      </c>
      <c r="D57" s="78">
        <v>2.8</v>
      </c>
      <c r="E57" s="79">
        <v>89.0</v>
      </c>
      <c r="F57" s="122">
        <v>122.0</v>
      </c>
      <c r="G57" s="84" t="s">
        <v>30</v>
      </c>
      <c r="H57" s="82" t="s">
        <v>51</v>
      </c>
      <c r="I57" s="81">
        <v>0.19</v>
      </c>
      <c r="J57" s="87">
        <v>2199.0</v>
      </c>
      <c r="K57" s="88" t="str">
        <f>HYPERLINK("https://amzn.to/2SR0IRl","link*")</f>
        <v>link*</v>
      </c>
      <c r="L57" s="88" t="str">
        <f>HYPERLINK("https://www.bhphotovideo.com/c/product/1338516-REG/sony_sel1635gm_fe_16_35mm_f_2_8_gm.html/BI/19619/KBID/12129/DFF/d10-v21-t1-x822837/SID/EZ","link*")</f>
        <v>link*</v>
      </c>
      <c r="M57" s="88" t="str">
        <f>HYPERLINK("https://amzn.to/2T1ZxOU","link*")</f>
        <v>link*</v>
      </c>
      <c r="N57"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57" s="83">
        <v>28.0</v>
      </c>
      <c r="P57" s="84" t="s">
        <v>26</v>
      </c>
      <c r="Q57" s="81">
        <v>11.0</v>
      </c>
      <c r="R57" s="128" t="s">
        <v>52</v>
      </c>
      <c r="S57" s="81" t="s">
        <v>32</v>
      </c>
      <c r="T57" s="86">
        <v>42856.0</v>
      </c>
    </row>
    <row r="58" hidden="1">
      <c r="A58" s="395"/>
      <c r="B58" s="76"/>
      <c r="C58" s="81"/>
      <c r="D58" s="78"/>
      <c r="E58" s="79"/>
      <c r="F58" s="79"/>
      <c r="G58" s="81"/>
      <c r="H58" s="82"/>
      <c r="I58" s="259"/>
      <c r="J58" s="645"/>
      <c r="K58" s="89"/>
      <c r="L58" s="89"/>
      <c r="M58" s="89"/>
      <c r="N58" s="89"/>
      <c r="O58" s="81"/>
      <c r="P58" s="84"/>
      <c r="Q58" s="81"/>
      <c r="R58" s="123"/>
      <c r="S58" s="81"/>
      <c r="T58" s="346"/>
    </row>
    <row r="59" hidden="1">
      <c r="A59" s="395"/>
      <c r="B59" s="76"/>
      <c r="C59" s="81"/>
      <c r="D59" s="78"/>
      <c r="E59" s="79"/>
      <c r="F59" s="79"/>
      <c r="G59" s="81"/>
      <c r="H59" s="82"/>
      <c r="I59" s="185"/>
      <c r="J59" s="81"/>
      <c r="K59" s="89"/>
      <c r="L59" s="89"/>
      <c r="M59" s="89"/>
      <c r="N59" s="89"/>
      <c r="O59" s="81"/>
      <c r="P59" s="154"/>
      <c r="Q59" s="81"/>
      <c r="R59" s="85"/>
      <c r="S59" s="81"/>
      <c r="T59" s="81"/>
    </row>
    <row r="60" hidden="1">
      <c r="A60" s="395"/>
      <c r="B60" s="76"/>
      <c r="C60" s="81"/>
      <c r="D60" s="78"/>
      <c r="E60" s="79"/>
      <c r="F60" s="79"/>
      <c r="G60" s="81"/>
      <c r="H60" s="82"/>
      <c r="I60" s="140"/>
      <c r="J60" s="81"/>
      <c r="K60" s="89"/>
      <c r="L60" s="89"/>
      <c r="M60" s="89"/>
      <c r="N60" s="89"/>
      <c r="O60" s="81"/>
      <c r="P60" s="154"/>
      <c r="Q60" s="81"/>
      <c r="R60" s="403"/>
      <c r="S60" s="81"/>
      <c r="T60" s="81"/>
    </row>
    <row r="61" hidden="1">
      <c r="A61" s="137"/>
      <c r="B61" s="76"/>
      <c r="C61" s="81"/>
      <c r="D61" s="78"/>
      <c r="E61" s="79"/>
      <c r="F61" s="79"/>
      <c r="G61" s="81"/>
      <c r="H61" s="82"/>
      <c r="I61" s="346"/>
      <c r="J61" s="81"/>
      <c r="K61" s="89"/>
      <c r="L61" s="89"/>
      <c r="M61" s="89"/>
      <c r="N61" s="89"/>
      <c r="O61" s="81"/>
      <c r="P61" s="154"/>
      <c r="Q61" s="81"/>
      <c r="R61" s="85"/>
      <c r="S61" s="81"/>
      <c r="T61" s="81"/>
    </row>
    <row r="62" hidden="1">
      <c r="A62" s="137"/>
      <c r="B62" s="76"/>
      <c r="C62" s="81"/>
      <c r="D62" s="78"/>
      <c r="E62" s="79"/>
      <c r="F62" s="79"/>
      <c r="G62" s="81"/>
      <c r="H62" s="82"/>
      <c r="I62" s="81"/>
      <c r="J62" s="81"/>
      <c r="K62" s="89"/>
      <c r="L62" s="89"/>
      <c r="M62" s="89"/>
      <c r="N62" s="89"/>
      <c r="O62" s="81"/>
      <c r="P62" s="84"/>
      <c r="Q62" s="81"/>
      <c r="R62" s="123"/>
      <c r="S62" s="81"/>
      <c r="T62" s="81"/>
    </row>
    <row r="63" hidden="1">
      <c r="A63" s="395"/>
      <c r="B63" s="76"/>
      <c r="C63" s="81"/>
      <c r="D63" s="78"/>
      <c r="E63" s="79"/>
      <c r="F63" s="79"/>
      <c r="G63" s="81"/>
      <c r="H63" s="232"/>
      <c r="I63" s="81"/>
      <c r="J63" s="81"/>
      <c r="K63" s="89"/>
      <c r="L63" s="89"/>
      <c r="M63" s="89"/>
      <c r="N63" s="89"/>
      <c r="O63" s="81"/>
      <c r="P63" s="84"/>
      <c r="Q63" s="81"/>
      <c r="R63" s="403"/>
      <c r="S63" s="81"/>
      <c r="T63" s="346"/>
    </row>
    <row r="64" hidden="1">
      <c r="A64" s="395"/>
      <c r="B64" s="76"/>
      <c r="C64" s="81"/>
      <c r="D64" s="78"/>
      <c r="E64" s="79"/>
      <c r="F64" s="79"/>
      <c r="G64" s="81"/>
      <c r="H64" s="82"/>
      <c r="I64" s="81"/>
      <c r="J64" s="643"/>
      <c r="K64" s="89"/>
      <c r="L64" s="89"/>
      <c r="M64" s="89"/>
      <c r="N64" s="89"/>
      <c r="O64" s="81"/>
      <c r="P64" s="84"/>
      <c r="Q64" s="81"/>
      <c r="R64" s="123"/>
      <c r="S64" s="81"/>
      <c r="T64" s="346"/>
    </row>
    <row r="65" hidden="1">
      <c r="A65" s="137"/>
      <c r="B65" s="76"/>
      <c r="C65" s="81"/>
      <c r="D65" s="78"/>
      <c r="E65" s="79"/>
      <c r="F65" s="79"/>
      <c r="G65" s="81"/>
      <c r="H65" s="82"/>
      <c r="I65" s="81"/>
      <c r="J65" s="643"/>
      <c r="K65" s="89"/>
      <c r="L65" s="89"/>
      <c r="M65" s="89"/>
      <c r="N65" s="89"/>
      <c r="O65" s="81"/>
      <c r="P65" s="84"/>
      <c r="Q65" s="81"/>
      <c r="R65" s="123"/>
      <c r="S65" s="81"/>
      <c r="T65" s="81"/>
    </row>
    <row r="66" hidden="1">
      <c r="A66" s="625"/>
      <c r="B66" s="76"/>
      <c r="C66" s="81"/>
      <c r="D66" s="78"/>
      <c r="E66" s="79"/>
      <c r="F66" s="79"/>
      <c r="G66" s="81"/>
      <c r="H66" s="82"/>
      <c r="I66" s="81"/>
      <c r="J66" s="81"/>
      <c r="K66" s="89"/>
      <c r="L66" s="89"/>
      <c r="M66" s="89"/>
      <c r="N66" s="89"/>
      <c r="O66" s="81"/>
      <c r="P66" s="154"/>
      <c r="Q66" s="81"/>
      <c r="R66" s="123"/>
      <c r="S66" s="81"/>
      <c r="T66" s="346"/>
    </row>
    <row r="67" hidden="1">
      <c r="A67" s="395"/>
      <c r="B67" s="76"/>
      <c r="C67" s="81"/>
      <c r="D67" s="78"/>
      <c r="E67" s="622"/>
      <c r="F67" s="622"/>
      <c r="G67" s="400"/>
      <c r="H67" s="82"/>
      <c r="I67" s="81"/>
      <c r="J67" s="81"/>
      <c r="K67" s="89"/>
      <c r="L67" s="89"/>
      <c r="M67" s="89"/>
      <c r="N67" s="89"/>
      <c r="O67" s="81"/>
      <c r="P67" s="84"/>
      <c r="Q67" s="81"/>
      <c r="R67" s="123"/>
      <c r="S67" s="81"/>
      <c r="T67" s="346"/>
    </row>
    <row r="68" hidden="1">
      <c r="A68" s="395"/>
      <c r="B68" s="76"/>
      <c r="C68" s="81"/>
      <c r="D68" s="78"/>
      <c r="E68" s="622"/>
      <c r="F68" s="622"/>
      <c r="G68" s="81"/>
      <c r="H68" s="82"/>
      <c r="I68" s="81"/>
      <c r="J68" s="81"/>
      <c r="K68" s="89"/>
      <c r="L68" s="89"/>
      <c r="M68" s="89"/>
      <c r="N68" s="89"/>
      <c r="O68" s="81"/>
      <c r="P68" s="84"/>
      <c r="Q68" s="81"/>
      <c r="R68" s="123"/>
      <c r="S68" s="81"/>
      <c r="T68" s="346"/>
    </row>
    <row r="69" hidden="1">
      <c r="A69" s="137"/>
      <c r="B69" s="76"/>
      <c r="C69" s="81"/>
      <c r="D69" s="78"/>
      <c r="E69" s="79"/>
      <c r="F69" s="79"/>
      <c r="G69" s="400"/>
      <c r="H69" s="82"/>
      <c r="I69" s="81"/>
      <c r="J69" s="81"/>
      <c r="K69" s="89"/>
      <c r="L69" s="89"/>
      <c r="M69" s="89"/>
      <c r="N69" s="89"/>
      <c r="O69" s="81"/>
      <c r="P69" s="84"/>
      <c r="Q69" s="81"/>
      <c r="R69" s="123"/>
      <c r="S69" s="81"/>
      <c r="T69" s="346"/>
    </row>
    <row r="70" hidden="1">
      <c r="A70" s="137"/>
      <c r="B70" s="76"/>
      <c r="C70" s="81"/>
      <c r="D70" s="78"/>
      <c r="E70" s="79"/>
      <c r="F70" s="79"/>
      <c r="G70" s="81"/>
      <c r="H70" s="82"/>
      <c r="I70" s="259"/>
      <c r="J70" s="81"/>
      <c r="K70" s="89"/>
      <c r="L70" s="89"/>
      <c r="M70" s="89"/>
      <c r="N70" s="89"/>
      <c r="O70" s="81"/>
      <c r="P70" s="154"/>
      <c r="Q70" s="81"/>
      <c r="R70" s="123"/>
      <c r="S70" s="81"/>
      <c r="T70" s="81"/>
    </row>
    <row r="71" hidden="1">
      <c r="A71" s="395"/>
      <c r="B71" s="76"/>
      <c r="C71" s="81"/>
      <c r="D71" s="78"/>
      <c r="E71" s="79"/>
      <c r="F71" s="79"/>
      <c r="G71" s="81"/>
      <c r="H71" s="82"/>
      <c r="I71" s="185"/>
      <c r="J71" s="81"/>
      <c r="K71" s="89"/>
      <c r="L71" s="89"/>
      <c r="M71" s="89"/>
      <c r="N71" s="89"/>
      <c r="O71" s="81"/>
      <c r="P71" s="154"/>
      <c r="Q71" s="81"/>
      <c r="R71" s="123"/>
      <c r="S71" s="81"/>
      <c r="T71" s="81"/>
    </row>
    <row r="72" hidden="1">
      <c r="A72" s="395"/>
      <c r="B72" s="76"/>
      <c r="C72" s="81"/>
      <c r="D72" s="78"/>
      <c r="E72" s="79"/>
      <c r="F72" s="79"/>
      <c r="G72" s="81"/>
      <c r="H72" s="82"/>
      <c r="I72" s="259"/>
      <c r="J72" s="644"/>
      <c r="K72" s="89"/>
      <c r="L72" s="89"/>
      <c r="M72" s="89"/>
      <c r="N72" s="89"/>
      <c r="O72" s="81"/>
      <c r="P72" s="84"/>
      <c r="Q72" s="81"/>
      <c r="R72" s="123"/>
      <c r="S72" s="81"/>
      <c r="T72" s="81"/>
    </row>
    <row r="73" hidden="1">
      <c r="A73" s="395"/>
      <c r="B73" s="76"/>
      <c r="C73" s="81"/>
      <c r="D73" s="78"/>
      <c r="E73" s="79"/>
      <c r="F73" s="79"/>
      <c r="G73" s="81"/>
      <c r="H73" s="82"/>
      <c r="I73" s="185"/>
      <c r="J73" s="81"/>
      <c r="K73" s="89"/>
      <c r="L73" s="89"/>
      <c r="M73" s="89"/>
      <c r="N73" s="89"/>
      <c r="O73" s="81"/>
      <c r="P73" s="154"/>
      <c r="Q73" s="81"/>
      <c r="R73" s="85"/>
      <c r="S73" s="81"/>
      <c r="T73" s="81"/>
    </row>
    <row r="74" hidden="1" customHeight="1">
      <c r="A74" s="395"/>
      <c r="B74" s="76"/>
      <c r="C74" s="81"/>
      <c r="D74" s="78"/>
      <c r="E74" s="79"/>
      <c r="F74" s="79"/>
      <c r="G74" s="81"/>
      <c r="H74" s="384"/>
      <c r="I74" s="81"/>
      <c r="J74" s="81"/>
      <c r="K74" s="89"/>
      <c r="L74" s="89"/>
      <c r="M74" s="89"/>
      <c r="N74" s="89"/>
      <c r="O74" s="81"/>
      <c r="P74" s="84"/>
      <c r="Q74" s="81"/>
      <c r="R74" s="123"/>
      <c r="S74" s="81"/>
      <c r="T74" s="346"/>
    </row>
    <row r="75" hidden="1">
      <c r="A75" s="131" t="str">
        <f>HYPERLINK("https://phillipreeve.net/blog/review-tamron-17-28mm-f-2-8-di-iii-rxd/","Tamron 17-28mm f/2.8 Di III RXD")</f>
        <v>Tamron 17-28mm f/2.8 Di III RXD</v>
      </c>
      <c r="B75" s="76">
        <v>420.0</v>
      </c>
      <c r="C75" s="122">
        <v>17.0</v>
      </c>
      <c r="D75" s="78">
        <v>2.8</v>
      </c>
      <c r="E75" s="379">
        <v>73.0</v>
      </c>
      <c r="F75" s="122">
        <v>99.0</v>
      </c>
      <c r="G75" s="84" t="s">
        <v>30</v>
      </c>
      <c r="H75" s="82" t="s">
        <v>53</v>
      </c>
      <c r="I75" s="81">
        <v>0.19</v>
      </c>
      <c r="J75" s="153">
        <v>899.0</v>
      </c>
      <c r="K75" s="88" t="str">
        <f>HYPERLINK("https://amzn.to/2Hv3AyB","link*")</f>
        <v>link*</v>
      </c>
      <c r="L75" s="88" t="str">
        <f>HYPERLINK("https://www.bhphotovideo.com/c/product/1461529-REG/tamron_a046_17_28mm_f_2_8_di_iii.html/BI/19619/KBID/12129/DFF/d10-v21-t1-x946694/SID/EZ","link*")</f>
        <v>link*</v>
      </c>
      <c r="M75" s="88" t="str">
        <f>HYPERLINK("https://amzn.to/2YkrkQB","link*")</f>
        <v>link*</v>
      </c>
      <c r="N75"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75" s="83">
        <v>19.0</v>
      </c>
      <c r="P75" s="84" t="s">
        <v>26</v>
      </c>
      <c r="Q75" s="81">
        <v>9.0</v>
      </c>
      <c r="R75" s="128" t="s">
        <v>54</v>
      </c>
      <c r="S75" s="81" t="s">
        <v>55</v>
      </c>
      <c r="T75" s="86">
        <v>43647.0</v>
      </c>
    </row>
    <row r="76" hidden="1">
      <c r="A76" s="137"/>
      <c r="B76" s="76"/>
      <c r="C76" s="81"/>
      <c r="D76" s="78"/>
      <c r="E76" s="79"/>
      <c r="F76" s="79"/>
      <c r="G76" s="81"/>
      <c r="H76" s="270"/>
      <c r="I76" s="185"/>
      <c r="J76" s="81"/>
      <c r="K76" s="89"/>
      <c r="L76" s="89"/>
      <c r="M76" s="89"/>
      <c r="N76" s="89"/>
      <c r="O76" s="81"/>
      <c r="P76" s="84"/>
      <c r="Q76" s="81"/>
      <c r="R76" s="123"/>
      <c r="S76" s="81"/>
      <c r="T76" s="346"/>
    </row>
    <row r="77" hidden="1">
      <c r="A77" s="395"/>
      <c r="B77" s="76"/>
      <c r="C77" s="81"/>
      <c r="D77" s="78"/>
      <c r="E77" s="79"/>
      <c r="F77" s="79"/>
      <c r="G77" s="81"/>
      <c r="H77" s="270"/>
      <c r="I77" s="81"/>
      <c r="J77" s="644"/>
      <c r="K77" s="89"/>
      <c r="L77" s="89"/>
      <c r="M77" s="89"/>
      <c r="N77" s="89"/>
      <c r="O77" s="81"/>
      <c r="P77" s="84"/>
      <c r="Q77" s="81"/>
      <c r="R77" s="123"/>
      <c r="S77" s="81"/>
      <c r="T77" s="346"/>
    </row>
    <row r="78" hidden="1">
      <c r="A78" s="137"/>
      <c r="B78" s="76"/>
      <c r="C78" s="81"/>
      <c r="D78" s="78"/>
      <c r="E78" s="79"/>
      <c r="F78" s="79"/>
      <c r="G78" s="81"/>
      <c r="H78" s="82"/>
      <c r="I78" s="81"/>
      <c r="J78" s="81"/>
      <c r="K78" s="89"/>
      <c r="L78" s="89"/>
      <c r="M78" s="89"/>
      <c r="N78" s="89"/>
      <c r="O78" s="81"/>
      <c r="P78" s="154"/>
      <c r="Q78" s="81"/>
      <c r="R78" s="123"/>
      <c r="S78" s="81"/>
      <c r="T78" s="346"/>
    </row>
    <row r="79" hidden="1">
      <c r="A79" s="402"/>
      <c r="B79" s="76"/>
      <c r="C79" s="81"/>
      <c r="D79" s="78"/>
      <c r="E79" s="79"/>
      <c r="F79" s="79"/>
      <c r="G79" s="81"/>
      <c r="H79" s="198"/>
      <c r="I79" s="393"/>
      <c r="J79" s="81"/>
      <c r="K79" s="89"/>
      <c r="L79" s="89"/>
      <c r="M79" s="89"/>
      <c r="N79" s="89"/>
      <c r="O79" s="81"/>
      <c r="P79" s="154"/>
      <c r="Q79" s="81"/>
      <c r="R79" s="85"/>
      <c r="S79" s="81"/>
      <c r="T79" s="81"/>
    </row>
    <row r="80" hidden="1">
      <c r="A80" s="395"/>
      <c r="B80" s="76"/>
      <c r="C80" s="81"/>
      <c r="D80" s="78"/>
      <c r="E80" s="79"/>
      <c r="F80" s="79"/>
      <c r="G80" s="81"/>
      <c r="H80" s="82"/>
      <c r="I80" s="393"/>
      <c r="J80" s="81"/>
      <c r="K80" s="89"/>
      <c r="L80" s="89"/>
      <c r="M80" s="89"/>
      <c r="N80" s="89"/>
      <c r="O80" s="81"/>
      <c r="P80" s="154"/>
      <c r="Q80" s="81"/>
      <c r="R80" s="85"/>
      <c r="S80" s="81"/>
      <c r="T80" s="81"/>
    </row>
    <row r="81" hidden="1">
      <c r="A81" s="450"/>
      <c r="B81" s="213"/>
      <c r="C81" s="218"/>
      <c r="D81" s="215"/>
      <c r="E81" s="627"/>
      <c r="F81" s="627"/>
      <c r="G81" s="218"/>
      <c r="H81" s="219"/>
      <c r="I81" s="218"/>
      <c r="J81" s="218"/>
      <c r="K81" s="89"/>
      <c r="L81" s="89"/>
      <c r="M81" s="89"/>
      <c r="N81" s="89"/>
      <c r="O81" s="218"/>
      <c r="P81" s="154"/>
      <c r="Q81" s="218"/>
      <c r="R81" s="262"/>
      <c r="S81" s="218"/>
      <c r="T81" s="218"/>
    </row>
    <row r="82" hidden="1">
      <c r="A82" s="131" t="str">
        <f>HYPERLINK("https://phillipreeve.net/blog/review-zeiss-batis-18mm-2-8/","Zeiss Batis 2.8/18")</f>
        <v>Zeiss Batis 2.8/18</v>
      </c>
      <c r="B82" s="76">
        <v>330.0</v>
      </c>
      <c r="C82" s="122">
        <v>18.0</v>
      </c>
      <c r="D82" s="78">
        <v>2.8</v>
      </c>
      <c r="E82" s="79">
        <v>100.0</v>
      </c>
      <c r="F82" s="122">
        <v>80.0</v>
      </c>
      <c r="G82" s="84" t="s">
        <v>30</v>
      </c>
      <c r="H82" s="82" t="s">
        <v>56</v>
      </c>
      <c r="I82" s="81">
        <v>0.1</v>
      </c>
      <c r="J82" s="87">
        <v>1499.0</v>
      </c>
      <c r="K82" s="88" t="str">
        <f>HYPERLINK("https://amzn.to/2SRFBhL","link*")</f>
        <v>link*</v>
      </c>
      <c r="L82" s="88" t="str">
        <f>HYPERLINK("https://www.bhphotovideo.com/c/product/1243591-REG/zeiss_2136_691_batis_18mm_f_2_8_lens.html/BI/19619/KBID/12129/DFF/d10-v21-t1-x727488/SID/EZ","link*")</f>
        <v>link*</v>
      </c>
      <c r="M82" s="88" t="str">
        <f>HYPERLINK("https://amzn.to/334PqNT","link*")</f>
        <v>link*</v>
      </c>
      <c r="N82"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82" s="83">
        <v>25.0</v>
      </c>
      <c r="P82" s="84" t="s">
        <v>26</v>
      </c>
      <c r="Q82" s="81">
        <v>9.0</v>
      </c>
      <c r="R82" s="128" t="s">
        <v>57</v>
      </c>
      <c r="S82" s="81" t="s">
        <v>58</v>
      </c>
      <c r="T82" s="86">
        <v>42491.0</v>
      </c>
    </row>
    <row r="83" hidden="1">
      <c r="A83" s="124" t="s">
        <v>59</v>
      </c>
      <c r="B83" s="76">
        <v>145.0</v>
      </c>
      <c r="C83" s="122">
        <v>18.0</v>
      </c>
      <c r="D83" s="78">
        <v>2.8</v>
      </c>
      <c r="E83" s="79">
        <v>63.5</v>
      </c>
      <c r="F83" s="122">
        <v>60.5</v>
      </c>
      <c r="G83" s="84" t="s">
        <v>30</v>
      </c>
      <c r="H83" s="82" t="s">
        <v>47</v>
      </c>
      <c r="I83" s="81">
        <v>0.09</v>
      </c>
      <c r="J83" s="87">
        <v>399.0</v>
      </c>
      <c r="K83" s="130"/>
      <c r="L83" s="88" t="str">
        <f>HYPERLINK("https://www.bhphotovideo.com/c/product/1503295-REG/samyang_syio18af_e_af_18mm_f_2_8_fe.html/BI/19619/KBID/12129/DFF/d10-v21-t1-x985623/SID/EZ","link*")</f>
        <v>link*</v>
      </c>
      <c r="M83" s="130"/>
      <c r="N83" s="130"/>
      <c r="O83" s="83">
        <v>25.0</v>
      </c>
      <c r="P83" s="84" t="s">
        <v>26</v>
      </c>
      <c r="Q83" s="81">
        <v>7.0</v>
      </c>
      <c r="R83" s="128" t="s">
        <v>60</v>
      </c>
      <c r="S83" s="81" t="s">
        <v>46</v>
      </c>
      <c r="T83" s="86">
        <v>43723.0</v>
      </c>
    </row>
    <row r="84" hidden="1">
      <c r="A84" s="75" t="s">
        <v>61</v>
      </c>
      <c r="B84" s="76">
        <v>950.0</v>
      </c>
      <c r="C84" s="122">
        <v>20.0</v>
      </c>
      <c r="D84" s="380">
        <v>1.4</v>
      </c>
      <c r="E84" s="79">
        <v>91.0</v>
      </c>
      <c r="F84" s="122">
        <v>130.0</v>
      </c>
      <c r="G84" s="81" t="s">
        <v>30</v>
      </c>
      <c r="H84" s="82" t="s">
        <v>25</v>
      </c>
      <c r="I84" s="81">
        <v>0.14</v>
      </c>
      <c r="J84" s="87">
        <v>899.0</v>
      </c>
      <c r="K84" s="88" t="str">
        <f>HYPERLINK("https://amzn.to/2K4J7nh","link*")</f>
        <v>link*</v>
      </c>
      <c r="L84" s="88" t="str">
        <f>HYPERLINK("https://amzn.to/31hxv55","link*")</f>
        <v>link*</v>
      </c>
      <c r="M84" s="88" t="str">
        <f>HYPERLINK("https://amzn.to/2Wy0d3F","link*")</f>
        <v>link*</v>
      </c>
      <c r="N84" s="88"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84" s="83">
        <v>28.0</v>
      </c>
      <c r="P84" s="84" t="s">
        <v>26</v>
      </c>
      <c r="Q84" s="81">
        <v>9.0</v>
      </c>
      <c r="R84" s="123">
        <v>43784.0</v>
      </c>
      <c r="S84" s="81" t="s">
        <v>41</v>
      </c>
      <c r="T84" s="86">
        <v>43221.0</v>
      </c>
      <c r="U84" s="68" t="s">
        <v>42</v>
      </c>
    </row>
    <row r="85" hidden="1">
      <c r="A85" s="75" t="s">
        <v>62</v>
      </c>
      <c r="B85" s="76">
        <v>775.0</v>
      </c>
      <c r="C85" s="122">
        <v>20.0</v>
      </c>
      <c r="D85" s="121">
        <v>1.8</v>
      </c>
      <c r="E85" s="79">
        <v>77.0</v>
      </c>
      <c r="F85" s="122">
        <v>102.0</v>
      </c>
      <c r="G85" s="81" t="s">
        <v>24</v>
      </c>
      <c r="H85" s="82" t="s">
        <v>51</v>
      </c>
      <c r="I85" s="81">
        <v>0.12</v>
      </c>
      <c r="J85" s="87">
        <v>486.0</v>
      </c>
      <c r="K85" s="88" t="str">
        <f>HYPERLINK("https://amzn.to/2LRRbJ5","link*")</f>
        <v>link*</v>
      </c>
      <c r="L85" s="88" t="str">
        <f>HYPERLINK("https://www.bhphotovideo.com/c/product/1469187-REG/viltrox_pfu_rbmh_20mm_f1_8_asph_e_mount_20mm_f_1_8_for_sony.html/BI/19619/KBID/12129/DFF/d10-v21-t1-x954299/SID/EZ","link*")</f>
        <v>link*</v>
      </c>
      <c r="M85" s="88" t="str">
        <f>HYPERLINK("https://amzn.to/2GL8iYV","link*")</f>
        <v>link*</v>
      </c>
      <c r="N85"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85" s="83">
        <v>25.0</v>
      </c>
      <c r="P85" s="84" t="s">
        <v>26</v>
      </c>
      <c r="Q85" s="81">
        <v>14.0</v>
      </c>
      <c r="R85" s="123">
        <v>43720.0</v>
      </c>
      <c r="S85" s="81" t="s">
        <v>63</v>
      </c>
      <c r="T85" s="86">
        <v>43586.0</v>
      </c>
    </row>
    <row r="86" hidden="1">
      <c r="A86" s="131" t="str">
        <f>HYPERLINK("https://phillipreeve.net/blog/tokina-firin-20mm-f2-fe-review-a-good-deal/","Tokina Firin 2/20")</f>
        <v>Tokina Firin 2/20</v>
      </c>
      <c r="B86" s="76">
        <v>492.0</v>
      </c>
      <c r="C86" s="122">
        <v>20.0</v>
      </c>
      <c r="D86" s="125">
        <v>2.0</v>
      </c>
      <c r="E86" s="132">
        <v>69.0</v>
      </c>
      <c r="F86" s="133">
        <v>82.0</v>
      </c>
      <c r="G86" s="84" t="s">
        <v>24</v>
      </c>
      <c r="H86" s="82" t="s">
        <v>66</v>
      </c>
      <c r="I86" s="81">
        <v>0.1</v>
      </c>
      <c r="J86" s="129">
        <v>799.0</v>
      </c>
      <c r="K86" s="88" t="str">
        <f>HYPERLINK("http://amzn.to/2vlG2Yq","link*")</f>
        <v>link*</v>
      </c>
      <c r="L86" s="88" t="str">
        <f>HYPERLINK("https://www.bhphotovideo.com/c/product/1281299-REG/tokina_firin_20mm_f_2_fe.html/BI/19619/KBID/12129/kw/TO202E/DFF/d10-v2-t1-xTO202E","link*")</f>
        <v>link*</v>
      </c>
      <c r="M86" s="88" t="str">
        <f>HYPERLINK("http://amzn.to/2vvtDkM","link*")</f>
        <v>link*</v>
      </c>
      <c r="N86"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86" s="83">
        <v>30.0</v>
      </c>
      <c r="P86" s="84" t="s">
        <v>26</v>
      </c>
      <c r="Q86" s="81">
        <v>9.0</v>
      </c>
      <c r="R86" s="128" t="s">
        <v>54</v>
      </c>
      <c r="S86" s="81" t="s">
        <v>67</v>
      </c>
      <c r="T86" s="86">
        <v>42856.0</v>
      </c>
    </row>
    <row r="87" hidden="1">
      <c r="A87" s="75" t="s">
        <v>68</v>
      </c>
      <c r="B87" s="76">
        <v>464.0</v>
      </c>
      <c r="C87" s="122">
        <v>20.0</v>
      </c>
      <c r="D87" s="125">
        <v>2.0</v>
      </c>
      <c r="E87" s="381">
        <v>73.0</v>
      </c>
      <c r="F87" s="151">
        <v>82.0</v>
      </c>
      <c r="G87" s="84" t="s">
        <v>30</v>
      </c>
      <c r="H87" s="82" t="s">
        <v>66</v>
      </c>
      <c r="I87" s="81">
        <v>0.1</v>
      </c>
      <c r="J87" s="87">
        <v>949.0</v>
      </c>
      <c r="K87" s="88" t="str">
        <f>HYPERLINK("https://amzn.to/2GDurZb","link*")</f>
        <v>link*</v>
      </c>
      <c r="L87" s="88" t="str">
        <f>HYPERLINK("https://www.bhphotovideo.com/c/product/1393327-REG/tokina_firin_20mm_f_2_fe.html/BI/19619/KBID/12129/DFF/d10-v21-t1-x880327/SID/EZ","link*")</f>
        <v>link*</v>
      </c>
      <c r="M87" s="88" t="str">
        <f>HYPERLINK("https://amzn.to/2GJYCxw","link*")</f>
        <v>link*</v>
      </c>
      <c r="N87"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87" s="83">
        <v>30.0</v>
      </c>
      <c r="P87" s="84" t="s">
        <v>26</v>
      </c>
      <c r="Q87" s="81">
        <v>9.0</v>
      </c>
      <c r="R87" s="128" t="s">
        <v>54</v>
      </c>
      <c r="S87" s="81" t="s">
        <v>67</v>
      </c>
      <c r="T87" s="86">
        <v>43221.0</v>
      </c>
    </row>
    <row r="88" hidden="1">
      <c r="A88" s="131" t="str">
        <f>HYPERLINK("https://phillipreeve.net/blog/review_voigtlander_21mm_f14_e/","Voigtlander 21mm F1.4 Nokton")</f>
        <v>Voigtlander 21mm F1.4 Nokton</v>
      </c>
      <c r="B88" s="76">
        <v>540.0</v>
      </c>
      <c r="C88" s="122">
        <v>21.0</v>
      </c>
      <c r="D88" s="149">
        <v>1.4</v>
      </c>
      <c r="E88" s="144">
        <v>70.0</v>
      </c>
      <c r="F88" s="145">
        <v>80.0</v>
      </c>
      <c r="G88" s="84" t="s">
        <v>24</v>
      </c>
      <c r="H88" s="82" t="s">
        <v>66</v>
      </c>
      <c r="I88" s="81"/>
      <c r="J88" s="87">
        <v>1199.0</v>
      </c>
      <c r="K88" s="88" t="str">
        <f>HYPERLINK("https://amzn.to/2K7gHrC","link*")</f>
        <v>link*</v>
      </c>
      <c r="L88" s="88" t="str">
        <f>HYPERLINK("https://www.bhphotovideo.com/c/product/1480269-REG/voigtlander_ba352a_nokton_21mm_f_1_4_aspherical.html/BI/19619/KBID/12129/DFF/d10-v21-t1-x963269/SID/EZ","link*")</f>
        <v>link*</v>
      </c>
      <c r="M88" s="89"/>
      <c r="N88"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88" s="83">
        <v>25.0</v>
      </c>
      <c r="P88" s="84" t="s">
        <v>26</v>
      </c>
      <c r="Q88" s="81">
        <v>12.0</v>
      </c>
      <c r="R88" s="128" t="s">
        <v>54</v>
      </c>
      <c r="S88" s="81" t="s">
        <v>28</v>
      </c>
      <c r="T88" s="86">
        <v>43617.0</v>
      </c>
    </row>
    <row r="89" hidden="1">
      <c r="A89" s="131" t="str">
        <f>HYPERLINK("https://phillipreeve.net/blog/rolling-review-zeiss-loxia-distagon-2-821mm-t/https://phillipreeve.net/blog/rolling-review-zeiss-loxia-distagon-2-821mm-t/","Zeiss Loxia 2.8/21 Distagon T*")</f>
        <v>Zeiss Loxia 2.8/21 Distagon T*</v>
      </c>
      <c r="B89" s="76">
        <v>394.0</v>
      </c>
      <c r="C89" s="122">
        <v>21.0</v>
      </c>
      <c r="D89" s="78">
        <v>2.8</v>
      </c>
      <c r="E89" s="144">
        <v>62.0</v>
      </c>
      <c r="F89" s="145">
        <v>72.0</v>
      </c>
      <c r="G89" s="84" t="s">
        <v>24</v>
      </c>
      <c r="H89" s="82" t="s">
        <v>71</v>
      </c>
      <c r="I89" s="81">
        <v>0.13</v>
      </c>
      <c r="J89" s="87">
        <v>1499.0</v>
      </c>
      <c r="K89" s="88" t="str">
        <f>HYPERLINK("https://amzn.to/2yspzBm","link*")</f>
        <v>link*</v>
      </c>
      <c r="L89" s="88" t="str">
        <f>HYPERLINK("https://www.bhphotovideo.com/c/product/1189220-REG/zeiss_2131_999_loxia_21mm_f_2_8_lens.html/BI/19619/KBID/12129/DFF/d10-v21-t1-x677077/SID/EZ","link*")</f>
        <v>link*</v>
      </c>
      <c r="M89" s="88" t="str">
        <f>HYPERLINK("https://amzn.to/2GHSOoA","link*")</f>
        <v>link*</v>
      </c>
      <c r="N89"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89" s="83">
        <v>25.0</v>
      </c>
      <c r="P89" s="84" t="s">
        <v>26</v>
      </c>
      <c r="Q89" s="81">
        <v>10.0</v>
      </c>
      <c r="R89" s="128" t="s">
        <v>72</v>
      </c>
      <c r="S89" s="81" t="s">
        <v>58</v>
      </c>
      <c r="T89" s="86">
        <v>42339.0</v>
      </c>
    </row>
    <row r="90" hidden="1">
      <c r="A90" s="131" t="str">
        <f>HYPERLINK("https://phillipreeve.net/blog/voigtlander-21mm-f35-review/","Voigtlander 21mm F3.5 Color-Skopar")</f>
        <v>Voigtlander 21mm F3.5 Color-Skopar</v>
      </c>
      <c r="B90" s="76">
        <v>230.0</v>
      </c>
      <c r="C90" s="122">
        <v>21.0</v>
      </c>
      <c r="D90" s="78">
        <v>3.5</v>
      </c>
      <c r="E90" s="144">
        <v>63.0</v>
      </c>
      <c r="F90" s="151">
        <v>40.0</v>
      </c>
      <c r="G90" s="84" t="s">
        <v>24</v>
      </c>
      <c r="H90" s="82" t="s">
        <v>71</v>
      </c>
      <c r="I90" s="346"/>
      <c r="J90" s="87">
        <v>699.0</v>
      </c>
      <c r="K90" s="88" t="str">
        <f>HYPERLINK("https://amzn.to/2JCie75","link*")</f>
        <v>link*</v>
      </c>
      <c r="L90" s="88" t="str">
        <f>HYPERLINK("https://www.bhphotovideo.com/c/product/1437613-REG/voigtlander_color_skopar_21mm_f_3_5_aspherical.html/BI/19619/KBID/12129/kw/VO2135E/DFF/d10-v2-t1-xVO2135E","link*")</f>
        <v>link*</v>
      </c>
      <c r="M90" s="88" t="str">
        <f>HYPERLINK("https://amzn.to/2ZoERan","link*")</f>
        <v>link*</v>
      </c>
      <c r="N90"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90" s="83">
        <v>20.0</v>
      </c>
      <c r="P90" s="84" t="s">
        <v>26</v>
      </c>
      <c r="Q90" s="81">
        <v>10.0</v>
      </c>
      <c r="R90" s="128" t="s">
        <v>60</v>
      </c>
      <c r="S90" s="81" t="s">
        <v>28</v>
      </c>
      <c r="T90" s="86">
        <v>43374.0</v>
      </c>
    </row>
    <row r="91" hidden="1">
      <c r="A91" s="131" t="str">
        <f>HYPERLINK("https://phillipreeve.net/blog/review-sony-fe-24mm-1-4-gm/","Sony GM 1.4/24")</f>
        <v>Sony GM 1.4/24</v>
      </c>
      <c r="B91" s="76">
        <v>445.0</v>
      </c>
      <c r="C91" s="122">
        <v>24.0</v>
      </c>
      <c r="D91" s="149">
        <v>1.4</v>
      </c>
      <c r="E91" s="144">
        <v>75.0</v>
      </c>
      <c r="F91" s="145">
        <v>92.0</v>
      </c>
      <c r="G91" s="84" t="s">
        <v>30</v>
      </c>
      <c r="H91" s="82" t="s">
        <v>53</v>
      </c>
      <c r="I91" s="81">
        <v>0.17</v>
      </c>
      <c r="J91" s="87">
        <v>1399.0</v>
      </c>
      <c r="K91" s="88" t="str">
        <f>HYPERLINK("https://amzn.to/2ywcbw1","link*")</f>
        <v>link*</v>
      </c>
      <c r="L91" s="88" t="str">
        <f>HYPERLINK("https://www.bhphotovideo.com/c/product/1435887-REG/sony_fe_24mm_f_1_4_gm.html/BI/19619/KBID/12129/DFF/d10-v21-t1-x915647/SID/EZ","link*")</f>
        <v>link*</v>
      </c>
      <c r="M91" s="88" t="str">
        <f>HYPERLINK("https://amzn.to/2L2tV9y","link*")</f>
        <v>link*</v>
      </c>
      <c r="N91" s="88" t="str">
        <f>HYPERLINK("https://amzn.to/338yg28","link*")</f>
        <v>link*</v>
      </c>
      <c r="O91" s="83">
        <v>25.0</v>
      </c>
      <c r="P91" s="84" t="s">
        <v>26</v>
      </c>
      <c r="Q91" s="81">
        <v>11.0</v>
      </c>
      <c r="R91" s="128" t="s">
        <v>27</v>
      </c>
      <c r="S91" s="81" t="s">
        <v>32</v>
      </c>
      <c r="T91" s="86">
        <v>43374.0</v>
      </c>
    </row>
    <row r="92" hidden="1">
      <c r="A92" s="75" t="s">
        <v>73</v>
      </c>
      <c r="B92" s="76">
        <v>665.0</v>
      </c>
      <c r="C92" s="122">
        <v>24.0</v>
      </c>
      <c r="D92" s="149">
        <v>1.4</v>
      </c>
      <c r="E92" s="144">
        <v>85.0</v>
      </c>
      <c r="F92" s="145">
        <v>90.0</v>
      </c>
      <c r="G92" s="81" t="s">
        <v>30</v>
      </c>
      <c r="H92" s="82" t="s">
        <v>56</v>
      </c>
      <c r="I92" s="81">
        <v>0.19</v>
      </c>
      <c r="J92" s="87">
        <v>849.0</v>
      </c>
      <c r="K92" s="88" t="str">
        <f>HYPERLINK("https://amzn.to/2Isw2Rv","link*")</f>
        <v>link*</v>
      </c>
      <c r="L92" s="88" t="str">
        <f>HYPERLINK("https://www.bhphotovideo.com/c/product/1393491-REG/sigma_24mm_f_1_4_dg_hsm.html/BI/19619/KBID/12129/kw/SI2414SO/DFF/d10-v2-t1-xSI2414SO","link*")</f>
        <v>link*</v>
      </c>
      <c r="M92" s="88" t="str">
        <f>HYPERLINK("https://amzn.to/2K7sIP4","link*")</f>
        <v>link*</v>
      </c>
      <c r="N92"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92" s="83">
        <v>25.0</v>
      </c>
      <c r="P92" s="84" t="s">
        <v>26</v>
      </c>
      <c r="Q92" s="81">
        <v>9.0</v>
      </c>
      <c r="R92" s="123">
        <v>43784.0</v>
      </c>
      <c r="S92" s="81" t="s">
        <v>41</v>
      </c>
      <c r="T92" s="86">
        <v>43221.0</v>
      </c>
      <c r="U92" s="68" t="s">
        <v>42</v>
      </c>
    </row>
    <row r="93" hidden="1">
      <c r="A93" s="131" t="str">
        <f>HYPERLINK("https://phillipreeve.net/blog/review-samyang-af-2-4-28-fe-at-least-its-small/","Samyang AF 24mm F/2.8")</f>
        <v>Samyang AF 24mm F/2.8</v>
      </c>
      <c r="B93" s="76">
        <v>93.0</v>
      </c>
      <c r="C93" s="122">
        <v>24.0</v>
      </c>
      <c r="D93" s="78">
        <v>2.8</v>
      </c>
      <c r="E93" s="144">
        <v>61.0</v>
      </c>
      <c r="F93" s="151">
        <v>37.0</v>
      </c>
      <c r="G93" s="84" t="s">
        <v>30</v>
      </c>
      <c r="H93" s="82" t="s">
        <v>74</v>
      </c>
      <c r="I93" s="81">
        <v>0.15</v>
      </c>
      <c r="J93" s="129">
        <v>279.0</v>
      </c>
      <c r="K93" s="88" t="str">
        <f>HYPERLINK("https://amzn.to/2NEHZ7c","link*")</f>
        <v>link*</v>
      </c>
      <c r="L93" s="88" t="str">
        <f>HYPERLINK("https://www.bhphotovideo.com/c/product/1413350-REG/samyang_syio24af_e_af_24mm_f_2_8_fe.html/BI/19619/KBID/12129/kw/SASYIO24AFE/DFF/d10-v2-t1-xSASYIO24AFE","link*")</f>
        <v>link*</v>
      </c>
      <c r="M93" s="88" t="str">
        <f>HYPERLINK("https://amzn.to/2Onv1QE","link*")</f>
        <v>link*</v>
      </c>
      <c r="N93"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93" s="83">
        <v>20.0</v>
      </c>
      <c r="P93" s="84" t="s">
        <v>26</v>
      </c>
      <c r="Q93" s="81">
        <v>9.0</v>
      </c>
      <c r="R93" s="128" t="s">
        <v>75</v>
      </c>
      <c r="S93" s="81" t="s">
        <v>46</v>
      </c>
      <c r="T93" s="86">
        <v>43282.0</v>
      </c>
    </row>
    <row r="94" hidden="1">
      <c r="A94" s="152" t="str">
        <f>HYPERLINK("https://phillipreeve.net/blog/review-sony-fe-2-824-70mm-gm/","Sony GM 2.8/24-70")</f>
        <v>Sony GM 2.8/24-70</v>
      </c>
      <c r="B94" s="76">
        <v>886.0</v>
      </c>
      <c r="C94" s="122">
        <v>24.0</v>
      </c>
      <c r="D94" s="78">
        <v>2.8</v>
      </c>
      <c r="E94" s="144">
        <v>88.0</v>
      </c>
      <c r="F94" s="151">
        <v>136.0</v>
      </c>
      <c r="G94" s="84" t="s">
        <v>30</v>
      </c>
      <c r="H94" s="82" t="s">
        <v>51</v>
      </c>
      <c r="I94" s="140">
        <v>0.25</v>
      </c>
      <c r="J94" s="87">
        <v>2199.0</v>
      </c>
      <c r="K94" s="88" t="str">
        <f>HYPERLINK("https://amzn.to/2STHavK","link*")</f>
        <v>link*</v>
      </c>
      <c r="L94" s="88" t="str">
        <f>HYPERLINK("https://www.bhphotovideo.com/c/search?Ntt=gm%2024-70&amp;N=0&amp;InitialSearch=yes&amp;sts=ma&amp;Top+Nav-Search=&amp;BI=19619&amp;KBID=12129&amp;KWID=EZ","link*")</f>
        <v>link*</v>
      </c>
      <c r="M94" s="88" t="str">
        <f>HYPERLINK("https://amzn.to/2ZwoyU7","link*")</f>
        <v>link*</v>
      </c>
      <c r="N94"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94" s="83">
        <v>38.0</v>
      </c>
      <c r="P94" s="84" t="s">
        <v>26</v>
      </c>
      <c r="Q94" s="81">
        <v>11.0</v>
      </c>
      <c r="R94" s="128" t="s">
        <v>44</v>
      </c>
      <c r="S94" s="81" t="s">
        <v>32</v>
      </c>
      <c r="T94" s="86">
        <v>42401.0</v>
      </c>
    </row>
    <row r="95" hidden="1">
      <c r="A95" s="75" t="s">
        <v>79</v>
      </c>
      <c r="B95" s="76">
        <v>780.0</v>
      </c>
      <c r="C95" s="122">
        <v>24.0</v>
      </c>
      <c r="D95" s="78" t="s">
        <v>80</v>
      </c>
      <c r="E95" s="144">
        <v>80.0</v>
      </c>
      <c r="F95" s="151">
        <v>119.0</v>
      </c>
      <c r="G95" s="84" t="s">
        <v>30</v>
      </c>
      <c r="H95" s="82" t="s">
        <v>48</v>
      </c>
      <c r="I95" s="140">
        <v>0.27</v>
      </c>
      <c r="J95" s="87">
        <v>998.0</v>
      </c>
      <c r="K95" s="88" t="str">
        <f>HYPERLINK("http://amzn.to/2fbX5FU","link*")</f>
        <v>link*</v>
      </c>
      <c r="L95" s="88" t="str">
        <f>HYPERLINK("https://www.bhphotovideo.com/c/search?Ntt=sony%2024-240&amp;N=0&amp;InitialSearch=yes&amp;sts=ma&amp;Top+Nav-Search=&amp;BI=19619&amp;KBID=12129&amp;KWID=EZ","link*")</f>
        <v>link*</v>
      </c>
      <c r="M95" s="88" t="str">
        <f>HYPERLINK("http://amzn.to/2wyrL7A","link*")</f>
        <v>link*</v>
      </c>
      <c r="N95"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95" s="83">
        <v>50.0</v>
      </c>
      <c r="P95" s="154" t="s">
        <v>49</v>
      </c>
      <c r="Q95" s="81">
        <v>7.0</v>
      </c>
      <c r="R95" s="128" t="s">
        <v>81</v>
      </c>
      <c r="S95" s="81" t="s">
        <v>32</v>
      </c>
      <c r="T95" s="86">
        <v>42064.0</v>
      </c>
    </row>
    <row r="96" hidden="1">
      <c r="A96" s="75" t="s">
        <v>82</v>
      </c>
      <c r="B96" s="76">
        <v>663.0</v>
      </c>
      <c r="C96" s="122">
        <v>24.0</v>
      </c>
      <c r="D96" s="78">
        <v>4.0</v>
      </c>
      <c r="E96" s="144">
        <v>83.0</v>
      </c>
      <c r="F96" s="145">
        <v>113.0</v>
      </c>
      <c r="G96" s="84" t="s">
        <v>30</v>
      </c>
      <c r="H96" s="82" t="s">
        <v>56</v>
      </c>
      <c r="I96" s="140">
        <v>0.31</v>
      </c>
      <c r="J96" s="87">
        <v>1398.0</v>
      </c>
      <c r="K96" s="88" t="str">
        <f>HYPERLINK("https://amzn.to/2K7LwMR","link*")</f>
        <v>link*</v>
      </c>
      <c r="L96" s="88" t="str">
        <f>HYPERLINK("https://www.bhphotovideo.com/c/search?Ntt=sony%2024-105&amp;N=0&amp;InitialSearch=yes&amp;sts=ma&amp;Top+Nav-Search=&amp;BI=19619&amp;KBID=12129&amp;KWID=EZ","link*")</f>
        <v>link*</v>
      </c>
      <c r="M96" s="88" t="str">
        <f>HYPERLINK("https://amzn.to/2Ld8hOS","link*")</f>
        <v>link*</v>
      </c>
      <c r="N96"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96" s="83">
        <v>38.0</v>
      </c>
      <c r="P96" s="154" t="s">
        <v>49</v>
      </c>
      <c r="Q96" s="81">
        <v>9.0</v>
      </c>
      <c r="R96" s="128" t="s">
        <v>35</v>
      </c>
      <c r="S96" s="81" t="s">
        <v>32</v>
      </c>
      <c r="T96" s="86">
        <v>43009.0</v>
      </c>
    </row>
    <row r="97" hidden="1">
      <c r="A97" s="131" t="str">
        <f>HYPERLINK("https://phillipreeve.net/blog/rolling-review-carl-zeiss-vario-tessar-t-fe-424-70-za/","Sony ZA 4/24-70 OSS")</f>
        <v>Sony ZA 4/24-70 OSS</v>
      </c>
      <c r="B97" s="76">
        <v>426.0</v>
      </c>
      <c r="C97" s="122">
        <v>24.0</v>
      </c>
      <c r="D97" s="78">
        <v>4.0</v>
      </c>
      <c r="E97" s="144">
        <v>73.0</v>
      </c>
      <c r="F97" s="145">
        <v>95.0</v>
      </c>
      <c r="G97" s="84" t="s">
        <v>30</v>
      </c>
      <c r="H97" s="82" t="s">
        <v>53</v>
      </c>
      <c r="I97" s="81">
        <v>0.2</v>
      </c>
      <c r="J97" s="87">
        <v>898.0</v>
      </c>
      <c r="K97" s="88" t="str">
        <f>HYPERLINK("http://amzn.to/2vlG2Yq","link*")</f>
        <v>link*</v>
      </c>
      <c r="L97" s="88" t="str">
        <f>HYPERLINK("https://www.bhphotovideo.com/c/product/1008126-REG/sony_sel2470z_vario_tessar_t_fe_24_70mm.html/BI/19619/KBID/12129/DFF/d10-v21-t1-x466842/SID/EZ","link*")</f>
        <v>link*</v>
      </c>
      <c r="M97" s="88" t="str">
        <f>HYPERLINK("http://amzn.to/2fl1XZk","link*")</f>
        <v>link*</v>
      </c>
      <c r="N97"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97" s="83">
        <v>40.0</v>
      </c>
      <c r="P97" s="154" t="s">
        <v>49</v>
      </c>
      <c r="Q97" s="81">
        <v>7.0</v>
      </c>
      <c r="R97" s="128" t="s">
        <v>38</v>
      </c>
      <c r="S97" s="81" t="s">
        <v>32</v>
      </c>
      <c r="T97" s="86">
        <v>41640.0</v>
      </c>
    </row>
    <row r="98" hidden="1">
      <c r="A98" s="131" t="str">
        <f>HYPERLINK("https://phillipreeve.net/blog/review-zeiss-batis-distagon-t-25mm-f2/","Zeiss Batis 2/25")</f>
        <v>Zeiss Batis 2/25</v>
      </c>
      <c r="B98" s="76">
        <v>335.0</v>
      </c>
      <c r="C98" s="122">
        <v>25.0</v>
      </c>
      <c r="D98" s="78">
        <v>2.0</v>
      </c>
      <c r="E98" s="144">
        <v>92.0</v>
      </c>
      <c r="F98" s="145">
        <v>78.0</v>
      </c>
      <c r="G98" s="84" t="s">
        <v>30</v>
      </c>
      <c r="H98" s="82" t="s">
        <v>53</v>
      </c>
      <c r="I98" s="81">
        <v>0.19</v>
      </c>
      <c r="J98" s="87">
        <v>1299.0</v>
      </c>
      <c r="K98" s="88" t="str">
        <f>HYPERLINK("https://amzn.to/2ypHQiT","link*")</f>
        <v>link*</v>
      </c>
      <c r="L98" s="88" t="str">
        <f>HYPERLINK("https://www.bhphotovideo.com/c/product/1140832-REG/zeiss_2103_750_25mm_f_2_0_batis_wide.html/BI/19619/KBID/12129/DFF/d10-v21-t1-x627141/SID/EZ","link*")</f>
        <v>link*</v>
      </c>
      <c r="M98" s="88" t="str">
        <f>HYPERLINK("https://amzn.to/2L20DIj","link*")</f>
        <v>link*</v>
      </c>
      <c r="N98"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98" s="83">
        <v>20.0</v>
      </c>
      <c r="P98" s="84" t="s">
        <v>26</v>
      </c>
      <c r="Q98" s="81">
        <v>9.0</v>
      </c>
      <c r="R98" s="128" t="s">
        <v>83</v>
      </c>
      <c r="S98" s="81" t="s">
        <v>58</v>
      </c>
      <c r="T98" s="86">
        <v>42125.0</v>
      </c>
    </row>
    <row r="99" hidden="1">
      <c r="A99" s="131" t="str">
        <f>HYPERLINK("https://phillipreeve.net/blog/review-zeiss-loxia-2-4-25mm-distagon/","Zeiss Loxia 2.4/25")</f>
        <v>Zeiss Loxia 2.4/25</v>
      </c>
      <c r="B99" s="76">
        <v>393.0</v>
      </c>
      <c r="C99" s="122">
        <v>25.0</v>
      </c>
      <c r="D99" s="78">
        <v>2.4</v>
      </c>
      <c r="E99" s="144">
        <v>62.0</v>
      </c>
      <c r="F99" s="145">
        <v>75.0</v>
      </c>
      <c r="G99" s="84" t="s">
        <v>24</v>
      </c>
      <c r="H99" s="82" t="s">
        <v>71</v>
      </c>
      <c r="I99" s="81">
        <v>0.16</v>
      </c>
      <c r="J99" s="87">
        <v>1299.0</v>
      </c>
      <c r="K99" s="88" t="str">
        <f>HYPERLINK("https://amzn.to/2OlyeAf","link*")</f>
        <v>link*</v>
      </c>
      <c r="L99" s="88" t="str">
        <f>HYPERLINK("https://www.bhphotovideo.com/c/product/1389169-REG/zeiss_000000_2218_783_loxia_25mm_f_2_4_lens.html/BI/19619/KBID/12129/kw/ZE2524L/DFF/d10-v2-t1-xZE2524L","link*")</f>
        <v>link*</v>
      </c>
      <c r="M99" s="88" t="str">
        <f>HYPERLINK("https://amzn.to/2OlyeAf","link*")</f>
        <v>link*</v>
      </c>
      <c r="N99"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99" s="83">
        <v>25.0</v>
      </c>
      <c r="P99" s="84" t="s">
        <v>26</v>
      </c>
      <c r="Q99" s="81">
        <v>10.0</v>
      </c>
      <c r="R99" s="128" t="s">
        <v>83</v>
      </c>
      <c r="S99" s="81" t="s">
        <v>58</v>
      </c>
      <c r="T99" s="86">
        <v>43160.0</v>
      </c>
    </row>
    <row r="100" hidden="1">
      <c r="A100" s="75" t="s">
        <v>84</v>
      </c>
      <c r="B100" s="76">
        <v>965.0</v>
      </c>
      <c r="C100" s="122">
        <v>28.0</v>
      </c>
      <c r="D100" s="78">
        <v>1.4</v>
      </c>
      <c r="E100" s="144">
        <v>83.0</v>
      </c>
      <c r="F100" s="145">
        <v>134.0</v>
      </c>
      <c r="G100" s="84" t="s">
        <v>30</v>
      </c>
      <c r="H100" s="82" t="s">
        <v>56</v>
      </c>
      <c r="I100" s="81">
        <v>0.19</v>
      </c>
      <c r="J100" s="87">
        <v>1399.0</v>
      </c>
      <c r="K100" s="88" t="str">
        <f>HYPERLINK("https://amzn.to/2Wn0pxO","link*")</f>
        <v>link*</v>
      </c>
      <c r="L100" s="88" t="str">
        <f>HYPERLINK("https://www.bhphotovideo.com/c/product/1436285-REG/sigma_28mm_f_1_4_dg_hsm.html/BI/19619/KBID/12129/kw/SI2814DGSE/DFF/d10-v2-t1-xSI2814DGSE","link*")</f>
        <v>link*</v>
      </c>
      <c r="M100" s="88" t="str">
        <f>HYPERLINK("https://amzn.to/2WzVkHd","link*")</f>
        <v>link*</v>
      </c>
      <c r="N100" s="88"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100" s="83">
        <v>28.0</v>
      </c>
      <c r="P100" s="84" t="s">
        <v>26</v>
      </c>
      <c r="Q100" s="81">
        <v>9.0</v>
      </c>
      <c r="R100" s="128" t="s">
        <v>81</v>
      </c>
      <c r="S100" s="81" t="s">
        <v>41</v>
      </c>
      <c r="T100" s="86">
        <v>43435.0</v>
      </c>
    </row>
    <row r="101" hidden="1">
      <c r="A101" s="131" t="str">
        <f>HYPERLINK("https://www.systemkamera-forum.de/blog/2015/05/sony-fe-28mm-f2-test-und-erfahrungsbericht/","Sony FE 2/28")</f>
        <v>Sony FE 2/28</v>
      </c>
      <c r="B101" s="76">
        <v>200.0</v>
      </c>
      <c r="C101" s="122">
        <v>28.0</v>
      </c>
      <c r="D101" s="78">
        <v>2.0</v>
      </c>
      <c r="E101" s="144">
        <v>60.0</v>
      </c>
      <c r="F101" s="145">
        <v>60.0</v>
      </c>
      <c r="G101" s="84" t="s">
        <v>30</v>
      </c>
      <c r="H101" s="82" t="s">
        <v>74</v>
      </c>
      <c r="I101" s="81">
        <v>0.13</v>
      </c>
      <c r="J101" s="153">
        <v>448.0</v>
      </c>
      <c r="K101" s="88" t="str">
        <f>HYPERLINK("https://amzn.to/2GXJWdo","link*")</f>
        <v>link*</v>
      </c>
      <c r="L101" s="88" t="str">
        <f>HYPERLINK("https://www.bhphotovideo.com/c/product/1402637-REG/sony_fe_28mm_f_2_lens.html/BI/19619/KBID/12129/kw/SO2820F/DFF/d10-v2-t1-xSO2820F","link*")</f>
        <v>link*</v>
      </c>
      <c r="M101" s="88" t="str">
        <f>HYPERLINK("http://amzn.to/2wyLOCO","link*")</f>
        <v>link*</v>
      </c>
      <c r="N101"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101" s="83">
        <v>29.0</v>
      </c>
      <c r="P101" s="84" t="s">
        <v>26</v>
      </c>
      <c r="Q101" s="81">
        <v>9.0</v>
      </c>
      <c r="R101" s="128" t="s">
        <v>60</v>
      </c>
      <c r="S101" s="81" t="s">
        <v>32</v>
      </c>
      <c r="T101" s="86">
        <v>42064.0</v>
      </c>
    </row>
    <row r="102" hidden="1">
      <c r="A102" s="131" t="str">
        <f>HYPERLINK("https://phillipreeve.net/blog/review-tamron-28-75mm-f-2-8-di-iii-rxd-sony-e-mount/","Tamron 2.8/28-75")</f>
        <v>Tamron 2.8/28-75</v>
      </c>
      <c r="B102" s="76">
        <v>550.0</v>
      </c>
      <c r="C102" s="122">
        <v>28.0</v>
      </c>
      <c r="D102" s="78">
        <v>2.8</v>
      </c>
      <c r="E102" s="144">
        <v>73.0</v>
      </c>
      <c r="F102" s="145">
        <v>118.0</v>
      </c>
      <c r="G102" s="84" t="s">
        <v>30</v>
      </c>
      <c r="H102" s="82" t="s">
        <v>53</v>
      </c>
      <c r="I102" s="140">
        <v>0.34</v>
      </c>
      <c r="J102" s="153">
        <v>879.0</v>
      </c>
      <c r="K102" s="88" t="str">
        <f>HYPERLINK("https://amzn.to/2ST5uxq","link*")</f>
        <v>link*</v>
      </c>
      <c r="L102" s="88" t="str">
        <f>HYPERLINK("https://www.bhphotovideo.com/c/product/1393332-REG/tamron_a036_28_75mm_f_2_8_di_iii.html/BI/19619/KBID/12129/DFF/d10-v21-t1-x892059/SID/EZ","link*")</f>
        <v>link*</v>
      </c>
      <c r="M102" s="88" t="str">
        <f>HYPERLINK("https://amzn.to/2ZmSzdU","link*")</f>
        <v>link*</v>
      </c>
      <c r="N102"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102" s="83">
        <v>19.0</v>
      </c>
      <c r="P102" s="84" t="s">
        <v>26</v>
      </c>
      <c r="Q102" s="81">
        <v>9.0</v>
      </c>
      <c r="R102" s="128" t="s">
        <v>85</v>
      </c>
      <c r="S102" s="81" t="s">
        <v>55</v>
      </c>
      <c r="T102" s="86">
        <v>43252.0</v>
      </c>
    </row>
    <row r="103" hidden="1">
      <c r="A103" s="75" t="s">
        <v>88</v>
      </c>
      <c r="B103" s="76">
        <v>295.0</v>
      </c>
      <c r="C103" s="122">
        <v>28.0</v>
      </c>
      <c r="D103" s="78" t="s">
        <v>89</v>
      </c>
      <c r="E103" s="144">
        <v>73.0</v>
      </c>
      <c r="F103" s="145">
        <v>83.0</v>
      </c>
      <c r="G103" s="84" t="s">
        <v>30</v>
      </c>
      <c r="H103" s="82" t="s">
        <v>90</v>
      </c>
      <c r="I103" s="81">
        <v>0.19</v>
      </c>
      <c r="J103" s="87">
        <v>398.0</v>
      </c>
      <c r="K103" s="88" t="str">
        <f>HYPERLINK("https://www.amazon.com/gp/product/B00FYOFADE/ref=as_li_tl?ie=UTF8&amp;tag=wwwphillipree-20&amp;camp=1789&amp;creative=9325&amp;linkCode=as2&amp;creativeASIN=B00FYOFADE&amp;linkId=96720b245156eae53bb1a672d4453d3f","link*")</f>
        <v>link*</v>
      </c>
      <c r="L103" s="88" t="str">
        <f>HYPERLINK("https://www.bhphotovideo.com/c/product/1015472-REG/sony_sel2870_fe_28_70mm_f_3_5_5_6_oss.html/BI/19619/KBID/12129/DFF/d10-v21-t1-x473993/SID/EZ","link*")</f>
        <v>link*</v>
      </c>
      <c r="M103" s="88" t="str">
        <f>HYPERLINK("https://www.amazon.de/gp/product/B00HSHFPD0/ref=as_li_tl?ie=UTF8&amp;tag=wwwphillipree-21&amp;camp=1638&amp;creative=6742&amp;linkCode=as2&amp;creativeASIN=B00HSHFPD0&amp;linkId=6701f30673f8a4071232ca85e1953506","link*")</f>
        <v>link*</v>
      </c>
      <c r="N103"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103" s="83">
        <v>30.0</v>
      </c>
      <c r="P103" s="154" t="s">
        <v>49</v>
      </c>
      <c r="Q103" s="81">
        <v>7.0</v>
      </c>
      <c r="R103" s="128" t="s">
        <v>60</v>
      </c>
      <c r="S103" s="81" t="s">
        <v>32</v>
      </c>
      <c r="T103" s="86">
        <v>41548.0</v>
      </c>
    </row>
    <row r="104" hidden="1">
      <c r="A104" s="75" t="s">
        <v>91</v>
      </c>
      <c r="B104" s="76">
        <v>1215.0</v>
      </c>
      <c r="C104" s="122">
        <v>28.0</v>
      </c>
      <c r="D104" s="78">
        <v>4.0</v>
      </c>
      <c r="E104" s="144">
        <v>105.0</v>
      </c>
      <c r="F104" s="145">
        <v>165.0</v>
      </c>
      <c r="G104" s="84" t="s">
        <v>30</v>
      </c>
      <c r="H104" s="382" t="s">
        <v>92</v>
      </c>
      <c r="I104" s="346"/>
      <c r="J104" s="87">
        <v>249.0</v>
      </c>
      <c r="K104" s="88" t="str">
        <f>HYPERLINK("http://amzn.to/2v2kiy9","link*")</f>
        <v>link*</v>
      </c>
      <c r="L104" s="88" t="str">
        <f>HYPERLINK("https://www.bhphotovideo.com/c/product/1082051-REG/sony_selp28135g_e_pz_28_135mm_f_4.html/BI/19619/KBID/12129/DFF/d10-v21-t1-x556056/SID/EZ","link*")</f>
        <v>link*</v>
      </c>
      <c r="M104" s="88" t="str">
        <f>HYPERLINK("http://amzn.to/2wlpg9b","link*")</f>
        <v>link*</v>
      </c>
      <c r="N104"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104" s="83">
        <v>40.0</v>
      </c>
      <c r="P104" s="154" t="s">
        <v>49</v>
      </c>
      <c r="Q104" s="81">
        <v>9.0</v>
      </c>
      <c r="R104" s="128" t="s">
        <v>93</v>
      </c>
      <c r="S104" s="81" t="s">
        <v>32</v>
      </c>
      <c r="T104" s="86">
        <v>41883.0</v>
      </c>
      <c r="U104" s="68" t="s">
        <v>94</v>
      </c>
    </row>
    <row r="105" hidden="1">
      <c r="A105" s="131" t="str">
        <f>HYPERLINK("https://phillipreeve.net/blog/review-sigma-35mm-1-2-art-dg-dn/","Sigma Art 1.2/35")</f>
        <v>Sigma Art 1.2/35</v>
      </c>
      <c r="B105" s="76">
        <v>1090.0</v>
      </c>
      <c r="C105" s="122">
        <v>35.0</v>
      </c>
      <c r="D105" s="383">
        <v>1.2</v>
      </c>
      <c r="E105" s="144">
        <v>88.0</v>
      </c>
      <c r="F105" s="145">
        <v>136.0</v>
      </c>
      <c r="G105" s="81" t="s">
        <v>30</v>
      </c>
      <c r="H105" s="270" t="s">
        <v>51</v>
      </c>
      <c r="I105" s="81">
        <v>0.19</v>
      </c>
      <c r="J105" s="87">
        <v>1499.0</v>
      </c>
      <c r="K105" s="88" t="str">
        <f>HYPERLINK("https://amzn.to/2LiHhxc","link*")</f>
        <v>link*</v>
      </c>
      <c r="L105" s="88" t="str">
        <f>HYPERLINK("https://www.bhphotovideo.com/c/product/1492967-REG/sigma_341969_35mm_f_1_2_dg_dn.html/BI/19619/KBID/12129/DFF/d10-v21-t1-x976038/SID/EZ","link*")</f>
        <v>link*</v>
      </c>
      <c r="M105" s="89"/>
      <c r="N105" s="88"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105" s="83">
        <v>30.0</v>
      </c>
      <c r="P105" s="84" t="s">
        <v>26</v>
      </c>
      <c r="Q105" s="81">
        <v>11.0</v>
      </c>
      <c r="R105" s="123">
        <v>43816.0</v>
      </c>
      <c r="S105" s="81" t="s">
        <v>41</v>
      </c>
      <c r="T105" s="86">
        <v>43647.0</v>
      </c>
    </row>
    <row r="106" hidden="1">
      <c r="A106" s="131" t="str">
        <f>HYPERLINK("https://phillipreeve.net/blog/review-sony-fe-35mm-1-4-za/","Sony ZA 1.4/35")</f>
        <v>Sony ZA 1.4/35</v>
      </c>
      <c r="B106" s="76">
        <v>630.0</v>
      </c>
      <c r="C106" s="122">
        <v>35.0</v>
      </c>
      <c r="D106" s="78">
        <v>1.4</v>
      </c>
      <c r="E106" s="144">
        <v>79.0</v>
      </c>
      <c r="F106" s="145">
        <v>112.0</v>
      </c>
      <c r="G106" s="81" t="s">
        <v>30</v>
      </c>
      <c r="H106" s="82" t="s">
        <v>48</v>
      </c>
      <c r="I106" s="81">
        <v>0.18</v>
      </c>
      <c r="J106" s="87">
        <v>1599.0</v>
      </c>
      <c r="K106" s="88" t="str">
        <f>HYPERLINK("https://amzn.to/2LRSMOS","link*")</f>
        <v>link*</v>
      </c>
      <c r="L106" s="88" t="str">
        <f>HYPERLINK("https://www.bhphotovideo.com/c/product/1126137-REG/sony_sel35f14z_distagon_t_fe_35mm.html/BI/19619/KBID/12129/DFF/d10-v21-t1-x612725/SID/EZ","link*")</f>
        <v>link*</v>
      </c>
      <c r="M106" s="88" t="str">
        <f>HYPERLINK("https://amzn.to/2ZmfSnX","link*")</f>
        <v>link*</v>
      </c>
      <c r="N106"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106" s="83">
        <v>30.0</v>
      </c>
      <c r="P106" s="84" t="s">
        <v>26</v>
      </c>
      <c r="Q106" s="81">
        <v>9.0</v>
      </c>
      <c r="R106" s="123">
        <v>43689.0</v>
      </c>
      <c r="S106" s="81" t="s">
        <v>32</v>
      </c>
      <c r="T106" s="86">
        <v>42064.0</v>
      </c>
    </row>
    <row r="107" hidden="1">
      <c r="A107" s="75" t="s">
        <v>226</v>
      </c>
      <c r="B107" s="76">
        <v>645.0</v>
      </c>
      <c r="C107" s="122">
        <v>35.0</v>
      </c>
      <c r="D107" s="78">
        <v>1.4</v>
      </c>
      <c r="E107" s="144">
        <v>76.0</v>
      </c>
      <c r="F107" s="151">
        <v>115.0</v>
      </c>
      <c r="G107" s="81" t="s">
        <v>30</v>
      </c>
      <c r="H107" s="82" t="s">
        <v>53</v>
      </c>
      <c r="I107" s="81">
        <v>0.17</v>
      </c>
      <c r="J107" s="87">
        <v>799.0</v>
      </c>
      <c r="K107" s="88" t="str">
        <f>HYPERLINK("https://amzn.to/2K8DDXH","link*")</f>
        <v>link*</v>
      </c>
      <c r="L107" s="88" t="str">
        <f>HYPERLINK("https://www.bhphotovideo.com/c/product/1381712-REG/voigtlander_nokton_classic_35mm_f_1_4.html/BI/19619/KBID/12129/DFF/d10-v21-t1-x877353/SID/EZ","link*")</f>
        <v>link*</v>
      </c>
      <c r="M107" s="88" t="str">
        <f>HYPERLINK("https://amzn.to/2Zhl3FI","link*")</f>
        <v>link*</v>
      </c>
      <c r="N107"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107" s="83">
        <v>30.0</v>
      </c>
      <c r="P107" s="84" t="s">
        <v>26</v>
      </c>
      <c r="Q107" s="81">
        <v>9.0</v>
      </c>
      <c r="R107" s="123">
        <v>43719.0</v>
      </c>
      <c r="S107" s="81" t="s">
        <v>46</v>
      </c>
      <c r="T107" s="86">
        <v>43009.0</v>
      </c>
      <c r="U107" s="68" t="s">
        <v>99</v>
      </c>
    </row>
    <row r="108">
      <c r="A108" s="131" t="str">
        <f>HYPERLINK("https://phillipreeve.net/blog/voigtlander-65-f2-apo-macro-review/","Voigtlander Macro 65mm F2 Apo Lanthar")</f>
        <v>Voigtlander Macro 65mm F2 Apo Lanthar</v>
      </c>
      <c r="B108" s="76">
        <v>635.0</v>
      </c>
      <c r="C108" s="122">
        <v>65.0</v>
      </c>
      <c r="D108" s="78">
        <v>2.0</v>
      </c>
      <c r="E108" s="144">
        <v>78.0</v>
      </c>
      <c r="F108" s="145">
        <v>91.0</v>
      </c>
      <c r="G108" s="81" t="s">
        <v>24</v>
      </c>
      <c r="H108" s="82" t="s">
        <v>53</v>
      </c>
      <c r="I108" s="393">
        <v>0.5</v>
      </c>
      <c r="J108" s="87">
        <v>999.0</v>
      </c>
      <c r="K108" s="88" t="str">
        <f>HYPERLINK("https://amzn.to/2LU48SI","link*")</f>
        <v>link*</v>
      </c>
      <c r="L108" s="88" t="str">
        <f>HYPERLINK("https://www.bhphotovideo.com/c/product/1350400-REG/voigtlander_macro_apo_lanthar_65mm_f2.html/BI/19619/KBID/12129/DFF/d10-v21-t1-x835677/SID/EZ","link*")</f>
        <v>link*</v>
      </c>
      <c r="M108" s="89" t="s">
        <v>33</v>
      </c>
      <c r="N108"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108" s="83">
        <v>31.0</v>
      </c>
      <c r="P108" s="84" t="s">
        <v>26</v>
      </c>
      <c r="Q108" s="81">
        <v>10.0</v>
      </c>
      <c r="R108" s="123">
        <v>43687.0</v>
      </c>
      <c r="S108" s="81" t="s">
        <v>28</v>
      </c>
      <c r="T108" s="86">
        <v>42917.0</v>
      </c>
    </row>
    <row r="109" hidden="1">
      <c r="A109" s="131" t="str">
        <f>HYPERLINK("https://phillipreeve.net/blog/review-sigma-35mm-1-4-art/","Sigma Art 1.4/35")</f>
        <v>Sigma Art 1.4/35</v>
      </c>
      <c r="B109" s="76">
        <v>740.0</v>
      </c>
      <c r="C109" s="122">
        <v>35.0</v>
      </c>
      <c r="D109" s="78">
        <v>1.4</v>
      </c>
      <c r="E109" s="144">
        <v>77.0</v>
      </c>
      <c r="F109" s="151">
        <v>94.0</v>
      </c>
      <c r="G109" s="81" t="s">
        <v>30</v>
      </c>
      <c r="H109" s="82" t="s">
        <v>53</v>
      </c>
      <c r="I109" s="81">
        <v>0.19</v>
      </c>
      <c r="J109" s="153">
        <v>899.0</v>
      </c>
      <c r="K109" s="88" t="str">
        <f>HYPERLINK("https://amzn.to/2LOaQcZ","link*")</f>
        <v>link*</v>
      </c>
      <c r="L109" s="88" t="str">
        <f>HYPERLINK("https://www.bhphotovideo.com/c/product/1393492-REG/sigma_35mm_f_1_4_dg_hsm.html/BI/19619/KBID/12129/DFF/d10-v21-t1-x881157/SID/EZ","link*")</f>
        <v>link*</v>
      </c>
      <c r="M109" s="88" t="str">
        <f>HYPERLINK("https://amzn.to/2ZrfakE","link*")</f>
        <v>link*</v>
      </c>
      <c r="N109"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109" s="83">
        <v>30.0</v>
      </c>
      <c r="P109" s="84" t="s">
        <v>26</v>
      </c>
      <c r="Q109" s="81">
        <v>9.0</v>
      </c>
      <c r="R109" s="123">
        <v>43782.0</v>
      </c>
      <c r="S109" s="81" t="s">
        <v>41</v>
      </c>
      <c r="T109" s="86">
        <v>43221.0</v>
      </c>
      <c r="U109" s="68" t="s">
        <v>42</v>
      </c>
    </row>
    <row r="110" hidden="1">
      <c r="A110" s="75" t="s">
        <v>227</v>
      </c>
      <c r="B110" s="76">
        <v>280.0</v>
      </c>
      <c r="C110" s="122">
        <v>35.0</v>
      </c>
      <c r="D110" s="78">
        <v>1.8</v>
      </c>
      <c r="E110" s="144">
        <v>66.0</v>
      </c>
      <c r="F110" s="151">
        <v>73.0</v>
      </c>
      <c r="G110" s="81" t="s">
        <v>30</v>
      </c>
      <c r="H110" s="82" t="s">
        <v>90</v>
      </c>
      <c r="I110" s="185">
        <v>0.24</v>
      </c>
      <c r="J110" s="87">
        <v>749.0</v>
      </c>
      <c r="K110" s="89"/>
      <c r="L110" s="88" t="str">
        <f>HYPERLINK("https://www.bhphotovideo.com/c/product/1492866-REG/sony_sel35f18f_35mm_f_1_8_fe_lens.html/BI/19619/KBID/12129/DFF/d10-v21-t1-x975763/SID/EZ","link*")</f>
        <v>link*</v>
      </c>
      <c r="M110" s="88" t="str">
        <f>HYPERLINK("https://amzn.to/2PiATLC","link*")</f>
        <v>link*</v>
      </c>
      <c r="N110"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110" s="83">
        <v>22.0</v>
      </c>
      <c r="P110" s="84" t="s">
        <v>26</v>
      </c>
      <c r="Q110" s="81">
        <v>9.0</v>
      </c>
      <c r="R110" s="123">
        <v>43719.0</v>
      </c>
      <c r="S110" s="81" t="s">
        <v>32</v>
      </c>
      <c r="T110" s="86">
        <v>43647.0</v>
      </c>
    </row>
    <row r="111" hidden="1">
      <c r="A111" s="131" t="str">
        <f>HYPERLINK("https://phillipreeve.net/blog/review-zeiss-loxia-35mm-2-0/","Zeiss Loxia 2/35 Biogon T*")</f>
        <v>Zeiss Loxia 2/35 Biogon T*</v>
      </c>
      <c r="B111" s="76">
        <v>340.0</v>
      </c>
      <c r="C111" s="122">
        <v>35.0</v>
      </c>
      <c r="D111" s="78">
        <v>2.0</v>
      </c>
      <c r="E111" s="144">
        <v>62.0</v>
      </c>
      <c r="F111" s="145">
        <v>66.0</v>
      </c>
      <c r="G111" s="81" t="s">
        <v>24</v>
      </c>
      <c r="H111" s="82" t="s">
        <v>71</v>
      </c>
      <c r="I111" s="81">
        <v>0.17</v>
      </c>
      <c r="J111" s="87">
        <v>1299.0</v>
      </c>
      <c r="K111" s="88" t="str">
        <f>HYPERLINK("https://amzn.to/2T2sJWe","link*")</f>
        <v>link*</v>
      </c>
      <c r="L111" s="88" t="str">
        <f>HYPERLINK("https://www.bhphotovideo.com/c/product/1080388-REG/zeiss_2103_749_loxia_35mm_f_2_biogon.html/BI/19619/KBID/12129/DFF/d10-v21-t1-x553792/SID/EZ","link*")</f>
        <v>link*</v>
      </c>
      <c r="M111" s="89" t="s">
        <v>33</v>
      </c>
      <c r="N111"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111" s="83">
        <v>30.0</v>
      </c>
      <c r="P111" s="84" t="s">
        <v>26</v>
      </c>
      <c r="Q111" s="81">
        <v>10.0</v>
      </c>
      <c r="R111" s="123">
        <v>43625.0</v>
      </c>
      <c r="S111" s="81" t="s">
        <v>58</v>
      </c>
      <c r="T111" s="86">
        <v>41974.0</v>
      </c>
      <c r="U111" s="68" t="s">
        <v>101</v>
      </c>
    </row>
    <row r="112" hidden="1">
      <c r="A112" s="131" t="str">
        <f>HYPERLINK("http://www.photozone.de/sonyalphaff/865-zeiss35f28ff","Sony ZA 2.8/35")</f>
        <v>Sony ZA 2.8/35</v>
      </c>
      <c r="B112" s="76">
        <v>120.0</v>
      </c>
      <c r="C112" s="122">
        <v>35.0</v>
      </c>
      <c r="D112" s="78">
        <v>2.8</v>
      </c>
      <c r="E112" s="144">
        <v>62.0</v>
      </c>
      <c r="F112" s="145">
        <v>37.0</v>
      </c>
      <c r="G112" s="81" t="s">
        <v>30</v>
      </c>
      <c r="H112" s="82" t="s">
        <v>74</v>
      </c>
      <c r="I112" s="81">
        <v>0.12</v>
      </c>
      <c r="J112" s="87">
        <v>798.0</v>
      </c>
      <c r="K112" s="88" t="str">
        <f>HYPERLINK("https://amzn.to/2yvhL24","link*")</f>
        <v>link*</v>
      </c>
      <c r="L112" s="88" t="str">
        <f>HYPERLINK("https://www.bhphotovideo.com/c/product/1008123-REG/sony_sel35f28z_sonnar_t_fe_35mm.html/BI/19619/KBID/12129/DFF/d10-v21-t1-x466840/SID/EZ","link*")</f>
        <v>link*</v>
      </c>
      <c r="M112" s="89" t="s">
        <v>33</v>
      </c>
      <c r="N112"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112" s="83">
        <v>35.0</v>
      </c>
      <c r="P112" s="84" t="s">
        <v>26</v>
      </c>
      <c r="Q112" s="81">
        <v>9.0</v>
      </c>
      <c r="R112" s="123">
        <v>43592.0</v>
      </c>
      <c r="S112" s="81" t="s">
        <v>32</v>
      </c>
      <c r="T112" s="86">
        <v>41487.0</v>
      </c>
    </row>
    <row r="113" hidden="1">
      <c r="A113" s="75" t="s">
        <v>102</v>
      </c>
      <c r="B113" s="76">
        <v>86.0</v>
      </c>
      <c r="C113" s="122">
        <v>35.0</v>
      </c>
      <c r="D113" s="78">
        <v>2.8</v>
      </c>
      <c r="E113" s="144">
        <v>62.0</v>
      </c>
      <c r="F113" s="145">
        <v>33.0</v>
      </c>
      <c r="G113" s="81" t="s">
        <v>30</v>
      </c>
      <c r="H113" s="82" t="s">
        <v>74</v>
      </c>
      <c r="I113" s="81">
        <v>0.12</v>
      </c>
      <c r="J113" s="211">
        <v>399.0</v>
      </c>
      <c r="K113" s="88" t="str">
        <f t="shared" ref="K113:K114" si="1">HYPERLINK("https://amzn.to/2MGKrxp","link*")</f>
        <v>link*</v>
      </c>
      <c r="L113" s="88" t="str">
        <f>HYPERLINK("https://www.bhphotovideo.com/c/product/1348365-REG/samyang_syio35af_e_35mm_f2_8_compact_wide.html/BI/19619/KBID/12129/DFF/d10-v21-t1-x832776/SID/EZ","link*")</f>
        <v>link*</v>
      </c>
      <c r="M113" s="89" t="s">
        <v>33</v>
      </c>
      <c r="N113"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113" s="83">
        <v>35.0</v>
      </c>
      <c r="P113" s="84" t="s">
        <v>26</v>
      </c>
      <c r="Q113" s="81">
        <v>9.0</v>
      </c>
      <c r="R113" s="123">
        <v>43623.0</v>
      </c>
      <c r="S113" s="81" t="s">
        <v>46</v>
      </c>
      <c r="T113" s="86">
        <v>42917.0</v>
      </c>
    </row>
    <row r="114">
      <c r="A114" s="131" t="str">
        <f>HYPERLINK("https://phillipreeve.net/blog/voigtlander-40mm-f1-2-nokton-aspherical-rolling-review/","Voigtlander 40mm F1.2 Nokton")</f>
        <v>Voigtlander 40mm F1.2 Nokton</v>
      </c>
      <c r="B114" s="76">
        <v>420.0</v>
      </c>
      <c r="C114" s="122">
        <v>40.0</v>
      </c>
      <c r="D114" s="392">
        <v>1.2</v>
      </c>
      <c r="E114" s="144">
        <v>70.0</v>
      </c>
      <c r="F114" s="145">
        <v>59.0</v>
      </c>
      <c r="G114" s="81" t="s">
        <v>24</v>
      </c>
      <c r="H114" s="82" t="s">
        <v>47</v>
      </c>
      <c r="I114" s="81">
        <v>0.16</v>
      </c>
      <c r="J114" s="87">
        <v>1099.0</v>
      </c>
      <c r="K114" s="88" t="str">
        <f t="shared" si="1"/>
        <v>link*</v>
      </c>
      <c r="L114" s="88" t="str">
        <f>HYPERLINK("https://www.bhphotovideo.com/c/product/1362557-REG/voigtlander_nokton_40mm_f_1_2_aspherical.html/BI/19619/KBID/12129/DFF/d10-v21-t1-x851241/SID/EZ","link*")</f>
        <v>link*</v>
      </c>
      <c r="M114" s="89" t="s">
        <v>33</v>
      </c>
      <c r="N114"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114" s="83">
        <v>35.0</v>
      </c>
      <c r="P114" s="84" t="s">
        <v>26</v>
      </c>
      <c r="Q114" s="81">
        <v>10.0</v>
      </c>
      <c r="R114" s="123">
        <v>43624.0</v>
      </c>
      <c r="S114" s="81" t="s">
        <v>28</v>
      </c>
      <c r="T114" s="86">
        <v>43040.0</v>
      </c>
    </row>
    <row r="115" hidden="1">
      <c r="A115" s="131" t="str">
        <f>HYPERLINK("https://phillipreeve.net/blog/review-sigma-40mm-1-4-art/","Sigma Art 1.4/40")</f>
        <v>Sigma Art 1.4/40</v>
      </c>
      <c r="B115" s="76">
        <v>1200.0</v>
      </c>
      <c r="C115" s="122">
        <v>40.0</v>
      </c>
      <c r="D115" s="78">
        <v>1.4</v>
      </c>
      <c r="E115" s="144">
        <v>88.0</v>
      </c>
      <c r="F115" s="151">
        <v>157.0</v>
      </c>
      <c r="G115" s="81" t="s">
        <v>30</v>
      </c>
      <c r="H115" s="198" t="s">
        <v>51</v>
      </c>
      <c r="I115" s="81">
        <v>0.15</v>
      </c>
      <c r="J115" s="87">
        <v>1399.0</v>
      </c>
      <c r="K115" s="88" t="str">
        <f>HYPERLINK("https://amzn.to/2SYXFXq","link*")</f>
        <v>link*</v>
      </c>
      <c r="L115" s="88" t="str">
        <f>HYPERLINK("https://www.bhphotovideo.com/c/product/1436292-REG/sigma_40mm_f_1_4_dg_hsm.html/BI/19619/KBID/12129/DFF/d10-v21-t1-x925196/SID/EZ","link*")</f>
        <v>link*</v>
      </c>
      <c r="M115" s="89" t="s">
        <v>33</v>
      </c>
      <c r="N115"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115" s="83">
        <v>40.0</v>
      </c>
      <c r="P115" s="84" t="s">
        <v>26</v>
      </c>
      <c r="Q115" s="81">
        <v>9.0</v>
      </c>
      <c r="R115" s="123">
        <v>43815.0</v>
      </c>
      <c r="S115" s="81" t="s">
        <v>41</v>
      </c>
      <c r="T115" s="86">
        <v>43435.0</v>
      </c>
      <c r="U115" s="68" t="s">
        <v>42</v>
      </c>
    </row>
    <row r="116" hidden="1">
      <c r="A116" s="131" t="str">
        <f>HYPERLINK("https://phillipreeve.net/blog/review-zeiss-batis-2-40-cf/","Zeiss Batis 2/40 CF T*")</f>
        <v>Zeiss Batis 2/40 CF T*</v>
      </c>
      <c r="B116" s="76">
        <v>361.0</v>
      </c>
      <c r="C116" s="122">
        <v>40.0</v>
      </c>
      <c r="D116" s="78">
        <v>2.0</v>
      </c>
      <c r="E116" s="144">
        <v>91.0</v>
      </c>
      <c r="F116" s="151">
        <v>93.0</v>
      </c>
      <c r="G116" s="81" t="s">
        <v>30</v>
      </c>
      <c r="H116" s="82" t="s">
        <v>53</v>
      </c>
      <c r="I116" s="185">
        <v>0.3</v>
      </c>
      <c r="J116" s="87">
        <v>1299.0</v>
      </c>
      <c r="K116" s="88" t="str">
        <f>HYPERLINK("https://amzn.to/2LUN0MF","link*")</f>
        <v>link*</v>
      </c>
      <c r="L116" s="88" t="str">
        <f>HYPERLINK("https://www.bhphotovideo.com/c/product/1436738-REG/zeiss_000000_2239_137_batis_40mm_f_2_cf.html/BI/19619/KBID/12129/DFF/d10-v21-t1-x915694/SID/EZ","link*")</f>
        <v>link*</v>
      </c>
      <c r="M116" s="89" t="s">
        <v>33</v>
      </c>
      <c r="N116"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116" s="83">
        <v>24.0</v>
      </c>
      <c r="P116" s="84" t="s">
        <v>26</v>
      </c>
      <c r="Q116" s="81">
        <v>9.0</v>
      </c>
      <c r="R116" s="123">
        <v>43686.0</v>
      </c>
      <c r="S116" s="81" t="s">
        <v>58</v>
      </c>
      <c r="T116" s="86">
        <v>43435.0</v>
      </c>
      <c r="U116" s="68" t="s">
        <v>228</v>
      </c>
    </row>
    <row r="117" hidden="1">
      <c r="A117" s="75" t="s">
        <v>106</v>
      </c>
      <c r="B117" s="76">
        <v>162.0</v>
      </c>
      <c r="C117" s="122">
        <v>45.0</v>
      </c>
      <c r="D117" s="78">
        <v>1.8</v>
      </c>
      <c r="E117" s="144">
        <v>62.0</v>
      </c>
      <c r="F117" s="151">
        <v>56.0</v>
      </c>
      <c r="G117" s="81" t="s">
        <v>30</v>
      </c>
      <c r="H117" s="82" t="s">
        <v>74</v>
      </c>
      <c r="I117" s="81">
        <v>0.12</v>
      </c>
      <c r="J117" s="129">
        <v>399.0</v>
      </c>
      <c r="K117" s="88" t="str">
        <f>HYPERLINK("https://amzn.to/2YC6MST","link*")</f>
        <v>link*</v>
      </c>
      <c r="L117" s="88" t="str">
        <f>HYPERLINK("https://www.bhphotovideo.com/c/product/1478738-REG/samyang_af_45mm_f_1_8_fe.html/BI/19619/KBID/12129/DFF/d10-v21-t1-x964329/SID/EZ","link*")</f>
        <v>link*</v>
      </c>
      <c r="M117" s="89" t="s">
        <v>33</v>
      </c>
      <c r="N117"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117" s="83">
        <v>45.0</v>
      </c>
      <c r="P117" s="84" t="s">
        <v>26</v>
      </c>
      <c r="Q117" s="81">
        <v>9.0</v>
      </c>
      <c r="R117" s="123">
        <v>43623.0</v>
      </c>
      <c r="S117" s="81" t="s">
        <v>46</v>
      </c>
      <c r="T117" s="86">
        <v>43647.0</v>
      </c>
    </row>
    <row r="118" hidden="1">
      <c r="A118" s="75" t="s">
        <v>107</v>
      </c>
      <c r="B118" s="76">
        <v>215.0</v>
      </c>
      <c r="C118" s="122">
        <v>45.0</v>
      </c>
      <c r="D118" s="78">
        <v>2.8</v>
      </c>
      <c r="E118" s="144">
        <v>64.0</v>
      </c>
      <c r="F118" s="145">
        <v>46.0</v>
      </c>
      <c r="G118" s="81" t="s">
        <v>30</v>
      </c>
      <c r="H118" s="82" t="s">
        <v>90</v>
      </c>
      <c r="I118" s="140">
        <v>0.25</v>
      </c>
      <c r="J118" s="87">
        <v>549.0</v>
      </c>
      <c r="K118" s="88" t="str">
        <f>HYPERLINK("https://amzn.to/2SYEvAX","link*")</f>
        <v>link*</v>
      </c>
      <c r="L118" s="88" t="str">
        <f>HYPERLINK("https://www.bhphotovideo.com/c/product/1492966-REG/sigma_360965_45mm_f_2_8_dg_dn.html/BI/19619/KBID/12129/DFF/d10-v21-t1-x976020/SID/EZ","link*")</f>
        <v>link*</v>
      </c>
      <c r="M118" s="89" t="s">
        <v>33</v>
      </c>
      <c r="N118" s="88"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118" s="83">
        <v>24.0</v>
      </c>
      <c r="P118" s="84" t="s">
        <v>26</v>
      </c>
      <c r="Q118" s="81">
        <v>7.0</v>
      </c>
      <c r="R118" s="123">
        <v>43654.0</v>
      </c>
      <c r="S118" s="81" t="s">
        <v>41</v>
      </c>
      <c r="T118" s="86">
        <v>43647.0</v>
      </c>
      <c r="U118" s="68" t="s">
        <v>108</v>
      </c>
    </row>
    <row r="119">
      <c r="A119" s="131" t="str">
        <f>HYPERLINK("https://phillipreeve.net/blog/review-voigtlander-35mm-1-4-nokton-e-classic/","Voigtlander 35mm F1.4 Nokton Classic")</f>
        <v>Voigtlander 35mm F1.4 Nokton Classic</v>
      </c>
      <c r="B119" s="76">
        <v>262.0</v>
      </c>
      <c r="C119" s="122">
        <v>35.0</v>
      </c>
      <c r="D119" s="78">
        <v>1.4</v>
      </c>
      <c r="E119" s="144">
        <v>67.0</v>
      </c>
      <c r="F119" s="151">
        <v>40.0</v>
      </c>
      <c r="G119" s="81" t="s">
        <v>24</v>
      </c>
      <c r="H119" s="82" t="s">
        <v>47</v>
      </c>
      <c r="I119" s="81">
        <v>0.16</v>
      </c>
      <c r="J119" s="87">
        <v>799.0</v>
      </c>
      <c r="K119" s="88" t="str">
        <f>HYPERLINK("https://amzn.to/2M1M8WH","link*")</f>
        <v>link*</v>
      </c>
      <c r="L119" s="88" t="str">
        <f>HYPERLINK("https://www.bhphotovideo.com/c/product/1381712-REG/voigtlander_nokton_classic_35mm_f_1_4.html/BI/19619/KBID/12129/DFF/d10-v21-t1-x877353/SID/EZ","link*")</f>
        <v>link*</v>
      </c>
      <c r="M119" s="88" t="str">
        <f>HYPERLINK("https://amzn.to/2ZswTZ3","link*")</f>
        <v>link*</v>
      </c>
      <c r="N119"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119" s="83">
        <v>30.0</v>
      </c>
      <c r="P119" s="84" t="s">
        <v>26</v>
      </c>
      <c r="Q119" s="81">
        <v>10.0</v>
      </c>
      <c r="R119" s="123">
        <v>43624.0</v>
      </c>
      <c r="S119" s="81" t="s">
        <v>28</v>
      </c>
      <c r="T119" s="86">
        <v>43132.0</v>
      </c>
    </row>
    <row r="120" hidden="1">
      <c r="A120" s="75" t="s">
        <v>109</v>
      </c>
      <c r="B120" s="76">
        <v>778.0</v>
      </c>
      <c r="C120" s="122">
        <v>50.0</v>
      </c>
      <c r="D120" s="78">
        <v>1.4</v>
      </c>
      <c r="E120" s="144">
        <v>84.0</v>
      </c>
      <c r="F120" s="145">
        <v>108.0</v>
      </c>
      <c r="G120" s="81" t="s">
        <v>30</v>
      </c>
      <c r="H120" s="82" t="s">
        <v>48</v>
      </c>
      <c r="I120" s="81">
        <v>0.15</v>
      </c>
      <c r="J120" s="87">
        <v>1499.0</v>
      </c>
      <c r="K120" s="88" t="str">
        <f>HYPERLINK("https://amzn.to/2K88EL7","link*")</f>
        <v>link*</v>
      </c>
      <c r="L120" s="89" t="s">
        <v>33</v>
      </c>
      <c r="M120" s="89" t="s">
        <v>33</v>
      </c>
      <c r="N120"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120" s="83">
        <v>45.0</v>
      </c>
      <c r="P120" s="84" t="s">
        <v>26</v>
      </c>
      <c r="Q120" s="81">
        <v>11.0</v>
      </c>
      <c r="R120" s="123">
        <v>43720.0</v>
      </c>
      <c r="S120" s="81" t="s">
        <v>32</v>
      </c>
      <c r="T120" s="86">
        <v>42583.0</v>
      </c>
    </row>
    <row r="121" hidden="1">
      <c r="A121" s="75" t="s">
        <v>110</v>
      </c>
      <c r="B121" s="76">
        <v>815.0</v>
      </c>
      <c r="C121" s="122">
        <v>50.0</v>
      </c>
      <c r="D121" s="78">
        <v>1.4</v>
      </c>
      <c r="E121" s="144">
        <v>85.0</v>
      </c>
      <c r="F121" s="145">
        <v>100.0</v>
      </c>
      <c r="G121" s="81" t="s">
        <v>30</v>
      </c>
      <c r="H121" s="82" t="s">
        <v>56</v>
      </c>
      <c r="I121" s="81">
        <v>0.18</v>
      </c>
      <c r="J121" s="87">
        <v>949.0</v>
      </c>
      <c r="K121" s="88" t="str">
        <f>HYPERLINK("https://amzn.to/2K4JmyT","link*")</f>
        <v>link*</v>
      </c>
      <c r="L121" s="88" t="str">
        <f>HYPERLINK("https://www.bhphotovideo.com/c/product/1393493-REG/sigma_50mm_f_1_4_dg_hsm.html/BI/19619/KBID/12129/kw/SI5014SO/DFF/d10-v2-t1-xSI5014SO","link*")</f>
        <v>link*</v>
      </c>
      <c r="M121" s="88" t="str">
        <f>HYPERLINK("https://amzn.to/2Wpdoz5","link*")</f>
        <v>link*</v>
      </c>
      <c r="N121" s="88"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121" s="83">
        <v>40.0</v>
      </c>
      <c r="P121" s="84" t="s">
        <v>26</v>
      </c>
      <c r="Q121" s="81">
        <v>9.0</v>
      </c>
      <c r="R121" s="123">
        <v>43690.0</v>
      </c>
      <c r="S121" s="81" t="s">
        <v>41</v>
      </c>
      <c r="T121" s="86">
        <v>43221.0</v>
      </c>
      <c r="U121" s="68" t="s">
        <v>42</v>
      </c>
    </row>
    <row r="122" hidden="1">
      <c r="A122" s="75" t="s">
        <v>111</v>
      </c>
      <c r="B122" s="76">
        <v>585.0</v>
      </c>
      <c r="C122" s="122">
        <v>50.0</v>
      </c>
      <c r="D122" s="78">
        <v>1.4</v>
      </c>
      <c r="E122" s="144">
        <v>74.0</v>
      </c>
      <c r="F122" s="145">
        <v>98.0</v>
      </c>
      <c r="G122" s="81" t="s">
        <v>30</v>
      </c>
      <c r="H122" s="82" t="s">
        <v>53</v>
      </c>
      <c r="I122" s="81">
        <v>0.15</v>
      </c>
      <c r="J122" s="87">
        <v>699.0</v>
      </c>
      <c r="K122" s="88" t="str">
        <f>HYPERLINK("https://amzn.to/2SY1Pyr","link*")</f>
        <v>link*</v>
      </c>
      <c r="L122" s="88" t="str">
        <f>HYPERLINK("https://www.bhphotovideo.com/c/product/1352862-REG/samyang_syio50af_e_50mm_f_1_4_auto_focus.html/BI/19619/KBID/12129/DFF/d10-v21-t1-x837927/SID/EZ","link*")</f>
        <v>link*</v>
      </c>
      <c r="M122" s="89" t="s">
        <v>33</v>
      </c>
      <c r="N122"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122" s="83">
        <v>45.0</v>
      </c>
      <c r="P122" s="84" t="s">
        <v>26</v>
      </c>
      <c r="Q122" s="81">
        <v>9.0</v>
      </c>
      <c r="R122" s="123">
        <v>43686.0</v>
      </c>
      <c r="S122" s="81" t="s">
        <v>46</v>
      </c>
      <c r="T122" s="86">
        <v>42583.0</v>
      </c>
    </row>
    <row r="123" hidden="1">
      <c r="A123" s="131" t="str">
        <f>HYPERLINK("https://phillipreeve.net/blog/review-sony-fe-1-850/","Sony 50mm F1.8")</f>
        <v>Sony 50mm F1.8</v>
      </c>
      <c r="B123" s="76">
        <v>186.0</v>
      </c>
      <c r="C123" s="122">
        <v>50.0</v>
      </c>
      <c r="D123" s="78">
        <v>1.8</v>
      </c>
      <c r="E123" s="144">
        <v>69.0</v>
      </c>
      <c r="F123" s="145">
        <v>60.0</v>
      </c>
      <c r="G123" s="81" t="s">
        <v>30</v>
      </c>
      <c r="H123" s="82" t="s">
        <v>74</v>
      </c>
      <c r="I123" s="81">
        <v>0.14</v>
      </c>
      <c r="J123" s="153">
        <v>249.0</v>
      </c>
      <c r="K123" s="88" t="str">
        <f>HYPERLINK("http://amzn.to/2v2F5Se","link*")</f>
        <v>link*</v>
      </c>
      <c r="L123" s="88" t="str">
        <f>HYPERLINK("https://www.bhphotovideo.com/c/product/1242613-REG/sony_sel50f18f_fe_50mm_f_1_8_lens.html/BI/19619/KBID/12129/kw/SO5018F/DFF/d10-v2-t1-xSO5018F","link*")</f>
        <v>link*</v>
      </c>
      <c r="M123" s="88" t="str">
        <f>HYPERLINK("http://amzn.to/2wyHB25","link*")</f>
        <v>link*</v>
      </c>
      <c r="N123"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123" s="83">
        <v>45.0</v>
      </c>
      <c r="P123" s="84" t="s">
        <v>26</v>
      </c>
      <c r="Q123" s="81">
        <v>7.0</v>
      </c>
      <c r="R123" s="123">
        <v>43591.0</v>
      </c>
      <c r="S123" s="81" t="s">
        <v>32</v>
      </c>
      <c r="T123" s="86">
        <v>42430.0</v>
      </c>
    </row>
    <row r="124" hidden="1">
      <c r="A124" s="131" t="str">
        <f>HYPERLINK("https://phillipreeve.net/blog/review-zeiss-loxia-planar-250-t/","Zeiss Loxia 50mm F2")</f>
        <v>Zeiss Loxia 50mm F2</v>
      </c>
      <c r="B124" s="76">
        <v>320.0</v>
      </c>
      <c r="C124" s="122">
        <v>50.0</v>
      </c>
      <c r="D124" s="78">
        <v>2.0</v>
      </c>
      <c r="E124" s="144">
        <v>62.0</v>
      </c>
      <c r="F124" s="145">
        <v>60.0</v>
      </c>
      <c r="G124" s="81" t="s">
        <v>24</v>
      </c>
      <c r="H124" s="82" t="s">
        <v>71</v>
      </c>
      <c r="I124" s="81">
        <v>0.15</v>
      </c>
      <c r="J124" s="87">
        <v>949.0</v>
      </c>
      <c r="K124" s="88" t="str">
        <f>HYPERLINK("http://amzn.to/2faVsIu","link*")</f>
        <v>link*</v>
      </c>
      <c r="L124" s="88" t="str">
        <f>HYPERLINK("https://www.bhphotovideo.com/c/product/1080387-REG/zeiss_2103_748_loxia_50mm_f_2_planar.html/BI/19619/KBID/12129/kw/ZE502LFE/DFF/d10-v2-t1-xZE502LFE","link*")</f>
        <v>link*</v>
      </c>
      <c r="M124" s="88" t="str">
        <f>HYPERLINK("http://amzn.to/2wyJAU4","link*")</f>
        <v>link*</v>
      </c>
      <c r="N124"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124" s="83">
        <v>45.0</v>
      </c>
      <c r="P124" s="84" t="s">
        <v>26</v>
      </c>
      <c r="Q124" s="81">
        <v>10.0</v>
      </c>
      <c r="R124" s="123">
        <v>43561.0</v>
      </c>
      <c r="S124" s="81" t="s">
        <v>58</v>
      </c>
      <c r="T124" s="86">
        <v>41913.0</v>
      </c>
      <c r="U124" s="68" t="s">
        <v>101</v>
      </c>
    </row>
    <row r="125" hidden="1">
      <c r="A125" s="131" t="str">
        <f>HYPERLINK("https://phillipreeve.net/blog/rolling-review-sony-fe-2-850-macro/","Sony 50mm F/2.8 Macro")</f>
        <v>Sony 50mm F/2.8 Macro</v>
      </c>
      <c r="B125" s="76">
        <v>236.0</v>
      </c>
      <c r="C125" s="122">
        <v>50.0</v>
      </c>
      <c r="D125" s="78">
        <v>1.8</v>
      </c>
      <c r="E125" s="144">
        <v>72.0</v>
      </c>
      <c r="F125" s="145">
        <v>71.0</v>
      </c>
      <c r="G125" s="81" t="s">
        <v>30</v>
      </c>
      <c r="H125" s="82" t="s">
        <v>90</v>
      </c>
      <c r="I125" s="259">
        <v>1.0</v>
      </c>
      <c r="J125" s="129">
        <v>499.0</v>
      </c>
      <c r="K125" s="88" t="str">
        <f>HYPERLINK("http://amzn.to/2v2g0qz","link*")</f>
        <v>link*</v>
      </c>
      <c r="L125" s="88" t="str">
        <f>HYPERLINK("https://www.bhphotovideo.com/c/product/1277527-REG/sony_sel50m28_fe_50mm_f_2_8_macro.html/BI/19619/KBID/12129/kw/SO5028FF/DFF/d10-v2-t1-xSO5028FF","link*")</f>
        <v>link*</v>
      </c>
      <c r="M125" s="88" t="str">
        <f>HYPERLINK("http://amzn.to/2vbknRN","link*")</f>
        <v>link*</v>
      </c>
      <c r="N125"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125" s="83">
        <v>16.0</v>
      </c>
      <c r="P125" s="84" t="s">
        <v>26</v>
      </c>
      <c r="Q125" s="81">
        <v>7.0</v>
      </c>
      <c r="R125" s="123">
        <v>43654.0</v>
      </c>
      <c r="S125" s="81" t="s">
        <v>32</v>
      </c>
      <c r="T125" s="86">
        <v>42614.0</v>
      </c>
    </row>
    <row r="126" hidden="1">
      <c r="A126" s="131" t="str">
        <f>HYPERLINK("https://phillipreeve.net/blog/sony-fe-1-855-za-sonnar-t-review/","Sony ZA 55mm F1.8 Sonnar")</f>
        <v>Sony ZA 55mm F1.8 Sonnar</v>
      </c>
      <c r="B126" s="76">
        <v>281.0</v>
      </c>
      <c r="C126" s="122">
        <v>55.0</v>
      </c>
      <c r="D126" s="78">
        <v>1.8</v>
      </c>
      <c r="E126" s="144">
        <v>64.0</v>
      </c>
      <c r="F126" s="145">
        <v>71.0</v>
      </c>
      <c r="G126" s="81" t="s">
        <v>30</v>
      </c>
      <c r="H126" s="82" t="s">
        <v>74</v>
      </c>
      <c r="I126" s="81">
        <v>0.14</v>
      </c>
      <c r="J126" s="87">
        <v>999.0</v>
      </c>
      <c r="K126" s="88" t="str">
        <f>HYPERLINK("https://amzn.to/2ywdgEk","link*")</f>
        <v>link*</v>
      </c>
      <c r="L126" s="88" t="str">
        <f>HYPERLINK("https://www.bhphotovideo.com/c/product/1008124-REG/sony_sel55f18z_sonnar_t_fe_55mm.html/BI/19619/KBID/12129/DFF/d10-v21-t1-x466841/SID/EZ","link*")</f>
        <v>link*</v>
      </c>
      <c r="M126" s="89" t="s">
        <v>33</v>
      </c>
      <c r="N126"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126" s="83">
        <v>50.0</v>
      </c>
      <c r="P126" s="84" t="s">
        <v>26</v>
      </c>
      <c r="Q126" s="81">
        <v>9.0</v>
      </c>
      <c r="R126" s="123">
        <v>43592.0</v>
      </c>
      <c r="S126" s="81" t="s">
        <v>32</v>
      </c>
      <c r="T126" s="86">
        <v>41548.0</v>
      </c>
    </row>
    <row r="127">
      <c r="A127" s="131" t="str">
        <f>HYPERLINK("https://phillipreeve.net/blog/voigtlander-110mm-f2-5-apo-review/","Voigtlander 110mm F2.5 APO Macro")</f>
        <v>Voigtlander 110mm F2.5 APO Macro</v>
      </c>
      <c r="B127" s="76">
        <v>771.0</v>
      </c>
      <c r="C127" s="122">
        <v>110.0</v>
      </c>
      <c r="D127" s="78">
        <v>2.5</v>
      </c>
      <c r="E127" s="144">
        <v>78.0</v>
      </c>
      <c r="F127" s="145">
        <v>100.0</v>
      </c>
      <c r="G127" s="81" t="s">
        <v>24</v>
      </c>
      <c r="H127" s="82" t="s">
        <v>47</v>
      </c>
      <c r="I127" s="259">
        <v>1.0</v>
      </c>
      <c r="J127" s="87">
        <v>1099.0</v>
      </c>
      <c r="K127" s="88" t="str">
        <f>HYPERLINK("https://amzn.to/2SXYsrm","link*")</f>
        <v>link*</v>
      </c>
      <c r="L127" s="88" t="str">
        <f>HYPERLINK("https://www.bhphotovideo.com/c/product/1418780-REG/voigtlander_ba349a_macro_apo_lanthar_110mm_f_2_5.html/BI/19619/KBID/12129/kw/VO11025/DFF/d10-v2-t1-xVO11025","link*")</f>
        <v>link*</v>
      </c>
      <c r="M127" s="89" t="s">
        <v>33</v>
      </c>
      <c r="N127"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127" s="83">
        <v>35.0</v>
      </c>
      <c r="P127" s="84" t="s">
        <v>26</v>
      </c>
      <c r="Q127" s="81">
        <v>10.0</v>
      </c>
      <c r="R127" s="123">
        <v>43813.0</v>
      </c>
      <c r="S127" s="81" t="s">
        <v>28</v>
      </c>
      <c r="T127" s="281">
        <v>43405.0</v>
      </c>
    </row>
    <row r="128" hidden="1">
      <c r="A128" s="75" t="s">
        <v>112</v>
      </c>
      <c r="B128" s="76">
        <v>562.0</v>
      </c>
      <c r="C128" s="122">
        <v>70.0</v>
      </c>
      <c r="D128" s="78">
        <v>2.8</v>
      </c>
      <c r="E128" s="144">
        <v>71.0</v>
      </c>
      <c r="F128" s="145">
        <v>106.0</v>
      </c>
      <c r="G128" s="81" t="s">
        <v>30</v>
      </c>
      <c r="H128" s="82" t="s">
        <v>74</v>
      </c>
      <c r="I128" s="259">
        <v>1.0</v>
      </c>
      <c r="J128" s="211">
        <v>569.0</v>
      </c>
      <c r="K128" s="88" t="str">
        <f>HYPERLINK("https://amzn.to/2YGO9te","link*")</f>
        <v>link*</v>
      </c>
      <c r="L128" s="88" t="str">
        <f>HYPERLINK("https://www.bhphotovideo.com/c/product/1393483-REG/sigma_70mm_f_2_8_dg_macro.html/BI/19619/KBID/12129/DFF/d10-v21-t1-x895111/SID/EZ","link*")</f>
        <v>link*</v>
      </c>
      <c r="M128" s="89" t="s">
        <v>33</v>
      </c>
      <c r="N128" s="88"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128" s="83">
        <v>26.0</v>
      </c>
      <c r="P128" s="84" t="s">
        <v>26</v>
      </c>
      <c r="Q128" s="81">
        <v>9.0</v>
      </c>
      <c r="R128" s="123">
        <v>43751.0</v>
      </c>
      <c r="S128" s="81" t="s">
        <v>41</v>
      </c>
      <c r="T128" s="86">
        <v>43221.0</v>
      </c>
      <c r="U128" s="68" t="s">
        <v>42</v>
      </c>
    </row>
    <row r="129" hidden="1">
      <c r="A129" s="75" t="s">
        <v>113</v>
      </c>
      <c r="B129" s="76">
        <v>1480.0</v>
      </c>
      <c r="C129" s="122">
        <v>70.0</v>
      </c>
      <c r="D129" s="78">
        <v>2.8</v>
      </c>
      <c r="E129" s="144">
        <v>88.0</v>
      </c>
      <c r="F129" s="145">
        <v>200.0</v>
      </c>
      <c r="G129" s="81" t="s">
        <v>30</v>
      </c>
      <c r="H129" s="82" t="s">
        <v>56</v>
      </c>
      <c r="I129" s="185">
        <v>0.25</v>
      </c>
      <c r="J129" s="87">
        <v>2599.0</v>
      </c>
      <c r="K129" s="88" t="str">
        <f>HYPERLINK("https://amzn.to/2KbaJGn","link*")</f>
        <v>link*</v>
      </c>
      <c r="L129" s="88" t="str">
        <f>HYPERLINK("https://www.bhphotovideo.com/c/product/1222776-REG/sony_sel70200gm_fe_70_200mm_f_2_8_gm.html/BI/19619/KBID/12129/DFF/d10-v21-t1-x746807/SID/EZ","link*")</f>
        <v>link*</v>
      </c>
      <c r="M129" s="89" t="s">
        <v>33</v>
      </c>
      <c r="N129"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129" s="83">
        <v>96.0</v>
      </c>
      <c r="P129" s="154" t="s">
        <v>49</v>
      </c>
      <c r="Q129" s="81">
        <v>11.0</v>
      </c>
      <c r="R129" s="85" t="s">
        <v>114</v>
      </c>
      <c r="S129" s="81" t="s">
        <v>32</v>
      </c>
      <c r="T129" s="86">
        <v>42401.0</v>
      </c>
    </row>
    <row r="130" hidden="1">
      <c r="A130" s="75" t="s">
        <v>117</v>
      </c>
      <c r="B130" s="76">
        <v>854.0</v>
      </c>
      <c r="C130" s="122">
        <v>70.0</v>
      </c>
      <c r="D130" s="78" t="s">
        <v>118</v>
      </c>
      <c r="E130" s="144">
        <v>84.0</v>
      </c>
      <c r="F130" s="145">
        <v>144.0</v>
      </c>
      <c r="G130" s="81" t="s">
        <v>30</v>
      </c>
      <c r="H130" s="82" t="s">
        <v>48</v>
      </c>
      <c r="I130" s="140">
        <v>0.31</v>
      </c>
      <c r="J130" s="87">
        <v>1198.0</v>
      </c>
      <c r="K130" s="88" t="str">
        <f>HYPERLINK("https://amzn.to/2SVN1Ao","link*")</f>
        <v>link*</v>
      </c>
      <c r="L130" s="88" t="str">
        <f>HYPERLINK("https://www.bhphotovideo.com/c/product/1242614-REG/sony_sel70300g_fe_70_300mm_f_4_5_5_6_g.html/BI/19619/KBID/12129/DFF/d10-v21-t1-x722726/SID/EZ","link*")</f>
        <v>link*</v>
      </c>
      <c r="M130" s="89" t="s">
        <v>33</v>
      </c>
      <c r="N130"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130" s="83">
        <v>90.0</v>
      </c>
      <c r="P130" s="154" t="s">
        <v>49</v>
      </c>
      <c r="Q130" s="81">
        <v>9.0</v>
      </c>
      <c r="R130" s="85" t="s">
        <v>52</v>
      </c>
      <c r="S130" s="81" t="s">
        <v>32</v>
      </c>
      <c r="T130" s="86">
        <v>42430.0</v>
      </c>
    </row>
    <row r="131" hidden="1">
      <c r="A131" s="131" t="str">
        <f>HYPERLINK("https://phillipreeve.net/blog/review-sony-fe-470-200-g-oss/https://phillipreeve.net/blog/review-sony-fe-470-200-g-oss/","Sony G 4/70-200 OSS")</f>
        <v>Sony G 4/70-200 OSS</v>
      </c>
      <c r="B131" s="76">
        <v>840.0</v>
      </c>
      <c r="C131" s="122">
        <v>70.0</v>
      </c>
      <c r="D131" s="78">
        <v>4.0</v>
      </c>
      <c r="E131" s="144">
        <v>80.0</v>
      </c>
      <c r="F131" s="145">
        <v>175.0</v>
      </c>
      <c r="G131" s="81" t="s">
        <v>30</v>
      </c>
      <c r="H131" s="82" t="s">
        <v>48</v>
      </c>
      <c r="I131" s="81">
        <v>0.18</v>
      </c>
      <c r="J131" s="87">
        <v>1498.0</v>
      </c>
      <c r="K131" s="88" t="str">
        <f>HYPERLINK("http://amzn.to/2fbeX3x","link*")</f>
        <v>link*</v>
      </c>
      <c r="L131" s="88" t="str">
        <f>HYPERLINK("https://www.bhphotovideo.com/c/product/1380865-REG/sony_fe_70_200mm_f_4_g.html/BI/19619/KBID/12129/kw/SO702004F/DFF/d10-v2-t1-xSO702004F","link*")</f>
        <v>link*</v>
      </c>
      <c r="M131" s="88" t="str">
        <f>HYPERLINK("http://amzn.to/2vbFQKj","link*")</f>
        <v>link*</v>
      </c>
      <c r="N131"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131" s="83">
        <v>100.0</v>
      </c>
      <c r="P131" s="154" t="s">
        <v>49</v>
      </c>
      <c r="Q131" s="81">
        <v>9.0</v>
      </c>
      <c r="R131" s="85" t="s">
        <v>121</v>
      </c>
      <c r="S131" s="81" t="s">
        <v>32</v>
      </c>
      <c r="T131" s="86">
        <v>41548.0</v>
      </c>
    </row>
    <row r="132" hidden="1">
      <c r="A132" s="131" t="str">
        <f>HYPERLINK("https://phillipreeve.net/blog/review-sony-fe-85mm-1-4-gm/","Sony GM 1.4/85")</f>
        <v>Sony GM 1.4/85</v>
      </c>
      <c r="B132" s="76">
        <v>854.0</v>
      </c>
      <c r="C132" s="122">
        <v>85.0</v>
      </c>
      <c r="D132" s="78">
        <v>1.4</v>
      </c>
      <c r="E132" s="144">
        <v>84.0</v>
      </c>
      <c r="F132" s="145">
        <v>108.0</v>
      </c>
      <c r="G132" s="81" t="s">
        <v>30</v>
      </c>
      <c r="H132" s="82" t="s">
        <v>56</v>
      </c>
      <c r="I132" s="81">
        <v>0.12</v>
      </c>
      <c r="J132" s="87">
        <v>1799.0</v>
      </c>
      <c r="K132" s="88" t="str">
        <f>HYPERLINK("https://amzn.to/2SZeKAh","link*")</f>
        <v>link*</v>
      </c>
      <c r="L132" s="88" t="str">
        <f>HYPERLINK("https://www.bhphotovideo.com/c/product/1222775-REG/sony_sel85f14gm_fe_85mm_f_1_4_gm.html/BI/19619/KBID/12129/DFF/d10-v21-t1-x707644/SID/EZ","link*")</f>
        <v>link*</v>
      </c>
      <c r="M132" s="89" t="s">
        <v>33</v>
      </c>
      <c r="N132"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132" s="83">
        <v>80.0</v>
      </c>
      <c r="P132" s="84" t="s">
        <v>26</v>
      </c>
      <c r="Q132" s="81">
        <v>11.0</v>
      </c>
      <c r="R132" s="123">
        <v>43688.0</v>
      </c>
      <c r="S132" s="81" t="s">
        <v>32</v>
      </c>
      <c r="T132" s="86">
        <v>42401.0</v>
      </c>
    </row>
    <row r="133" hidden="1">
      <c r="A133" s="75" t="s">
        <v>123</v>
      </c>
      <c r="B133" s="76">
        <v>1130.0</v>
      </c>
      <c r="C133" s="122">
        <v>85.0</v>
      </c>
      <c r="D133" s="78">
        <v>1.4</v>
      </c>
      <c r="E133" s="144">
        <v>95.0</v>
      </c>
      <c r="F133" s="145">
        <v>152.0</v>
      </c>
      <c r="G133" s="81" t="s">
        <v>30</v>
      </c>
      <c r="H133" s="232" t="s">
        <v>124</v>
      </c>
      <c r="I133" s="81">
        <v>0.12</v>
      </c>
      <c r="J133" s="87">
        <v>1199.0</v>
      </c>
      <c r="K133" s="88" t="str">
        <f>HYPERLINK("https://amzn.to/2MBd68k","link*")</f>
        <v>link*</v>
      </c>
      <c r="L133" s="88" t="str">
        <f>HYPERLINK("https://www.bhphotovideo.com/c/product/1393494-REG/sigma_85mm_f_1_4_dg_hsm.html/BI/19619/KBID/12129/kw/SI8514SO/DFF/d10-v2-t1-xSI8514SO","link*")</f>
        <v>link*</v>
      </c>
      <c r="M133" s="88" t="str">
        <f>HYPERLINK("https://amzn.to/2Wto6JH","link*")</f>
        <v>link*</v>
      </c>
      <c r="N133"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133" s="83">
        <v>85.0</v>
      </c>
      <c r="P133" s="84" t="s">
        <v>26</v>
      </c>
      <c r="Q133" s="81">
        <v>9.0</v>
      </c>
      <c r="R133" s="123">
        <v>43724.0</v>
      </c>
      <c r="S133" s="81" t="s">
        <v>41</v>
      </c>
      <c r="T133" s="86">
        <v>43221.0</v>
      </c>
      <c r="U133" s="68" t="s">
        <v>42</v>
      </c>
    </row>
    <row r="134" hidden="1">
      <c r="A134" s="75" t="s">
        <v>125</v>
      </c>
      <c r="B134" s="76">
        <v>568.0</v>
      </c>
      <c r="C134" s="122">
        <v>85.0</v>
      </c>
      <c r="D134" s="78">
        <v>1.4</v>
      </c>
      <c r="E134" s="144">
        <v>88.0</v>
      </c>
      <c r="F134" s="145">
        <v>100.0</v>
      </c>
      <c r="G134" s="81" t="s">
        <v>30</v>
      </c>
      <c r="H134" s="82" t="s">
        <v>56</v>
      </c>
      <c r="I134" s="81">
        <v>0.11</v>
      </c>
      <c r="J134" s="153">
        <v>699.0</v>
      </c>
      <c r="K134" s="88" t="str">
        <f>HYPERLINK("https://amzn.to/2T0yJ1A","link*")</f>
        <v>link*</v>
      </c>
      <c r="L134" s="88" t="str">
        <f>HYPERLINK("https://www.bhphotovideo.com/c/product/1470654-REG/samyang_syio85af_e_af_85mm_f_1_4_lens.html/BI/19619/KBID/12129/DFF/d10-v21-t1-x955078/SID/EZ","link*")</f>
        <v>link*</v>
      </c>
      <c r="M134" s="89" t="s">
        <v>33</v>
      </c>
      <c r="N134"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134" s="83">
        <v>90.0</v>
      </c>
      <c r="P134" s="84" t="s">
        <v>26</v>
      </c>
      <c r="Q134" s="81">
        <v>9.0</v>
      </c>
      <c r="R134" s="123">
        <v>43688.0</v>
      </c>
      <c r="S134" s="81" t="s">
        <v>46</v>
      </c>
      <c r="T134" s="86">
        <v>43586.0</v>
      </c>
    </row>
    <row r="135" hidden="1">
      <c r="A135" s="131" t="str">
        <f>HYPERLINK("https://phillipreeve.net/blog/review-sony-fe-85-mm-1-8/","Sony FE 85mm f/1.8")</f>
        <v>Sony FE 85mm f/1.8</v>
      </c>
      <c r="B135" s="76">
        <v>371.0</v>
      </c>
      <c r="C135" s="122">
        <v>85.0</v>
      </c>
      <c r="D135" s="78">
        <v>1.8</v>
      </c>
      <c r="E135" s="144">
        <v>77.0</v>
      </c>
      <c r="F135" s="145">
        <v>82.0</v>
      </c>
      <c r="G135" s="81" t="s">
        <v>30</v>
      </c>
      <c r="H135" s="82" t="s">
        <v>53</v>
      </c>
      <c r="I135" s="81">
        <v>0.13</v>
      </c>
      <c r="J135" s="153">
        <v>599.0</v>
      </c>
      <c r="K135" s="88" t="str">
        <f>HYPERLINK("https://amzn.to/2YB4RxU","link*")</f>
        <v>link*</v>
      </c>
      <c r="L135" s="88" t="str">
        <f t="shared" ref="L135:L136" si="2">HYPERLINK("https://www.bhphotovideo.com/c/product/1140833-REG/zeiss_2103_751_85mm_f_1_8_batis_short.html/BI/19619/KBID/12129/DFF/d10-v21-t1-x627139/SID/EZ","link*")</f>
        <v>link*</v>
      </c>
      <c r="M135" s="89" t="s">
        <v>33</v>
      </c>
      <c r="N135"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135" s="83">
        <v>80.0</v>
      </c>
      <c r="P135" s="84" t="s">
        <v>26</v>
      </c>
      <c r="Q135" s="81">
        <v>9.0</v>
      </c>
      <c r="R135" s="123">
        <v>43686.0</v>
      </c>
      <c r="S135" s="81" t="s">
        <v>32</v>
      </c>
      <c r="T135" s="86">
        <v>42767.0</v>
      </c>
    </row>
    <row r="136" hidden="1">
      <c r="A136" s="131" t="str">
        <f>HYPERLINK("https://phillipreeve.net/blog/zeiss-batis-sonnar-t-85mm-f1-8-a-review/","Zeiss Batis 1.8/85")</f>
        <v>Zeiss Batis 1.8/85</v>
      </c>
      <c r="B136" s="76">
        <v>475.0</v>
      </c>
      <c r="C136" s="122">
        <v>85.0</v>
      </c>
      <c r="D136" s="78">
        <v>1.8</v>
      </c>
      <c r="E136" s="144">
        <v>92.0</v>
      </c>
      <c r="F136" s="145">
        <v>81.0</v>
      </c>
      <c r="G136" s="81" t="s">
        <v>30</v>
      </c>
      <c r="H136" s="82" t="s">
        <v>53</v>
      </c>
      <c r="I136" s="81">
        <v>0.13</v>
      </c>
      <c r="J136" s="87">
        <v>1199.0</v>
      </c>
      <c r="K136" s="88" t="str">
        <f>HYPERLINK("https://amzn.to/2T8oWqt","link*")</f>
        <v>link*</v>
      </c>
      <c r="L136" s="88" t="str">
        <f t="shared" si="2"/>
        <v>link*</v>
      </c>
      <c r="M136" s="89" t="s">
        <v>33</v>
      </c>
      <c r="N136"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136" s="83">
        <v>80.0</v>
      </c>
      <c r="P136" s="154" t="s">
        <v>49</v>
      </c>
      <c r="Q136" s="81">
        <v>9.0</v>
      </c>
      <c r="R136" s="123">
        <v>43688.0</v>
      </c>
      <c r="S136" s="81" t="s">
        <v>58</v>
      </c>
      <c r="T136" s="86">
        <v>42125.0</v>
      </c>
    </row>
    <row r="137" hidden="1">
      <c r="A137" s="75" t="s">
        <v>129</v>
      </c>
      <c r="B137" s="76">
        <v>665.0</v>
      </c>
      <c r="C137" s="122">
        <v>85.0</v>
      </c>
      <c r="D137" s="78">
        <v>1.8</v>
      </c>
      <c r="E137" s="144">
        <v>79.0</v>
      </c>
      <c r="F137" s="145">
        <v>92.0</v>
      </c>
      <c r="G137" s="81" t="s">
        <v>24</v>
      </c>
      <c r="H137" s="82" t="s">
        <v>48</v>
      </c>
      <c r="I137" s="81">
        <v>0.13</v>
      </c>
      <c r="J137" s="87">
        <v>299.0</v>
      </c>
      <c r="K137" s="88" t="str">
        <f>HYPERLINK("https://amzn.to/2LVVOBV","link*")</f>
        <v>link*</v>
      </c>
      <c r="L137" s="88" t="str">
        <f>HYPERLINK("https://www.bhphotovideo.com/c/product/1469189-REG/viltrox_pfu_rbmh_85mm_f1_8_e_mount_85mm_f_1_8_for_sony.html/BI/19619/KBID/12129/DFF/d10-v21-t1-x954301/SID/EZ","link*")</f>
        <v>link*</v>
      </c>
      <c r="M137" s="89" t="s">
        <v>33</v>
      </c>
      <c r="N137"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137" s="83">
        <v>80.0</v>
      </c>
      <c r="P137" s="84" t="s">
        <v>26</v>
      </c>
      <c r="Q137" s="81">
        <v>9.0</v>
      </c>
      <c r="R137" s="123">
        <v>43656.0</v>
      </c>
      <c r="S137" s="81" t="s">
        <v>63</v>
      </c>
      <c r="T137" s="646">
        <v>43586.0</v>
      </c>
      <c r="U137" s="68" t="s">
        <v>236</v>
      </c>
    </row>
    <row r="138" hidden="1">
      <c r="A138" s="75" t="s">
        <v>229</v>
      </c>
      <c r="B138" s="76">
        <v>636.0</v>
      </c>
      <c r="C138" s="122">
        <v>85.0</v>
      </c>
      <c r="D138" s="78">
        <v>1.8</v>
      </c>
      <c r="E138" s="144">
        <v>79.0</v>
      </c>
      <c r="F138" s="145">
        <v>92.0</v>
      </c>
      <c r="G138" s="81" t="s">
        <v>30</v>
      </c>
      <c r="H138" s="82" t="s">
        <v>48</v>
      </c>
      <c r="I138" s="81">
        <v>0.13</v>
      </c>
      <c r="J138" s="87">
        <v>379.0</v>
      </c>
      <c r="K138" s="88" t="str">
        <f>HYPERLINK("https://amzn.to/2SZfd5v","link*")</f>
        <v>link*</v>
      </c>
      <c r="L138" s="88" t="str">
        <f>HYPERLINK("https://www.bhphotovideo.com/c/product/1470585-REG/viltrox_pfu_rbmh_85mm_f1_8_stm_e_mount_85mm_f_1_8_lens_for.html/BI/19619/KBID/12129/DFF/d10-v21-t1-x955239/SID/EZ","link*")</f>
        <v>link*</v>
      </c>
      <c r="M138" s="89" t="s">
        <v>33</v>
      </c>
      <c r="N138"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138" s="83">
        <v>80.0</v>
      </c>
      <c r="P138" s="84" t="s">
        <v>26</v>
      </c>
      <c r="Q138" s="81">
        <v>9.0</v>
      </c>
      <c r="R138" s="123">
        <v>43656.0</v>
      </c>
      <c r="S138" s="81" t="s">
        <v>63</v>
      </c>
      <c r="T138" s="86">
        <v>43586.0</v>
      </c>
    </row>
    <row r="139" hidden="1">
      <c r="A139" s="131" t="str">
        <f>HYPERLINK("https://phillipreeve.net/blog/rolling-review-zeiss-loxia-85mm-2-4/","Zeiss Loxia 2.4/85")</f>
        <v>Zeiss Loxia 2.4/85</v>
      </c>
      <c r="B139" s="76">
        <v>594.0</v>
      </c>
      <c r="C139" s="122">
        <v>85.0</v>
      </c>
      <c r="D139" s="78">
        <v>2.4</v>
      </c>
      <c r="E139" s="144">
        <v>63.0</v>
      </c>
      <c r="F139" s="145">
        <v>95.0</v>
      </c>
      <c r="G139" s="81" t="s">
        <v>24</v>
      </c>
      <c r="H139" s="82" t="s">
        <v>71</v>
      </c>
      <c r="I139" s="81">
        <v>0.14</v>
      </c>
      <c r="J139" s="87">
        <v>1399.0</v>
      </c>
      <c r="K139" s="88" t="str">
        <f>HYPERLINK("https://amzn.to/2SY4PLd","link*")</f>
        <v>link*</v>
      </c>
      <c r="L139" s="88" t="str">
        <f>HYPERLINK("https://www.bhphotovideo.com/c/product/1282150-REG/zeiss_2162_636_loxia_85mm_f_2_4_lens.html/BI/19619/KBID/12129/DFF/d10-v21-t1-x762761/SID/EZ","link*")</f>
        <v>link*</v>
      </c>
      <c r="M139" s="89" t="s">
        <v>33</v>
      </c>
      <c r="N139"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139" s="83">
        <v>80.0</v>
      </c>
      <c r="P139" s="84" t="s">
        <v>26</v>
      </c>
      <c r="Q139" s="81">
        <v>10.0</v>
      </c>
      <c r="R139" s="123">
        <v>43653.0</v>
      </c>
      <c r="S139" s="81" t="s">
        <v>58</v>
      </c>
      <c r="T139" s="86">
        <v>42644.0</v>
      </c>
    </row>
    <row r="140" hidden="1">
      <c r="A140" s="131" t="str">
        <f>HYPERLINK("https://phillipreeve.net/blog/review-sony-fe-90mm-f2-8-macro-oss-one-of-sonys-finest/","Sony 2.8/90 G OSS")</f>
        <v>Sony 2.8/90 G OSS</v>
      </c>
      <c r="B140" s="76">
        <v>602.0</v>
      </c>
      <c r="C140" s="122">
        <v>90.0</v>
      </c>
      <c r="D140" s="78">
        <v>2.8</v>
      </c>
      <c r="E140" s="144">
        <v>79.0</v>
      </c>
      <c r="F140" s="145">
        <v>131.0</v>
      </c>
      <c r="G140" s="81" t="s">
        <v>30</v>
      </c>
      <c r="H140" s="82" t="s">
        <v>66</v>
      </c>
      <c r="I140" s="259">
        <v>1.0</v>
      </c>
      <c r="J140" s="87">
        <v>1099.0</v>
      </c>
      <c r="K140" s="88" t="str">
        <f>HYPERLINK("http://amzn.to/2fbeX3x","link*")</f>
        <v>link*</v>
      </c>
      <c r="L140" s="88" t="str">
        <f>HYPERLINK("https://www.bhphotovideo.com/c/product/1380868-REG/sony_fe_90mm_f_2_8_macro.html/BI/19619/KBID/12129/kw/SO9028F/DFF/d10-v2-t1-xSO9028F","link*")</f>
        <v>link*</v>
      </c>
      <c r="M140" s="88" t="str">
        <f>HYPERLINK("http://amzn.to/2vvvHcw","link*")</f>
        <v>link*</v>
      </c>
      <c r="N140"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40" s="83">
        <v>28.0</v>
      </c>
      <c r="P140" s="154" t="s">
        <v>49</v>
      </c>
      <c r="Q140" s="81">
        <v>9.0</v>
      </c>
      <c r="R140" s="123">
        <v>43784.0</v>
      </c>
      <c r="S140" s="81" t="s">
        <v>32</v>
      </c>
      <c r="T140" s="86">
        <v>42064.0</v>
      </c>
    </row>
    <row r="141" hidden="1">
      <c r="A141" s="131" t="str">
        <f>HYPERLINK("https://phillipreeve.net/blog/review-sony-fe-100-f-2-8-stf-gm-oss-lens/","Sony GM 2.8/100 STF OSS")</f>
        <v>Sony GM 2.8/100 STF OSS</v>
      </c>
      <c r="B141" s="76">
        <v>700.0</v>
      </c>
      <c r="C141" s="122">
        <v>100.0</v>
      </c>
      <c r="D141" s="78">
        <v>2.8</v>
      </c>
      <c r="E141" s="144">
        <v>85.0</v>
      </c>
      <c r="F141" s="145">
        <v>118.0</v>
      </c>
      <c r="G141" s="81" t="s">
        <v>30</v>
      </c>
      <c r="H141" s="82" t="s">
        <v>48</v>
      </c>
      <c r="I141" s="185">
        <v>0.25</v>
      </c>
      <c r="J141" s="87">
        <v>1499.0</v>
      </c>
      <c r="K141" s="88" t="str">
        <f>HYPERLINK("https://amzn.to/2YD8rn4","link*")</f>
        <v>link*</v>
      </c>
      <c r="L141" s="88" t="str">
        <f>HYPERLINK("https://www.bhphotovideo.com/c/product/1317561-REG/sony_sel100f28gm_fe_100mm_f_2_8_stf.html/BI/19619/KBID/12129/DFF/d10-v21-t1-x795192/SID/EZ","link*")</f>
        <v>link*</v>
      </c>
      <c r="M141" s="89" t="s">
        <v>33</v>
      </c>
      <c r="N141"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141" s="83">
        <v>57.0</v>
      </c>
      <c r="P141" s="154" t="s">
        <v>49</v>
      </c>
      <c r="Q141" s="81">
        <v>11.0</v>
      </c>
      <c r="R141" s="123">
        <v>43752.0</v>
      </c>
      <c r="S141" s="81" t="s">
        <v>32</v>
      </c>
      <c r="T141" s="86">
        <v>42767.0</v>
      </c>
      <c r="U141" s="68" t="s">
        <v>132</v>
      </c>
    </row>
    <row r="142" hidden="1">
      <c r="A142" s="131" t="str">
        <f>HYPERLINK("https://phillipreeve.net/blog/review-tokina-firin-100mm-f2-8-fe-macro/","Tokina Firin 2.8/100 Macro")</f>
        <v>Tokina Firin 2.8/100 Macro</v>
      </c>
      <c r="B142" s="76">
        <v>570.0</v>
      </c>
      <c r="C142" s="122">
        <v>100.0</v>
      </c>
      <c r="D142" s="78">
        <v>2.8</v>
      </c>
      <c r="E142" s="144">
        <v>74.0</v>
      </c>
      <c r="F142" s="151">
        <v>123.0</v>
      </c>
      <c r="G142" s="81" t="s">
        <v>30</v>
      </c>
      <c r="H142" s="82" t="s">
        <v>90</v>
      </c>
      <c r="I142" s="259">
        <v>1.0</v>
      </c>
      <c r="J142" s="129">
        <v>599.0</v>
      </c>
      <c r="K142" s="88" t="str">
        <f>HYPERLINK("http://amzn.to/2fbeX3x","link*")</f>
        <v>link*</v>
      </c>
      <c r="L142" s="88" t="str">
        <f>HYPERLINK("https://www.bhphotovideo.com/c/product/1473390-REG/tokina_frn_afm100fxse_firin_100mm_f_2_8_fe.html/BI/19619/KBID/12129/kw/TO100AF/DFF/d10-v2-t1-xTO100AF","link*")</f>
        <v>link*</v>
      </c>
      <c r="M142"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142"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42" s="83">
        <v>30.0</v>
      </c>
      <c r="P142" s="84" t="s">
        <v>26</v>
      </c>
      <c r="Q142" s="81">
        <v>9.0</v>
      </c>
      <c r="R142" s="123">
        <v>43686.0</v>
      </c>
      <c r="S142" s="81" t="s">
        <v>67</v>
      </c>
      <c r="T142" s="86">
        <v>43617.0</v>
      </c>
      <c r="U142" s="68" t="s">
        <v>42</v>
      </c>
    </row>
    <row r="143" hidden="1">
      <c r="A143" s="75" t="s">
        <v>135</v>
      </c>
      <c r="B143" s="76">
        <v>1395.0</v>
      </c>
      <c r="C143" s="122">
        <v>100.0</v>
      </c>
      <c r="D143" s="78" t="s">
        <v>118</v>
      </c>
      <c r="E143" s="144">
        <v>94.0</v>
      </c>
      <c r="F143" s="151">
        <v>205.0</v>
      </c>
      <c r="G143" s="81" t="s">
        <v>30</v>
      </c>
      <c r="H143" s="82" t="s">
        <v>56</v>
      </c>
      <c r="I143" s="185">
        <v>0.35</v>
      </c>
      <c r="J143" s="87">
        <v>2499.0</v>
      </c>
      <c r="K143" s="88" t="str">
        <f>HYPERLINK("https://amzn.to/2SZ0aZO","link*")</f>
        <v>link*</v>
      </c>
      <c r="L143" s="88" t="str">
        <f>HYPERLINK("https://www.bhphotovideo.com/c/product/1333230-REG/sony_sel100400gm_fe_100_400mm_f_4_5_5_6_gm.html/BI/19619/KBID/12129/DFF/d10-v21-t1-x817745/SID/EZ","link*")</f>
        <v>link*</v>
      </c>
      <c r="M143" s="89" t="s">
        <v>33</v>
      </c>
      <c r="N143"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143" s="83">
        <v>98.0</v>
      </c>
      <c r="P143" s="154" t="s">
        <v>49</v>
      </c>
      <c r="Q143" s="81">
        <v>11.0</v>
      </c>
      <c r="R143" s="85" t="s">
        <v>134</v>
      </c>
      <c r="S143" s="81" t="s">
        <v>32</v>
      </c>
      <c r="T143" s="86">
        <v>42826.0</v>
      </c>
    </row>
    <row r="144" hidden="1">
      <c r="A144" s="75" t="s">
        <v>136</v>
      </c>
      <c r="B144" s="76">
        <v>1600.0</v>
      </c>
      <c r="C144" s="122">
        <v>105.0</v>
      </c>
      <c r="D144" s="78">
        <v>1.4</v>
      </c>
      <c r="E144" s="144">
        <v>116.0</v>
      </c>
      <c r="F144" s="151">
        <v>132.0</v>
      </c>
      <c r="G144" s="81" t="s">
        <v>30</v>
      </c>
      <c r="H144" s="384" t="s">
        <v>137</v>
      </c>
      <c r="I144" s="81">
        <v>0.12</v>
      </c>
      <c r="J144" s="87">
        <v>1599.0</v>
      </c>
      <c r="K144" s="88" t="str">
        <f>HYPERLINK("https://amzn.to/2EWeThZ","link*")</f>
        <v>link*</v>
      </c>
      <c r="L144" s="88" t="str">
        <f>HYPERLINK("https://www.bhphotovideo.com/c/product/1393488-REG/sigma_105mm_f_1_4_dg_hsm.html/BI/19619/KBID/12129/kw/SI10514SO/DFF/d10-v2-t1-xSI10514SO","link*")</f>
        <v>link*</v>
      </c>
      <c r="M144" s="88" t="str">
        <f>HYPERLINK("https://amzn.to/2WpOvTy","link*")</f>
        <v>link*</v>
      </c>
      <c r="N144"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144" s="83">
        <v>100.0</v>
      </c>
      <c r="P144" s="84" t="s">
        <v>26</v>
      </c>
      <c r="Q144" s="81">
        <v>9.0</v>
      </c>
      <c r="R144" s="123">
        <v>43816.0</v>
      </c>
      <c r="S144" s="81" t="s">
        <v>138</v>
      </c>
      <c r="T144" s="86">
        <v>43221.0</v>
      </c>
      <c r="U144" s="68" t="s">
        <v>42</v>
      </c>
    </row>
    <row r="145">
      <c r="A145" s="131" t="str">
        <f>HYPERLINK("https://phillipreeve.net/blog/review-voigtlander-50mm-1-2-nokton-e/","Voigtlander 50mm F1.2 Nokton")</f>
        <v>Voigtlander 50mm F1.2 Nokton</v>
      </c>
      <c r="B145" s="76">
        <v>440.0</v>
      </c>
      <c r="C145" s="122">
        <v>50.0</v>
      </c>
      <c r="D145" s="392">
        <v>1.2</v>
      </c>
      <c r="E145" s="144">
        <v>70.0</v>
      </c>
      <c r="F145" s="145">
        <v>58.0</v>
      </c>
      <c r="G145" s="81" t="s">
        <v>24</v>
      </c>
      <c r="H145" s="82" t="s">
        <v>47</v>
      </c>
      <c r="I145" s="346"/>
      <c r="J145" s="87">
        <v>1099.0</v>
      </c>
      <c r="K145" s="88" t="str">
        <f>HYPERLINK("https://amzn.to/2OAfE7N","link*")</f>
        <v>link*</v>
      </c>
      <c r="L145" s="88" t="str">
        <f>HYPERLINK("https://www.bhphotovideo.com/c/product/1433349-REG/voigtlander_ba348a_nokton_50mm_f_1_2_aspherical.html/BI/19619/KBID/12129/DFF/d10-v21-t1-x915623/SID/EZ","link*")</f>
        <v>link*</v>
      </c>
      <c r="M145" s="89" t="s">
        <v>33</v>
      </c>
      <c r="N145"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145" s="83">
        <v>45.0</v>
      </c>
      <c r="P145" s="84" t="s">
        <v>26</v>
      </c>
      <c r="Q145" s="81">
        <v>12.0</v>
      </c>
      <c r="R145" s="123">
        <v>43624.0</v>
      </c>
      <c r="S145" s="81" t="s">
        <v>28</v>
      </c>
      <c r="T145" s="86">
        <v>43556.0</v>
      </c>
    </row>
    <row r="146" hidden="1">
      <c r="A146" s="131" t="str">
        <f>HYPERLINK("https://phillipreeve.net/blog/review-sony-fe-135mm-f1-8-gm/","Sony 1.8/135 GM")</f>
        <v>Sony 1.8/135 GM</v>
      </c>
      <c r="B146" s="76">
        <v>950.0</v>
      </c>
      <c r="C146" s="122">
        <v>135.0</v>
      </c>
      <c r="D146" s="78">
        <v>1.8</v>
      </c>
      <c r="E146" s="144">
        <v>90.0</v>
      </c>
      <c r="F146" s="145">
        <v>127.0</v>
      </c>
      <c r="G146" s="81" t="s">
        <v>30</v>
      </c>
      <c r="H146" s="270" t="s">
        <v>51</v>
      </c>
      <c r="I146" s="185">
        <v>0.25</v>
      </c>
      <c r="J146" s="87">
        <v>1899.0</v>
      </c>
      <c r="K146" s="88" t="str">
        <f>HYPERLINK("https://amzn.to/2WtonMJ","link*")</f>
        <v>link*</v>
      </c>
      <c r="L146" s="88" t="str">
        <f>HYPERLINK("https://www.bhphotovideo.com/c/product/1393495-REG/sigma_135mm_f_1_8_dg_hsm.html/BI/19619/KBID/12129/kw/SI13518SO/DFF/d10-v2-t1-xSI13518SO","link*")</f>
        <v>link*</v>
      </c>
      <c r="M146" s="88" t="str">
        <f>HYPERLINK("https://amzn.to/2Z9KKDE","link*")</f>
        <v>link*</v>
      </c>
      <c r="N146"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146" s="83">
        <v>70.0</v>
      </c>
      <c r="P146" s="84" t="s">
        <v>26</v>
      </c>
      <c r="Q146" s="81">
        <v>11.0</v>
      </c>
      <c r="R146" s="123">
        <v>43751.0</v>
      </c>
      <c r="S146" s="81" t="s">
        <v>32</v>
      </c>
      <c r="T146" s="86">
        <v>43525.0</v>
      </c>
    </row>
    <row r="147" hidden="1">
      <c r="A147" s="75" t="s">
        <v>142</v>
      </c>
      <c r="B147" s="76">
        <v>1130.0</v>
      </c>
      <c r="C147" s="122">
        <v>135.0</v>
      </c>
      <c r="D147" s="78">
        <v>1.8</v>
      </c>
      <c r="E147" s="144">
        <v>91.0</v>
      </c>
      <c r="F147" s="145">
        <v>115.0</v>
      </c>
      <c r="G147" s="81" t="s">
        <v>30</v>
      </c>
      <c r="H147" s="270" t="s">
        <v>51</v>
      </c>
      <c r="I147" s="81">
        <v>0.2</v>
      </c>
      <c r="J147" s="129">
        <v>1399.0</v>
      </c>
      <c r="K147" s="88" t="str">
        <f>HYPERLINK("https://amzn.to/2yxIM4R","link*")</f>
        <v>link*</v>
      </c>
      <c r="L147" s="88" t="str">
        <f>HYPERLINK("https://www.bhphotovideo.com/c/product/1393495-REG/sigma_135mm_f_1_8_dg_hsm.html/BI/19619/KBID/12129/DFF/d10-v21-t1-x881160/SID/EZ","link*")</f>
        <v>link*</v>
      </c>
      <c r="M147" s="89" t="s">
        <v>33</v>
      </c>
      <c r="N147"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147" s="83">
        <v>87.0</v>
      </c>
      <c r="P147" s="84" t="s">
        <v>26</v>
      </c>
      <c r="Q147" s="81">
        <v>9.0</v>
      </c>
      <c r="R147" s="123">
        <v>43751.0</v>
      </c>
      <c r="S147" s="81" t="s">
        <v>41</v>
      </c>
      <c r="T147" s="86">
        <v>43221.0</v>
      </c>
      <c r="U147" s="68" t="s">
        <v>42</v>
      </c>
    </row>
    <row r="148" hidden="1">
      <c r="A148" s="131" t="str">
        <f>HYPERLINK("https://phillipreeve.net/blog/zeiss-batis-apo-sonnar-t-135mm-f2-8/","Zeiss 2.8/135 APO")</f>
        <v>Zeiss 2.8/135 APO</v>
      </c>
      <c r="B148" s="76">
        <v>614.0</v>
      </c>
      <c r="C148" s="122">
        <v>135.0</v>
      </c>
      <c r="D148" s="78">
        <v>2.8</v>
      </c>
      <c r="E148" s="144">
        <v>99.0</v>
      </c>
      <c r="F148" s="145">
        <v>120.0</v>
      </c>
      <c r="G148" s="81" t="s">
        <v>30</v>
      </c>
      <c r="H148" s="82" t="s">
        <v>53</v>
      </c>
      <c r="I148" s="81">
        <v>0.19</v>
      </c>
      <c r="J148" s="87">
        <v>1699.0</v>
      </c>
      <c r="K148" s="88" t="str">
        <f>HYPERLINK("https://amzn.to/319GJA4","link*")</f>
        <v>link*</v>
      </c>
      <c r="L148" s="88" t="str">
        <f>HYPERLINK("https://www.bhphotovideo.com/c/product/1330083-REG/zeiss_2136_695_batis_135mm_f_2_8_lens.html/BI/19619/KBID/12129/DFF/d10-v21-t1-x814884/SID/EZ","link*")</f>
        <v>link*</v>
      </c>
      <c r="M148" s="89" t="s">
        <v>33</v>
      </c>
      <c r="N148"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148" s="83">
        <v>87.0</v>
      </c>
      <c r="P148" s="154" t="s">
        <v>49</v>
      </c>
      <c r="Q148" s="81">
        <v>9.0</v>
      </c>
      <c r="R148" s="123">
        <v>43783.0</v>
      </c>
      <c r="S148" s="81" t="s">
        <v>58</v>
      </c>
      <c r="T148" s="86">
        <v>42826.0</v>
      </c>
    </row>
    <row r="149" hidden="1">
      <c r="A149" s="75" t="s">
        <v>144</v>
      </c>
      <c r="B149" s="76">
        <v>2215.0</v>
      </c>
      <c r="C149" s="122">
        <v>200.0</v>
      </c>
      <c r="D149" s="78" t="s">
        <v>145</v>
      </c>
      <c r="E149" s="144">
        <v>112.0</v>
      </c>
      <c r="F149" s="145">
        <v>318.0</v>
      </c>
      <c r="G149" s="81" t="s">
        <v>30</v>
      </c>
      <c r="H149" s="198" t="s">
        <v>92</v>
      </c>
      <c r="I149" s="81">
        <v>0.2</v>
      </c>
      <c r="J149" s="87">
        <v>1999.0</v>
      </c>
      <c r="K149" s="89"/>
      <c r="L149" s="88" t="str">
        <f>HYPERLINK("https://www.bhphotovideo.com/c/product/1485540-REG/sony_sel200600g_fe_200_600mm_f_5_6_6_3_g.html/BI/19619/KBID/12129/DFF/d10-v21-t1-x968882/SID/EZ","link*")</f>
        <v>link*</v>
      </c>
      <c r="M149" s="89" t="s">
        <v>33</v>
      </c>
      <c r="N149"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149" s="83">
        <v>240.0</v>
      </c>
      <c r="P149" s="154" t="s">
        <v>49</v>
      </c>
      <c r="Q149" s="81">
        <v>11.0</v>
      </c>
      <c r="R149" s="85" t="s">
        <v>146</v>
      </c>
      <c r="S149" s="81" t="s">
        <v>32</v>
      </c>
      <c r="T149" s="86">
        <v>43647.0</v>
      </c>
    </row>
    <row r="150" hidden="1">
      <c r="A150" s="75" t="s">
        <v>147</v>
      </c>
      <c r="B150" s="76">
        <v>2895.0</v>
      </c>
      <c r="C150" s="122">
        <v>400.0</v>
      </c>
      <c r="D150" s="78">
        <v>2.8</v>
      </c>
      <c r="E150" s="144">
        <v>158.0</v>
      </c>
      <c r="F150" s="145">
        <v>359.0</v>
      </c>
      <c r="G150" s="81" t="s">
        <v>30</v>
      </c>
      <c r="H150" s="82" t="s">
        <v>148</v>
      </c>
      <c r="I150" s="81">
        <v>0.16</v>
      </c>
      <c r="J150" s="87">
        <v>11999.0</v>
      </c>
      <c r="K150" s="89"/>
      <c r="L150" s="88" t="str">
        <f>HYPERLINK("https://www.bhphotovideo.com/c/product/1369634-REG/sony_fe_400mm_f_2_8_gm.html/BI/19619/KBID/12129/DFF/d10-v21-t1-x905722/SID/EZ","link*")</f>
        <v>link*</v>
      </c>
      <c r="M150" s="89" t="s">
        <v>33</v>
      </c>
      <c r="N150"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150" s="83">
        <v>270.0</v>
      </c>
      <c r="P150" s="154" t="s">
        <v>49</v>
      </c>
      <c r="Q150" s="81">
        <v>11.0</v>
      </c>
      <c r="R150" s="85" t="s">
        <v>149</v>
      </c>
      <c r="S150" s="81" t="s">
        <v>32</v>
      </c>
      <c r="T150" s="86">
        <v>43313.0</v>
      </c>
    </row>
    <row r="151" hidden="1">
      <c r="A151" s="212" t="s">
        <v>150</v>
      </c>
      <c r="B151" s="213">
        <v>3040.0</v>
      </c>
      <c r="C151" s="451">
        <v>600.0</v>
      </c>
      <c r="D151" s="215">
        <v>4.0</v>
      </c>
      <c r="E151" s="144">
        <v>164.0</v>
      </c>
      <c r="F151" s="145">
        <v>449.0</v>
      </c>
      <c r="G151" s="218" t="s">
        <v>30</v>
      </c>
      <c r="H151" s="219" t="s">
        <v>25</v>
      </c>
      <c r="I151" s="218">
        <v>0.14</v>
      </c>
      <c r="J151" s="141" t="s">
        <v>230</v>
      </c>
      <c r="K151" s="89"/>
      <c r="L151" s="88" t="str">
        <f>HYPERLINK("https://www.bhphotovideo.com/c/product/1485539-REG/sony_sel600f40gm_fe_600mm_f_4_gm.html/BI/19619/KBID/12129/DFF/d10-v21-t1-x968881/SID/EZ","link*")</f>
        <v>link*</v>
      </c>
      <c r="M151" s="89" t="s">
        <v>33</v>
      </c>
      <c r="N151"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151" s="221">
        <v>451.0</v>
      </c>
      <c r="P151" s="154" t="s">
        <v>49</v>
      </c>
      <c r="Q151" s="218">
        <v>11.0</v>
      </c>
      <c r="R151" s="262" t="s">
        <v>151</v>
      </c>
      <c r="S151" s="218" t="s">
        <v>32</v>
      </c>
      <c r="T151" s="224">
        <v>43678.0</v>
      </c>
    </row>
    <row r="152">
      <c r="H152" s="295"/>
      <c r="K152" s="283"/>
      <c r="L152" s="283"/>
      <c r="M152" s="283"/>
      <c r="N152" s="283"/>
    </row>
    <row r="153">
      <c r="H153" s="295"/>
    </row>
    <row r="154">
      <c r="H154" s="295"/>
    </row>
    <row r="155">
      <c r="H155" s="295"/>
    </row>
    <row r="156">
      <c r="H156" s="295"/>
    </row>
    <row r="157">
      <c r="H157" s="295"/>
    </row>
    <row r="158">
      <c r="H158" s="295"/>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sheetData>
  <autoFilter ref="$A$1:$U$151">
    <filterColumn colId="18">
      <filters>
        <filter val="Voigtlander"/>
      </filters>
    </filterColumn>
  </autoFilter>
  <conditionalFormatting sqref="C82:C151">
    <cfRule type="colorScale" priority="1">
      <colorScale>
        <cfvo type="formula" val="10"/>
        <cfvo type="formula" val="50"/>
        <cfvo type="formula" val="400"/>
        <color rgb="FFCFE2F3"/>
        <color rgb="FF709CE0"/>
        <color rgb="FF1155CC"/>
      </colorScale>
    </cfRule>
  </conditionalFormatting>
  <conditionalFormatting sqref="A82:A151">
    <cfRule type="expression" dxfId="10" priority="2">
      <formula>(today()-T82)&lt;0</formula>
    </cfRule>
  </conditionalFormatting>
  <conditionalFormatting sqref="A82:A151">
    <cfRule type="expression" dxfId="7" priority="3">
      <formula>(today()-T82)&lt;180</formula>
    </cfRule>
  </conditionalFormatting>
  <conditionalFormatting sqref="G82:G151">
    <cfRule type="cellIs" dxfId="10" priority="4" operator="equal">
      <formula>"MF"</formula>
    </cfRule>
  </conditionalFormatting>
  <conditionalFormatting sqref="I82:I151">
    <cfRule type="cellIs" dxfId="11" priority="5" operator="between">
      <formula>0.24</formula>
      <formula>0.45</formula>
    </cfRule>
  </conditionalFormatting>
  <conditionalFormatting sqref="I82:I151">
    <cfRule type="cellIs" dxfId="12" priority="6" operator="between">
      <formula>0.45</formula>
      <formula>0.99</formula>
    </cfRule>
  </conditionalFormatting>
  <conditionalFormatting sqref="I82:I151">
    <cfRule type="cellIs" dxfId="13" priority="7" operator="greaterThan">
      <formula>0.99</formula>
    </cfRule>
  </conditionalFormatting>
  <conditionalFormatting sqref="B1 B3:B1058">
    <cfRule type="cellIs" dxfId="0" priority="8" operator="between">
      <formula>50</formula>
      <formula>200</formula>
    </cfRule>
  </conditionalFormatting>
  <conditionalFormatting sqref="B1 B3:B1058">
    <cfRule type="cellIs" dxfId="1" priority="9" operator="between">
      <formula>201</formula>
      <formula>400</formula>
    </cfRule>
  </conditionalFormatting>
  <conditionalFormatting sqref="B3:B1053">
    <cfRule type="cellIs" dxfId="2" priority="10" operator="between">
      <formula>401</formula>
      <formula>650</formula>
    </cfRule>
  </conditionalFormatting>
  <conditionalFormatting sqref="B3:B1053">
    <cfRule type="cellIs" dxfId="3" priority="11" operator="between">
      <formula>651</formula>
      <formula>900</formula>
    </cfRule>
  </conditionalFormatting>
  <conditionalFormatting sqref="B3:B1053">
    <cfRule type="cellIs" dxfId="4" priority="12" operator="greaterThan">
      <formula>900</formula>
    </cfRule>
  </conditionalFormatting>
  <conditionalFormatting sqref="P3:P1053">
    <cfRule type="containsText" dxfId="5" priority="13" operator="containsText" text="yes">
      <formula>NOT(ISERROR(SEARCH(("yes"),(P3))))</formula>
    </cfRule>
  </conditionalFormatting>
  <conditionalFormatting sqref="F1:F1058">
    <cfRule type="colorScale" priority="14">
      <colorScale>
        <cfvo type="min"/>
        <cfvo type="formula" val="150"/>
        <color rgb="FFEAD1DC"/>
        <color rgb="FFA64D79"/>
      </colorScale>
    </cfRule>
  </conditionalFormatting>
  <conditionalFormatting sqref="D3:D151">
    <cfRule type="colorScale" priority="15">
      <colorScale>
        <cfvo type="formula" val="1.2"/>
        <cfvo type="formula" val="4"/>
        <color rgb="FF0B5394"/>
        <color rgb="FFFFFFFF"/>
      </colorScale>
    </cfRule>
  </conditionalFormatting>
  <conditionalFormatting sqref="E3:E151">
    <cfRule type="colorScale" priority="16">
      <colorScale>
        <cfvo type="formula" val="65"/>
        <cfvo type="formula" val="100"/>
        <color rgb="FFD9D2E9"/>
        <color rgb="FF674EA7"/>
      </colorScale>
    </cfRule>
  </conditionalFormatting>
  <conditionalFormatting sqref="D3:D151">
    <cfRule type="containsText" dxfId="6" priority="17" operator="containsText" text="1.2">
      <formula>NOT(ISERROR(SEARCH(("1.2"),(D3))))</formula>
    </cfRule>
  </conditionalFormatting>
  <conditionalFormatting sqref="B3:B1053">
    <cfRule type="cellIs" dxfId="3" priority="18" operator="between">
      <formula>651</formula>
      <formula>900</formula>
    </cfRule>
  </conditionalFormatting>
  <conditionalFormatting sqref="D3:D151">
    <cfRule type="containsText" dxfId="8" priority="19" operator="containsText" text="1.4">
      <formula>NOT(ISERROR(SEARCH(("1.4"),(D3))))</formula>
    </cfRule>
  </conditionalFormatting>
  <conditionalFormatting sqref="D3:D151 E3:AA81">
    <cfRule type="containsText" dxfId="9" priority="20" operator="containsText" text="1.8">
      <formula>NOT(ISERROR(SEARCH(("1.8"),(D3))))</formula>
    </cfRule>
  </conditionalFormatting>
  <conditionalFormatting sqref="F1:F1058">
    <cfRule type="colorScale" priority="21">
      <colorScale>
        <cfvo type="min"/>
        <cfvo type="formula" val="150"/>
        <color rgb="FFEAD1DC"/>
        <color rgb="FFA64D79"/>
      </colorScale>
    </cfRule>
  </conditionalFormatting>
  <conditionalFormatting sqref="D3:D81">
    <cfRule type="colorScale" priority="22">
      <colorScale>
        <cfvo type="formula" val="1.2"/>
        <cfvo type="formula" val="4"/>
        <color rgb="FF0B5394"/>
        <color rgb="FFFFFFFF"/>
      </colorScale>
    </cfRule>
  </conditionalFormatting>
  <conditionalFormatting sqref="E3:E81">
    <cfRule type="colorScale" priority="23">
      <colorScale>
        <cfvo type="formula" val="65"/>
        <cfvo type="formula" val="100"/>
        <color rgb="FFD9D2E9"/>
        <color rgb="FF674EA7"/>
      </colorScale>
    </cfRule>
  </conditionalFormatting>
  <conditionalFormatting sqref="D3:D81">
    <cfRule type="containsText" dxfId="6" priority="24" operator="containsText" text="1.2">
      <formula>NOT(ISERROR(SEARCH(("1.2"),(D3))))</formula>
    </cfRule>
  </conditionalFormatting>
  <conditionalFormatting sqref="D12 D75">
    <cfRule type="notContainsBlanks" dxfId="7" priority="25">
      <formula>LEN(TRIM(D12))&gt;0</formula>
    </cfRule>
  </conditionalFormatting>
  <conditionalFormatting sqref="D3:D81">
    <cfRule type="containsText" dxfId="8" priority="26" operator="containsText" text="1.4">
      <formula>NOT(ISERROR(SEARCH(("1.4"),(D3))))</formula>
    </cfRule>
  </conditionalFormatting>
  <conditionalFormatting sqref="D3:AA81">
    <cfRule type="containsText" dxfId="9" priority="27" operator="containsText" text="1.8">
      <formula>NOT(ISERROR(SEARCH(("1.8"),(D3))))</formula>
    </cfRule>
  </conditionalFormatting>
  <conditionalFormatting sqref="F1:F1058">
    <cfRule type="colorScale" priority="28">
      <colorScale>
        <cfvo type="min"/>
        <cfvo type="formula" val="150"/>
        <color rgb="FFEAD1DC"/>
        <color rgb="FFA64D79"/>
      </colorScale>
    </cfRule>
  </conditionalFormatting>
  <conditionalFormatting sqref="D3:D81">
    <cfRule type="colorScale" priority="29">
      <colorScale>
        <cfvo type="formula" val="1.2"/>
        <cfvo type="formula" val="4"/>
        <color rgb="FF0B5394"/>
        <color rgb="FFFFFFFF"/>
      </colorScale>
    </cfRule>
  </conditionalFormatting>
  <conditionalFormatting sqref="E3:E81">
    <cfRule type="colorScale" priority="30">
      <colorScale>
        <cfvo type="formula" val="65"/>
        <cfvo type="formula" val="100"/>
        <color rgb="FFD9D2E9"/>
        <color rgb="FF674EA7"/>
      </colorScale>
    </cfRule>
  </conditionalFormatting>
  <conditionalFormatting sqref="D3:D81">
    <cfRule type="containsText" dxfId="6" priority="31" operator="containsText" text="1.2">
      <formula>NOT(ISERROR(SEARCH(("1.2"),(D3))))</formula>
    </cfRule>
  </conditionalFormatting>
  <conditionalFormatting sqref="B3:B1053">
    <cfRule type="cellIs" dxfId="3" priority="32" operator="between">
      <formula>651</formula>
      <formula>900</formula>
    </cfRule>
  </conditionalFormatting>
  <conditionalFormatting sqref="D3:D81">
    <cfRule type="containsText" dxfId="8" priority="33" operator="containsText" text="1.4">
      <formula>NOT(ISERROR(SEARCH(("1.4"),(D3))))</formula>
    </cfRule>
  </conditionalFormatting>
  <conditionalFormatting sqref="D3:AA81">
    <cfRule type="containsText" dxfId="9" priority="34" operator="containsText" text="1.8">
      <formula>NOT(ISERROR(SEARCH(("1.8"),(D3))))</formula>
    </cfRule>
  </conditionalFormatting>
  <conditionalFormatting sqref="F1:F1058">
    <cfRule type="colorScale" priority="35">
      <colorScale>
        <cfvo type="min"/>
        <cfvo type="formula" val="150"/>
        <color rgb="FFEAD1DC"/>
        <color rgb="FFA64D79"/>
      </colorScale>
    </cfRule>
  </conditionalFormatting>
  <conditionalFormatting sqref="D3:D81">
    <cfRule type="colorScale" priority="36">
      <colorScale>
        <cfvo type="formula" val="1.2"/>
        <cfvo type="formula" val="4"/>
        <color rgb="FF0B5394"/>
        <color rgb="FFFFFFFF"/>
      </colorScale>
    </cfRule>
  </conditionalFormatting>
  <conditionalFormatting sqref="E3:E81">
    <cfRule type="colorScale" priority="37">
      <colorScale>
        <cfvo type="formula" val="65"/>
        <cfvo type="formula" val="100"/>
        <color rgb="FFD9D2E9"/>
        <color rgb="FF674EA7"/>
      </colorScale>
    </cfRule>
  </conditionalFormatting>
  <conditionalFormatting sqref="D3:D81">
    <cfRule type="containsText" dxfId="6" priority="38" operator="containsText" text="1.2">
      <formula>NOT(ISERROR(SEARCH(("1.2"),(D3))))</formula>
    </cfRule>
  </conditionalFormatting>
  <conditionalFormatting sqref="B3:B1053">
    <cfRule type="cellIs" dxfId="3" priority="39" operator="between">
      <formula>651</formula>
      <formula>900</formula>
    </cfRule>
  </conditionalFormatting>
  <conditionalFormatting sqref="D3:D81">
    <cfRule type="containsText" dxfId="8" priority="40" operator="containsText" text="1.4">
      <formula>NOT(ISERROR(SEARCH(("1.4"),(D3))))</formula>
    </cfRule>
  </conditionalFormatting>
  <conditionalFormatting sqref="D3:AA81">
    <cfRule type="containsText" dxfId="9" priority="41" operator="containsText" text="1.8">
      <formula>NOT(ISERROR(SEARCH(("1.8"),(D3))))</formula>
    </cfRule>
  </conditionalFormatting>
  <conditionalFormatting sqref="F1:F1058">
    <cfRule type="colorScale" priority="42">
      <colorScale>
        <cfvo type="min"/>
        <cfvo type="formula" val="150"/>
        <color rgb="FFEAD1DC"/>
        <color rgb="FFA64D79"/>
      </colorScale>
    </cfRule>
  </conditionalFormatting>
  <conditionalFormatting sqref="D3:D81">
    <cfRule type="colorScale" priority="43">
      <colorScale>
        <cfvo type="formula" val="1.2"/>
        <cfvo type="formula" val="4"/>
        <color rgb="FF0B5394"/>
        <color rgb="FFFFFFFF"/>
      </colorScale>
    </cfRule>
  </conditionalFormatting>
  <conditionalFormatting sqref="E3:E81">
    <cfRule type="colorScale" priority="44">
      <colorScale>
        <cfvo type="formula" val="65"/>
        <cfvo type="formula" val="100"/>
        <color rgb="FFD9D2E9"/>
        <color rgb="FF674EA7"/>
      </colorScale>
    </cfRule>
  </conditionalFormatting>
  <conditionalFormatting sqref="D3:D81">
    <cfRule type="containsText" dxfId="6" priority="45" operator="containsText" text="1.2">
      <formula>NOT(ISERROR(SEARCH(("1.2"),(D3))))</formula>
    </cfRule>
  </conditionalFormatting>
  <conditionalFormatting sqref="B3:B1053">
    <cfRule type="cellIs" dxfId="3" priority="46" operator="between">
      <formula>651</formula>
      <formula>900</formula>
    </cfRule>
  </conditionalFormatting>
  <conditionalFormatting sqref="D3:D81">
    <cfRule type="containsText" dxfId="8" priority="47" operator="containsText" text="1.4">
      <formula>NOT(ISERROR(SEARCH(("1.4"),(D3))))</formula>
    </cfRule>
  </conditionalFormatting>
  <conditionalFormatting sqref="D3:AA81">
    <cfRule type="containsText" dxfId="9" priority="48" operator="containsText" text="1.8">
      <formula>NOT(ISERROR(SEARCH(("1.8"),(D3))))</formula>
    </cfRule>
  </conditionalFormatting>
  <conditionalFormatting sqref="F1:F1058">
    <cfRule type="colorScale" priority="49">
      <colorScale>
        <cfvo type="min"/>
        <cfvo type="formula" val="150"/>
        <color rgb="FFEAD1DC"/>
        <color rgb="FFA64D79"/>
      </colorScale>
    </cfRule>
  </conditionalFormatting>
  <conditionalFormatting sqref="D3:D81">
    <cfRule type="colorScale" priority="50">
      <colorScale>
        <cfvo type="formula" val="1.2"/>
        <cfvo type="formula" val="4"/>
        <color rgb="FF0B5394"/>
        <color rgb="FFFFFFFF"/>
      </colorScale>
    </cfRule>
  </conditionalFormatting>
  <conditionalFormatting sqref="E3:E81">
    <cfRule type="colorScale" priority="51">
      <colorScale>
        <cfvo type="formula" val="65"/>
        <cfvo type="formula" val="100"/>
        <color rgb="FFD9D2E9"/>
        <color rgb="FF674EA7"/>
      </colorScale>
    </cfRule>
  </conditionalFormatting>
  <conditionalFormatting sqref="D3:D81">
    <cfRule type="containsText" dxfId="6" priority="52" operator="containsText" text="1.2">
      <formula>NOT(ISERROR(SEARCH(("1.2"),(D3))))</formula>
    </cfRule>
  </conditionalFormatting>
  <conditionalFormatting sqref="B3:B1053">
    <cfRule type="cellIs" dxfId="3" priority="53" operator="between">
      <formula>651</formula>
      <formula>900</formula>
    </cfRule>
  </conditionalFormatting>
  <conditionalFormatting sqref="D3:D81">
    <cfRule type="containsText" dxfId="8" priority="54" operator="containsText" text="1.4">
      <formula>NOT(ISERROR(SEARCH(("1.4"),(D3))))</formula>
    </cfRule>
  </conditionalFormatting>
  <conditionalFormatting sqref="D3:AA81">
    <cfRule type="containsText" dxfId="9" priority="55" operator="containsText" text="1.8">
      <formula>NOT(ISERROR(SEARCH(("1.8"),(D3))))</formula>
    </cfRule>
  </conditionalFormatting>
  <conditionalFormatting sqref="F1:F1058">
    <cfRule type="colorScale" priority="56">
      <colorScale>
        <cfvo type="min"/>
        <cfvo type="formula" val="150"/>
        <color rgb="FFEAD1DC"/>
        <color rgb="FFA64D79"/>
      </colorScale>
    </cfRule>
  </conditionalFormatting>
  <conditionalFormatting sqref="D3:D81">
    <cfRule type="colorScale" priority="57">
      <colorScale>
        <cfvo type="formula" val="1.2"/>
        <cfvo type="formula" val="4"/>
        <color rgb="FF0B5394"/>
        <color rgb="FFFFFFFF"/>
      </colorScale>
    </cfRule>
  </conditionalFormatting>
  <conditionalFormatting sqref="E3:E81">
    <cfRule type="colorScale" priority="58">
      <colorScale>
        <cfvo type="formula" val="65"/>
        <cfvo type="formula" val="100"/>
        <color rgb="FFD9D2E9"/>
        <color rgb="FF674EA7"/>
      </colorScale>
    </cfRule>
  </conditionalFormatting>
  <conditionalFormatting sqref="D3:D81">
    <cfRule type="containsText" dxfId="6" priority="59" operator="containsText" text="1.2">
      <formula>NOT(ISERROR(SEARCH(("1.2"),(D3))))</formula>
    </cfRule>
  </conditionalFormatting>
  <conditionalFormatting sqref="B3:B1053">
    <cfRule type="cellIs" dxfId="3" priority="60" operator="between">
      <formula>651</formula>
      <formula>900</formula>
    </cfRule>
  </conditionalFormatting>
  <conditionalFormatting sqref="D3:D81">
    <cfRule type="containsText" dxfId="8" priority="61" operator="containsText" text="1.4">
      <formula>NOT(ISERROR(SEARCH(("1.4"),(D3))))</formula>
    </cfRule>
  </conditionalFormatting>
  <conditionalFormatting sqref="D3:AA81">
    <cfRule type="containsText" dxfId="9" priority="62" operator="containsText" text="1.8">
      <formula>NOT(ISERROR(SEARCH(("1.8"),(D3))))</formula>
    </cfRule>
  </conditionalFormatting>
  <conditionalFormatting sqref="F1:F1058">
    <cfRule type="colorScale" priority="63">
      <colorScale>
        <cfvo type="min"/>
        <cfvo type="formula" val="150"/>
        <color rgb="FFEAD1DC"/>
        <color rgb="FFA64D79"/>
      </colorScale>
    </cfRule>
  </conditionalFormatting>
  <conditionalFormatting sqref="D3:D81">
    <cfRule type="colorScale" priority="64">
      <colorScale>
        <cfvo type="formula" val="1.2"/>
        <cfvo type="formula" val="4"/>
        <color rgb="FF0B5394"/>
        <color rgb="FFFFFFFF"/>
      </colorScale>
    </cfRule>
  </conditionalFormatting>
  <conditionalFormatting sqref="E3:E81">
    <cfRule type="colorScale" priority="65">
      <colorScale>
        <cfvo type="formula" val="65"/>
        <cfvo type="formula" val="100"/>
        <color rgb="FFD9D2E9"/>
        <color rgb="FF674EA7"/>
      </colorScale>
    </cfRule>
  </conditionalFormatting>
  <conditionalFormatting sqref="D3:D81">
    <cfRule type="containsText" dxfId="6" priority="66" operator="containsText" text="1.2">
      <formula>NOT(ISERROR(SEARCH(("1.2"),(D3))))</formula>
    </cfRule>
  </conditionalFormatting>
  <conditionalFormatting sqref="B3:B1053">
    <cfRule type="cellIs" dxfId="3" priority="67" operator="between">
      <formula>651</formula>
      <formula>900</formula>
    </cfRule>
  </conditionalFormatting>
  <conditionalFormatting sqref="D3:D81">
    <cfRule type="containsText" dxfId="8" priority="68" operator="containsText" text="1.4">
      <formula>NOT(ISERROR(SEARCH(("1.4"),(D3))))</formula>
    </cfRule>
  </conditionalFormatting>
  <conditionalFormatting sqref="D3:AA81">
    <cfRule type="containsText" dxfId="9" priority="69" operator="containsText" text="1.8">
      <formula>NOT(ISERROR(SEARCH(("1.8"),(D3))))</formula>
    </cfRule>
  </conditionalFormatting>
  <conditionalFormatting sqref="F1:F1058">
    <cfRule type="colorScale" priority="70">
      <colorScale>
        <cfvo type="min"/>
        <cfvo type="formula" val="150"/>
        <color rgb="FFEAD1DC"/>
        <color rgb="FFA64D79"/>
      </colorScale>
    </cfRule>
  </conditionalFormatting>
  <conditionalFormatting sqref="D3:D81">
    <cfRule type="colorScale" priority="71">
      <colorScale>
        <cfvo type="formula" val="1.2"/>
        <cfvo type="formula" val="4"/>
        <color rgb="FF0B5394"/>
        <color rgb="FFFFFFFF"/>
      </colorScale>
    </cfRule>
  </conditionalFormatting>
  <conditionalFormatting sqref="E3:E81">
    <cfRule type="colorScale" priority="72">
      <colorScale>
        <cfvo type="formula" val="65"/>
        <cfvo type="formula" val="100"/>
        <color rgb="FFD9D2E9"/>
        <color rgb="FF674EA7"/>
      </colorScale>
    </cfRule>
  </conditionalFormatting>
  <conditionalFormatting sqref="D3:D81">
    <cfRule type="containsText" dxfId="6" priority="73" operator="containsText" text="1.2">
      <formula>NOT(ISERROR(SEARCH(("1.2"),(D3))))</formula>
    </cfRule>
  </conditionalFormatting>
  <conditionalFormatting sqref="B3:B1053">
    <cfRule type="cellIs" dxfId="3" priority="74" operator="between">
      <formula>651</formula>
      <formula>900</formula>
    </cfRule>
  </conditionalFormatting>
  <conditionalFormatting sqref="D3:D81">
    <cfRule type="containsText" dxfId="8" priority="75" operator="containsText" text="1.4">
      <formula>NOT(ISERROR(SEARCH(("1.4"),(D3))))</formula>
    </cfRule>
  </conditionalFormatting>
  <conditionalFormatting sqref="D3:AA81">
    <cfRule type="containsText" dxfId="9" priority="76" operator="containsText" text="1.8">
      <formula>NOT(ISERROR(SEARCH(("1.8"),(D3))))</formula>
    </cfRule>
  </conditionalFormatting>
  <conditionalFormatting sqref="F1:F1058">
    <cfRule type="colorScale" priority="77">
      <colorScale>
        <cfvo type="min"/>
        <cfvo type="formula" val="150"/>
        <color rgb="FFEAD1DC"/>
        <color rgb="FFA64D79"/>
      </colorScale>
    </cfRule>
  </conditionalFormatting>
  <conditionalFormatting sqref="D3:D81">
    <cfRule type="colorScale" priority="78">
      <colorScale>
        <cfvo type="formula" val="1.2"/>
        <cfvo type="formula" val="4"/>
        <color rgb="FF0B5394"/>
        <color rgb="FFFFFFFF"/>
      </colorScale>
    </cfRule>
  </conditionalFormatting>
  <conditionalFormatting sqref="E3:E81">
    <cfRule type="colorScale" priority="79">
      <colorScale>
        <cfvo type="formula" val="65"/>
        <cfvo type="formula" val="100"/>
        <color rgb="FFD9D2E9"/>
        <color rgb="FF674EA7"/>
      </colorScale>
    </cfRule>
  </conditionalFormatting>
  <conditionalFormatting sqref="D3:D81">
    <cfRule type="containsText" dxfId="6" priority="80" operator="containsText" text="1.2">
      <formula>NOT(ISERROR(SEARCH(("1.2"),(D3))))</formula>
    </cfRule>
  </conditionalFormatting>
  <conditionalFormatting sqref="B3:B1053">
    <cfRule type="cellIs" dxfId="3" priority="81" operator="between">
      <formula>651</formula>
      <formula>900</formula>
    </cfRule>
  </conditionalFormatting>
  <conditionalFormatting sqref="D3:D81">
    <cfRule type="containsText" dxfId="8" priority="82" operator="containsText" text="1.4">
      <formula>NOT(ISERROR(SEARCH(("1.4"),(D3))))</formula>
    </cfRule>
  </conditionalFormatting>
  <conditionalFormatting sqref="D3:AA81">
    <cfRule type="containsText" dxfId="9" priority="83" operator="containsText" text="1.8">
      <formula>NOT(ISERROR(SEARCH(("1.8"),(D3))))</formula>
    </cfRule>
  </conditionalFormatting>
  <conditionalFormatting sqref="F1:F1058">
    <cfRule type="colorScale" priority="84">
      <colorScale>
        <cfvo type="min"/>
        <cfvo type="formula" val="150"/>
        <color rgb="FFEAD1DC"/>
        <color rgb="FFA64D79"/>
      </colorScale>
    </cfRule>
  </conditionalFormatting>
  <conditionalFormatting sqref="D3:D81">
    <cfRule type="colorScale" priority="85">
      <colorScale>
        <cfvo type="formula" val="1.2"/>
        <cfvo type="formula" val="4"/>
        <color rgb="FF0B5394"/>
        <color rgb="FFFFFFFF"/>
      </colorScale>
    </cfRule>
  </conditionalFormatting>
  <conditionalFormatting sqref="E3:E81">
    <cfRule type="colorScale" priority="86">
      <colorScale>
        <cfvo type="formula" val="65"/>
        <cfvo type="formula" val="100"/>
        <color rgb="FFD9D2E9"/>
        <color rgb="FF674EA7"/>
      </colorScale>
    </cfRule>
  </conditionalFormatting>
  <conditionalFormatting sqref="D3:D81">
    <cfRule type="containsText" dxfId="6" priority="87" operator="containsText" text="1.2">
      <formula>NOT(ISERROR(SEARCH(("1.2"),(D3))))</formula>
    </cfRule>
  </conditionalFormatting>
  <conditionalFormatting sqref="D12">
    <cfRule type="notContainsBlanks" dxfId="7" priority="88">
      <formula>LEN(TRIM(D12))&gt;0</formula>
    </cfRule>
  </conditionalFormatting>
  <conditionalFormatting sqref="D3:D81">
    <cfRule type="containsText" dxfId="8" priority="89" operator="containsText" text="1.4">
      <formula>NOT(ISERROR(SEARCH(("1.4"),(D3))))</formula>
    </cfRule>
  </conditionalFormatting>
  <conditionalFormatting sqref="D3:AA81">
    <cfRule type="containsText" dxfId="9" priority="90" operator="containsText" text="1.8">
      <formula>NOT(ISERROR(SEARCH(("1.8"),(D3))))</formula>
    </cfRule>
  </conditionalFormatting>
  <dataValidations>
    <dataValidation type="list" allowBlank="1" sqref="S3:S151">
      <formula1>"Sony,Voigtlander,Zeiss,Sigma,Samyang,Viltrox,Tokina,Tamron"</formula1>
    </dataValidation>
  </dataValidations>
  <hyperlinks>
    <hyperlink r:id="rId1" ref="K1"/>
    <hyperlink r:id="rId2" ref="M1"/>
    <hyperlink r:id="rId3" ref="N1"/>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86"/>
    <col customWidth="1" min="2" max="2" width="6.57"/>
    <col customWidth="1" min="3" max="3" width="11.0"/>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598" t="s">
        <v>0</v>
      </c>
      <c r="B1" s="3" t="s">
        <v>1</v>
      </c>
      <c r="C1" s="3" t="s">
        <v>261</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262</v>
      </c>
    </row>
    <row r="2" ht="18.0" hidden="1" customHeight="1">
      <c r="A2" s="17" t="s">
        <v>166</v>
      </c>
      <c r="B2" s="18"/>
      <c r="C2" s="18"/>
      <c r="D2" s="18"/>
      <c r="E2" s="18"/>
      <c r="F2" s="18"/>
      <c r="G2" s="19"/>
      <c r="H2" s="20"/>
      <c r="I2" s="18"/>
      <c r="J2" s="18"/>
      <c r="K2" s="18"/>
      <c r="L2" s="18"/>
      <c r="M2" s="18"/>
      <c r="N2" s="18"/>
      <c r="O2" s="18"/>
      <c r="P2" s="19"/>
      <c r="Q2" s="18"/>
      <c r="R2" s="19"/>
      <c r="S2" s="21"/>
      <c r="T2" s="19"/>
    </row>
    <row r="3" hidden="1">
      <c r="A3" s="137" t="str">
        <f t="array" ref="A3:A13">All!A3:V122</f>
        <v>#REF!</v>
      </c>
      <c r="B3" s="76"/>
      <c r="C3" s="81"/>
      <c r="D3" s="78"/>
      <c r="E3" s="388"/>
      <c r="F3" s="394"/>
      <c r="G3" s="345"/>
      <c r="H3" s="82"/>
      <c r="I3" s="81"/>
      <c r="J3" s="81"/>
      <c r="K3" s="130"/>
      <c r="L3" s="130"/>
      <c r="M3" s="130"/>
      <c r="N3" s="130"/>
      <c r="O3" s="81"/>
      <c r="P3" s="84"/>
      <c r="Q3" s="81"/>
      <c r="R3" s="378"/>
      <c r="S3" s="81"/>
      <c r="T3" s="81"/>
    </row>
    <row r="4" hidden="1">
      <c r="A4" s="603"/>
      <c r="B4" s="76"/>
      <c r="C4" s="81"/>
      <c r="D4" s="78"/>
      <c r="E4" s="79"/>
      <c r="F4" s="79"/>
      <c r="G4" s="84"/>
      <c r="H4" s="82"/>
      <c r="I4" s="81"/>
      <c r="J4" s="81"/>
      <c r="K4" s="89"/>
      <c r="L4" s="89"/>
      <c r="M4" s="89"/>
      <c r="N4" s="89"/>
      <c r="O4" s="81"/>
      <c r="P4" s="84"/>
      <c r="Q4" s="81"/>
      <c r="R4" s="378"/>
      <c r="S4" s="81"/>
      <c r="T4" s="81"/>
    </row>
    <row r="5" hidden="1">
      <c r="A5" s="137"/>
      <c r="B5" s="76"/>
      <c r="C5" s="81"/>
      <c r="D5" s="78"/>
      <c r="E5" s="391"/>
      <c r="F5" s="396"/>
      <c r="G5" s="397"/>
      <c r="H5" s="82"/>
      <c r="I5" s="81"/>
      <c r="J5" s="81"/>
      <c r="K5" s="89"/>
      <c r="L5" s="89"/>
      <c r="M5" s="89"/>
      <c r="N5" s="89"/>
      <c r="O5" s="81"/>
      <c r="P5" s="84"/>
      <c r="Q5" s="81"/>
      <c r="R5" s="378"/>
      <c r="S5" s="81"/>
      <c r="T5" s="81"/>
    </row>
    <row r="6" hidden="1">
      <c r="A6" s="395"/>
      <c r="B6" s="76"/>
      <c r="C6" s="81"/>
      <c r="D6" s="121"/>
      <c r="E6" s="343"/>
      <c r="F6" s="344"/>
      <c r="G6" s="81"/>
      <c r="H6" s="82"/>
      <c r="I6" s="81"/>
      <c r="J6" s="81"/>
      <c r="K6" s="89"/>
      <c r="L6" s="89"/>
      <c r="M6" s="89"/>
      <c r="N6" s="89"/>
      <c r="O6" s="81"/>
      <c r="P6" s="84"/>
      <c r="Q6" s="81"/>
      <c r="R6" s="123"/>
      <c r="S6" s="81"/>
      <c r="T6" s="346"/>
    </row>
    <row r="7" hidden="1">
      <c r="A7" s="398"/>
      <c r="B7" s="76"/>
      <c r="C7" s="81"/>
      <c r="D7" s="78"/>
      <c r="E7" s="79"/>
      <c r="F7" s="344"/>
      <c r="G7" s="81"/>
      <c r="H7" s="82"/>
      <c r="I7" s="81"/>
      <c r="J7" s="81"/>
      <c r="K7" s="89"/>
      <c r="L7" s="89"/>
      <c r="M7" s="89"/>
      <c r="N7" s="89"/>
      <c r="O7" s="81"/>
      <c r="P7" s="84"/>
      <c r="Q7" s="81"/>
      <c r="R7" s="85"/>
      <c r="S7" s="81"/>
      <c r="T7" s="81"/>
    </row>
    <row r="8" hidden="1">
      <c r="A8" s="395"/>
      <c r="B8" s="76"/>
      <c r="C8" s="81"/>
      <c r="D8" s="78"/>
      <c r="E8" s="79"/>
      <c r="F8" s="79"/>
      <c r="G8" s="81"/>
      <c r="H8" s="82"/>
      <c r="I8" s="81"/>
      <c r="J8" s="81"/>
      <c r="K8" s="89"/>
      <c r="L8" s="89"/>
      <c r="M8" s="89"/>
      <c r="N8" s="89"/>
      <c r="O8" s="81"/>
      <c r="P8" s="84"/>
      <c r="Q8" s="81"/>
      <c r="R8" s="123"/>
      <c r="S8" s="81"/>
      <c r="T8" s="346"/>
    </row>
    <row r="9" hidden="1">
      <c r="A9" s="137"/>
      <c r="B9" s="76"/>
      <c r="C9" s="81"/>
      <c r="D9" s="78"/>
      <c r="E9" s="391"/>
      <c r="F9" s="396"/>
      <c r="G9" s="397"/>
      <c r="H9" s="82"/>
      <c r="I9" s="81"/>
      <c r="J9" s="81"/>
      <c r="K9" s="89"/>
      <c r="L9" s="89"/>
      <c r="M9" s="89"/>
      <c r="N9" s="89"/>
      <c r="O9" s="81"/>
      <c r="P9" s="84"/>
      <c r="Q9" s="81"/>
      <c r="R9" s="128"/>
      <c r="S9" s="81"/>
      <c r="T9" s="81"/>
    </row>
    <row r="10" hidden="1">
      <c r="A10" s="137"/>
      <c r="B10" s="76"/>
      <c r="C10" s="81"/>
      <c r="D10" s="78"/>
      <c r="E10" s="79"/>
      <c r="F10" s="79"/>
      <c r="G10" s="84"/>
      <c r="H10" s="82"/>
      <c r="I10" s="81"/>
      <c r="J10" s="81"/>
      <c r="K10" s="130"/>
      <c r="L10" s="130"/>
      <c r="M10" s="130"/>
      <c r="N10" s="130"/>
      <c r="O10" s="81"/>
      <c r="P10" s="154"/>
      <c r="Q10" s="81"/>
      <c r="R10" s="128"/>
      <c r="S10" s="81"/>
      <c r="T10" s="81"/>
    </row>
    <row r="11" hidden="1">
      <c r="A11" s="395"/>
      <c r="B11" s="76"/>
      <c r="C11" s="81"/>
      <c r="D11" s="78"/>
      <c r="E11" s="79"/>
      <c r="F11" s="79"/>
      <c r="G11" s="84"/>
      <c r="H11" s="82"/>
      <c r="I11" s="81"/>
      <c r="J11" s="81"/>
      <c r="K11" s="89"/>
      <c r="L11" s="89"/>
      <c r="M11" s="89"/>
      <c r="N11" s="89"/>
      <c r="O11" s="81"/>
      <c r="P11" s="84"/>
      <c r="Q11" s="81"/>
      <c r="R11" s="128"/>
      <c r="S11" s="81"/>
      <c r="T11" s="81"/>
    </row>
    <row r="12" hidden="1">
      <c r="A12" s="611"/>
      <c r="B12" s="76"/>
      <c r="C12" s="81"/>
      <c r="D12" s="78"/>
      <c r="E12" s="379"/>
      <c r="F12" s="79"/>
      <c r="G12" s="84"/>
      <c r="H12" s="82"/>
      <c r="I12" s="81"/>
      <c r="J12" s="643"/>
      <c r="K12" s="89"/>
      <c r="L12" s="89"/>
      <c r="M12" s="89"/>
      <c r="N12" s="89"/>
      <c r="O12" s="81"/>
      <c r="P12" s="84"/>
      <c r="Q12" s="81"/>
      <c r="R12" s="128"/>
      <c r="S12" s="81"/>
      <c r="T12" s="81"/>
    </row>
    <row r="13" hidden="1">
      <c r="A13" s="131" t="str">
        <f>HYPERLINK("https://phillipreeve.net/blog/review-voigtlander-10mm-5-6-e-hyper-wide-heliar/","Voigtlander 10mm F5.6 Hyper Wide ")</f>
        <v>Voigtlander 10mm F5.6 Hyper Wide </v>
      </c>
      <c r="B13" s="76">
        <v>375.0</v>
      </c>
      <c r="C13" s="122">
        <v>10.0</v>
      </c>
      <c r="D13" s="78">
        <v>5.6</v>
      </c>
      <c r="E13" s="388">
        <v>67.0</v>
      </c>
      <c r="F13" s="389" t="s">
        <v>23</v>
      </c>
      <c r="G13" s="390" t="s">
        <v>24</v>
      </c>
      <c r="H13" s="82" t="s">
        <v>25</v>
      </c>
      <c r="I13" s="81">
        <v>0.067</v>
      </c>
      <c r="J13" s="87">
        <v>1099.0</v>
      </c>
      <c r="K13" s="88" t="str">
        <f>HYPERLINK("https://amzn.to/2jJ8WxH","link*")</f>
        <v>link*</v>
      </c>
      <c r="L13" s="88" t="str">
        <f>HYPERLINK("https://www.bhphotovideo.com/c/product/1219550-REG/voigtlander_ba334b_heliar_hyper_wide_10mm_f_5_6.html/BI/19619/KBID/12129/DFF/d10-v21-t1-x732282/SID/EZ","link*")</f>
        <v>link*</v>
      </c>
      <c r="M13" s="88" t="str">
        <f>HYPERLINK("https://amzn.to/2jG72hr","link*")</f>
        <v>link*</v>
      </c>
      <c r="N13" s="88"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13" s="83">
        <v>30.0</v>
      </c>
      <c r="P13" s="84" t="s">
        <v>26</v>
      </c>
      <c r="Q13" s="81">
        <v>10.0</v>
      </c>
      <c r="R13" s="378" t="s">
        <v>27</v>
      </c>
      <c r="S13" s="81" t="s">
        <v>28</v>
      </c>
      <c r="T13" s="86">
        <v>42552.0</v>
      </c>
      <c r="U13" s="68" t="s">
        <v>225</v>
      </c>
    </row>
    <row r="14" hidden="1" customHeight="1">
      <c r="A14" s="395"/>
      <c r="B14" s="76"/>
      <c r="C14" s="81"/>
      <c r="D14" s="380"/>
      <c r="E14" s="79"/>
      <c r="F14" s="79"/>
      <c r="G14" s="81"/>
      <c r="H14" s="82"/>
      <c r="I14" s="81"/>
      <c r="J14" s="81"/>
      <c r="K14" s="89"/>
      <c r="L14" s="89"/>
      <c r="M14" s="89"/>
      <c r="N14" s="89"/>
      <c r="O14" s="81"/>
      <c r="P14" s="84"/>
      <c r="Q14" s="81"/>
      <c r="R14" s="123"/>
      <c r="S14" s="81"/>
      <c r="T14" s="346"/>
    </row>
    <row r="15" hidden="1">
      <c r="A15" s="395"/>
      <c r="B15" s="76"/>
      <c r="C15" s="81"/>
      <c r="D15" s="121"/>
      <c r="E15" s="79"/>
      <c r="F15" s="79"/>
      <c r="G15" s="400"/>
      <c r="H15" s="82"/>
      <c r="I15" s="81"/>
      <c r="J15" s="81"/>
      <c r="K15" s="89"/>
      <c r="L15" s="89"/>
      <c r="M15" s="89"/>
      <c r="N15" s="89"/>
      <c r="O15" s="81"/>
      <c r="P15" s="84"/>
      <c r="Q15" s="81"/>
      <c r="R15" s="123"/>
      <c r="S15" s="81"/>
      <c r="T15" s="346"/>
    </row>
    <row r="16" hidden="1">
      <c r="A16" s="137"/>
      <c r="B16" s="76"/>
      <c r="C16" s="81"/>
      <c r="D16" s="125"/>
      <c r="E16" s="391"/>
      <c r="F16" s="79"/>
      <c r="G16" s="397"/>
      <c r="H16" s="82"/>
      <c r="I16" s="81"/>
      <c r="J16" s="644"/>
      <c r="K16" s="130"/>
      <c r="L16" s="130"/>
      <c r="M16" s="130"/>
      <c r="N16" s="130"/>
      <c r="O16" s="81"/>
      <c r="P16" s="84"/>
      <c r="Q16" s="81"/>
      <c r="R16" s="128"/>
      <c r="S16" s="81"/>
      <c r="T16" s="346"/>
    </row>
    <row r="17" hidden="1">
      <c r="A17" s="395"/>
      <c r="B17" s="76"/>
      <c r="C17" s="81"/>
      <c r="D17" s="125"/>
      <c r="E17" s="379"/>
      <c r="F17" s="79"/>
      <c r="G17" s="84"/>
      <c r="H17" s="82"/>
      <c r="I17" s="81"/>
      <c r="J17" s="81"/>
      <c r="K17" s="89"/>
      <c r="L17" s="89"/>
      <c r="M17" s="89"/>
      <c r="N17" s="89"/>
      <c r="O17" s="81"/>
      <c r="P17" s="84"/>
      <c r="Q17" s="81"/>
      <c r="R17" s="128"/>
      <c r="S17" s="81"/>
      <c r="T17" s="346"/>
    </row>
    <row r="18" hidden="1">
      <c r="A18" s="611"/>
      <c r="B18" s="76"/>
      <c r="C18" s="81"/>
      <c r="D18" s="149"/>
      <c r="E18" s="379"/>
      <c r="F18" s="79"/>
      <c r="G18" s="84"/>
      <c r="H18" s="82"/>
      <c r="I18" s="81"/>
      <c r="J18" s="81"/>
      <c r="K18" s="89"/>
      <c r="L18" s="89"/>
      <c r="M18" s="89"/>
      <c r="N18" s="89"/>
      <c r="O18" s="81"/>
      <c r="P18" s="84"/>
      <c r="Q18" s="81"/>
      <c r="R18" s="128"/>
      <c r="S18" s="81"/>
      <c r="T18" s="81"/>
    </row>
    <row r="19" hidden="1">
      <c r="A19" s="75" t="s">
        <v>29</v>
      </c>
      <c r="B19" s="76">
        <v>565.0</v>
      </c>
      <c r="C19" s="122">
        <v>12.0</v>
      </c>
      <c r="D19" s="78">
        <v>4.0</v>
      </c>
      <c r="E19" s="79">
        <v>87.0</v>
      </c>
      <c r="F19" s="122">
        <v>117.0</v>
      </c>
      <c r="G19" s="84" t="s">
        <v>30</v>
      </c>
      <c r="H19" s="82" t="s">
        <v>25</v>
      </c>
      <c r="I19" s="81">
        <v>0.14</v>
      </c>
      <c r="J19" s="87">
        <v>1699.0</v>
      </c>
      <c r="K19" s="88" t="str">
        <f>HYPERLINK("https://amzn.to/2SSzKc4","link*")</f>
        <v>link*</v>
      </c>
      <c r="L19" s="88" t="str">
        <f>HYPERLINK("https://www.bhphotovideo.com/c/product/1338517-REG/sony_sel1224g_fe_12_24mm_f_4_g.html/BI/19619/KBID/12129/DFF/d10-v21-t1-x822838/SID/EZ","link*")</f>
        <v>link*</v>
      </c>
      <c r="M19" s="88" t="str">
        <f>HYPERLINK("https://amzn.to/2Kg94zb","link*")</f>
        <v>link*</v>
      </c>
      <c r="N19"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19" s="83">
        <v>24.0</v>
      </c>
      <c r="P19" s="84" t="s">
        <v>26</v>
      </c>
      <c r="Q19" s="81">
        <v>7.0</v>
      </c>
      <c r="R19" s="378" t="s">
        <v>31</v>
      </c>
      <c r="S19" s="81" t="s">
        <v>32</v>
      </c>
      <c r="T19" s="86">
        <v>42856.0</v>
      </c>
    </row>
    <row r="20" hidden="1">
      <c r="A20" s="137"/>
      <c r="B20" s="76"/>
      <c r="C20" s="81"/>
      <c r="D20" s="78"/>
      <c r="E20" s="79"/>
      <c r="F20" s="616"/>
      <c r="G20" s="397"/>
      <c r="H20" s="82"/>
      <c r="I20" s="346"/>
      <c r="J20" s="81"/>
      <c r="K20" s="130"/>
      <c r="L20" s="130"/>
      <c r="M20" s="89"/>
      <c r="N20" s="130"/>
      <c r="O20" s="81"/>
      <c r="P20" s="84"/>
      <c r="Q20" s="81"/>
      <c r="R20" s="128"/>
      <c r="S20" s="81"/>
      <c r="T20" s="81"/>
    </row>
    <row r="21" hidden="1">
      <c r="A21" s="137"/>
      <c r="B21" s="76"/>
      <c r="C21" s="81"/>
      <c r="D21" s="149"/>
      <c r="E21" s="79"/>
      <c r="F21" s="79"/>
      <c r="G21" s="84"/>
      <c r="H21" s="82"/>
      <c r="I21" s="81"/>
      <c r="J21" s="81"/>
      <c r="K21" s="89"/>
      <c r="L21" s="89"/>
      <c r="M21" s="89"/>
      <c r="N21" s="89"/>
      <c r="O21" s="81"/>
      <c r="P21" s="84"/>
      <c r="Q21" s="81"/>
      <c r="R21" s="128"/>
      <c r="S21" s="81"/>
      <c r="T21" s="81"/>
    </row>
    <row r="22" hidden="1">
      <c r="A22" s="395"/>
      <c r="B22" s="76"/>
      <c r="C22" s="81"/>
      <c r="D22" s="149"/>
      <c r="E22" s="79"/>
      <c r="F22" s="79"/>
      <c r="G22" s="81"/>
      <c r="H22" s="82"/>
      <c r="I22" s="81"/>
      <c r="J22" s="81"/>
      <c r="K22" s="89"/>
      <c r="L22" s="89"/>
      <c r="M22" s="89"/>
      <c r="N22" s="89"/>
      <c r="O22" s="81"/>
      <c r="P22" s="84"/>
      <c r="Q22" s="81"/>
      <c r="R22" s="123"/>
      <c r="S22" s="81"/>
      <c r="T22" s="346"/>
    </row>
    <row r="23" hidden="1">
      <c r="A23" s="137"/>
      <c r="B23" s="76"/>
      <c r="C23" s="81"/>
      <c r="D23" s="78"/>
      <c r="E23" s="79"/>
      <c r="F23" s="79"/>
      <c r="G23" s="84"/>
      <c r="H23" s="82"/>
      <c r="I23" s="81"/>
      <c r="J23" s="644"/>
      <c r="K23" s="130"/>
      <c r="L23" s="130"/>
      <c r="M23" s="130"/>
      <c r="N23" s="89"/>
      <c r="O23" s="81"/>
      <c r="P23" s="84"/>
      <c r="Q23" s="81"/>
      <c r="R23" s="128"/>
      <c r="S23" s="81"/>
      <c r="T23" s="346"/>
    </row>
    <row r="24" hidden="1">
      <c r="A24" s="137"/>
      <c r="B24" s="76"/>
      <c r="C24" s="81"/>
      <c r="D24" s="78"/>
      <c r="E24" s="79"/>
      <c r="F24" s="79"/>
      <c r="G24" s="84"/>
      <c r="H24" s="82"/>
      <c r="I24" s="140"/>
      <c r="J24" s="81"/>
      <c r="K24" s="89"/>
      <c r="L24" s="89"/>
      <c r="M24" s="89"/>
      <c r="N24" s="89"/>
      <c r="O24" s="81"/>
      <c r="P24" s="84"/>
      <c r="Q24" s="81"/>
      <c r="R24" s="128"/>
      <c r="S24" s="81"/>
      <c r="T24" s="81"/>
    </row>
    <row r="25" hidden="1">
      <c r="A25" s="395"/>
      <c r="B25" s="76"/>
      <c r="C25" s="81"/>
      <c r="D25" s="78"/>
      <c r="E25" s="79"/>
      <c r="F25" s="79"/>
      <c r="G25" s="84"/>
      <c r="H25" s="82"/>
      <c r="I25" s="140"/>
      <c r="J25" s="81"/>
      <c r="K25" s="130"/>
      <c r="L25" s="89"/>
      <c r="M25" s="130"/>
      <c r="N25" s="130"/>
      <c r="O25" s="81"/>
      <c r="P25" s="154"/>
      <c r="Q25" s="81"/>
      <c r="R25" s="128"/>
      <c r="S25" s="81"/>
      <c r="T25" s="81"/>
    </row>
    <row r="26" hidden="1">
      <c r="A26" s="395"/>
      <c r="B26" s="76"/>
      <c r="C26" s="81"/>
      <c r="D26" s="78"/>
      <c r="E26" s="79"/>
      <c r="F26" s="79"/>
      <c r="G26" s="84"/>
      <c r="H26" s="82"/>
      <c r="I26" s="140"/>
      <c r="J26" s="81"/>
      <c r="K26" s="89"/>
      <c r="L26" s="89"/>
      <c r="M26" s="89"/>
      <c r="N26" s="89"/>
      <c r="O26" s="81"/>
      <c r="P26" s="154"/>
      <c r="Q26" s="81"/>
      <c r="R26" s="128"/>
      <c r="S26" s="81"/>
      <c r="T26" s="81"/>
    </row>
    <row r="27" hidden="1">
      <c r="A27" s="137"/>
      <c r="B27" s="76"/>
      <c r="C27" s="81"/>
      <c r="D27" s="78"/>
      <c r="E27" s="79"/>
      <c r="F27" s="79"/>
      <c r="G27" s="84"/>
      <c r="H27" s="82"/>
      <c r="I27" s="81"/>
      <c r="J27" s="81"/>
      <c r="K27" s="130"/>
      <c r="L27" s="89"/>
      <c r="M27" s="130"/>
      <c r="N27" s="130"/>
      <c r="O27" s="81"/>
      <c r="P27" s="154"/>
      <c r="Q27" s="81"/>
      <c r="R27" s="128"/>
      <c r="S27" s="81"/>
      <c r="T27" s="81"/>
    </row>
    <row r="28" hidden="1">
      <c r="A28" s="131" t="str">
        <f>HYPERLINK("https://phillipreeve.net/blog/review-voigtlander-12mm-5-6-aspherical-ultra-wide-heliar/","Voigtlander 12mm F5.6 Ultra Wide-Heliar Aspherical")</f>
        <v>Voigtlander 12mm F5.6 Ultra Wide-Heliar Aspherical</v>
      </c>
      <c r="B28" s="76">
        <v>350.0</v>
      </c>
      <c r="C28" s="122">
        <v>12.0</v>
      </c>
      <c r="D28" s="78">
        <v>5.6</v>
      </c>
      <c r="E28" s="391">
        <v>67.0</v>
      </c>
      <c r="F28" s="389">
        <v>68.0</v>
      </c>
      <c r="G28" s="84" t="s">
        <v>24</v>
      </c>
      <c r="H28" s="82" t="s">
        <v>25</v>
      </c>
      <c r="I28" s="81"/>
      <c r="J28" s="87">
        <v>749.0</v>
      </c>
      <c r="K28" s="89"/>
      <c r="L28" s="89"/>
      <c r="M28" s="89"/>
      <c r="N28" s="88"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28" s="83">
        <v>30.0</v>
      </c>
      <c r="P28" s="84" t="s">
        <v>26</v>
      </c>
      <c r="Q28" s="81">
        <v>10.0</v>
      </c>
      <c r="R28" s="378" t="s">
        <v>38</v>
      </c>
      <c r="S28" s="81" t="s">
        <v>28</v>
      </c>
      <c r="T28" s="86">
        <v>42583.0</v>
      </c>
      <c r="U28" s="68" t="s">
        <v>39</v>
      </c>
    </row>
    <row r="29" hidden="1">
      <c r="A29" s="75" t="s">
        <v>40</v>
      </c>
      <c r="B29" s="76">
        <v>1170.0</v>
      </c>
      <c r="C29" s="122">
        <v>14.0</v>
      </c>
      <c r="D29" s="121">
        <v>1.8</v>
      </c>
      <c r="E29" s="343">
        <v>95.0</v>
      </c>
      <c r="F29" s="80">
        <v>126.0</v>
      </c>
      <c r="G29" s="81" t="s">
        <v>30</v>
      </c>
      <c r="H29" s="82" t="s">
        <v>25</v>
      </c>
      <c r="I29" s="81">
        <v>0.1</v>
      </c>
      <c r="J29" s="87">
        <v>1599.0</v>
      </c>
      <c r="K29" s="88" t="str">
        <f>HYPERLINK("https://amzn.to/2SOWTvV","link*")</f>
        <v>link*</v>
      </c>
      <c r="L29" s="88" t="str">
        <f>HYPERLINK("https://www.bhphotovideo.com/c/product/1393489-REG/sigma_14mm_f_1_8_dg_hsm.html/BI/19619/KBID/12129/DFF/d10-v21-t1-x881154/SID/EZ","link*")</f>
        <v>link*</v>
      </c>
      <c r="M29" s="88" t="str">
        <f>HYPERLINK("https://amzn.to/2ZDl4QJ","link*")</f>
        <v>link*</v>
      </c>
      <c r="N29" s="88"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29" s="83">
        <v>27.0</v>
      </c>
      <c r="P29" s="84" t="s">
        <v>26</v>
      </c>
      <c r="Q29" s="81">
        <v>9.0</v>
      </c>
      <c r="R29" s="123">
        <v>43785.0</v>
      </c>
      <c r="S29" s="81" t="s">
        <v>41</v>
      </c>
      <c r="T29" s="86">
        <v>43221.0</v>
      </c>
      <c r="U29" s="68" t="s">
        <v>42</v>
      </c>
    </row>
    <row r="30" hidden="1">
      <c r="A30" s="395"/>
      <c r="B30" s="76"/>
      <c r="C30" s="81"/>
      <c r="D30" s="78"/>
      <c r="E30" s="79"/>
      <c r="F30" s="79"/>
      <c r="G30" s="84"/>
      <c r="H30" s="82"/>
      <c r="I30" s="81"/>
      <c r="J30" s="643"/>
      <c r="K30" s="89"/>
      <c r="L30" s="89"/>
      <c r="M30" s="89"/>
      <c r="N30" s="89"/>
      <c r="O30" s="81"/>
      <c r="P30" s="84"/>
      <c r="Q30" s="81"/>
      <c r="R30" s="128"/>
      <c r="S30" s="81"/>
      <c r="T30" s="81"/>
    </row>
    <row r="31" hidden="1">
      <c r="A31" s="137"/>
      <c r="B31" s="76"/>
      <c r="C31" s="81"/>
      <c r="D31" s="78"/>
      <c r="E31" s="79"/>
      <c r="F31" s="79"/>
      <c r="G31" s="84"/>
      <c r="H31" s="82"/>
      <c r="I31" s="81"/>
      <c r="J31" s="643"/>
      <c r="K31" s="89"/>
      <c r="L31" s="89"/>
      <c r="M31" s="89"/>
      <c r="N31" s="89"/>
      <c r="O31" s="81"/>
      <c r="P31" s="84"/>
      <c r="Q31" s="81"/>
      <c r="R31" s="128"/>
      <c r="S31" s="81"/>
      <c r="T31" s="81"/>
    </row>
    <row r="32" hidden="1">
      <c r="A32" s="137"/>
      <c r="B32" s="76"/>
      <c r="C32" s="81"/>
      <c r="D32" s="78"/>
      <c r="E32" s="79"/>
      <c r="F32" s="79"/>
      <c r="G32" s="84"/>
      <c r="H32" s="82"/>
      <c r="I32" s="140"/>
      <c r="J32" s="643"/>
      <c r="K32" s="89"/>
      <c r="L32" s="89"/>
      <c r="M32" s="89"/>
      <c r="N32" s="89"/>
      <c r="O32" s="81"/>
      <c r="P32" s="84"/>
      <c r="Q32" s="81"/>
      <c r="R32" s="128"/>
      <c r="S32" s="81"/>
      <c r="T32" s="346"/>
    </row>
    <row r="33" hidden="1">
      <c r="A33" s="395"/>
      <c r="B33" s="76"/>
      <c r="C33" s="81"/>
      <c r="D33" s="78"/>
      <c r="E33" s="79"/>
      <c r="F33" s="79"/>
      <c r="G33" s="84"/>
      <c r="H33" s="82"/>
      <c r="I33" s="346"/>
      <c r="J33" s="81"/>
      <c r="K33" s="89"/>
      <c r="L33" s="89"/>
      <c r="M33" s="89"/>
      <c r="N33" s="89"/>
      <c r="O33" s="346"/>
      <c r="P33" s="154"/>
      <c r="Q33" s="346"/>
      <c r="R33" s="378"/>
      <c r="S33" s="81"/>
      <c r="T33" s="81"/>
    </row>
    <row r="34" hidden="1">
      <c r="A34" s="395"/>
      <c r="B34" s="76"/>
      <c r="C34" s="81"/>
      <c r="D34" s="78"/>
      <c r="E34" s="79"/>
      <c r="F34" s="79"/>
      <c r="G34" s="84"/>
      <c r="H34" s="382"/>
      <c r="I34" s="346"/>
      <c r="J34" s="81"/>
      <c r="K34" s="89"/>
      <c r="L34" s="89"/>
      <c r="M34" s="89"/>
      <c r="N34" s="89"/>
      <c r="O34" s="346"/>
      <c r="P34" s="154"/>
      <c r="Q34" s="346"/>
      <c r="R34" s="378"/>
      <c r="S34" s="81"/>
      <c r="T34" s="81"/>
    </row>
    <row r="35" hidden="1" customHeight="1">
      <c r="A35" s="402"/>
      <c r="B35" s="76"/>
      <c r="C35" s="81"/>
      <c r="D35" s="383"/>
      <c r="E35" s="79"/>
      <c r="F35" s="79"/>
      <c r="G35" s="81"/>
      <c r="H35" s="270"/>
      <c r="I35" s="81"/>
      <c r="J35" s="81"/>
      <c r="K35" s="89"/>
      <c r="L35" s="89"/>
      <c r="M35" s="89"/>
      <c r="N35" s="89"/>
      <c r="O35" s="81"/>
      <c r="P35" s="84"/>
      <c r="Q35" s="81"/>
      <c r="R35" s="123"/>
      <c r="S35" s="81"/>
      <c r="T35" s="81"/>
    </row>
    <row r="36" hidden="1">
      <c r="A36" s="137"/>
      <c r="B36" s="76"/>
      <c r="C36" s="81"/>
      <c r="D36" s="78"/>
      <c r="E36" s="79"/>
      <c r="F36" s="79"/>
      <c r="G36" s="81"/>
      <c r="H36" s="82"/>
      <c r="I36" s="81"/>
      <c r="J36" s="81"/>
      <c r="K36" s="89"/>
      <c r="L36" s="89"/>
      <c r="M36" s="89"/>
      <c r="N36" s="89"/>
      <c r="O36" s="81"/>
      <c r="P36" s="84"/>
      <c r="Q36" s="81"/>
      <c r="R36" s="123"/>
      <c r="S36" s="81"/>
      <c r="T36" s="81"/>
    </row>
    <row r="37" hidden="1">
      <c r="A37" s="395"/>
      <c r="B37" s="76"/>
      <c r="C37" s="81"/>
      <c r="D37" s="78"/>
      <c r="E37" s="79"/>
      <c r="F37" s="79"/>
      <c r="G37" s="81"/>
      <c r="H37" s="82"/>
      <c r="I37" s="81"/>
      <c r="J37" s="81"/>
      <c r="K37" s="89"/>
      <c r="L37" s="89"/>
      <c r="M37" s="89"/>
      <c r="N37" s="89"/>
      <c r="O37" s="81"/>
      <c r="P37" s="84"/>
      <c r="Q37" s="81"/>
      <c r="R37" s="123"/>
      <c r="S37" s="81"/>
      <c r="T37" s="346"/>
    </row>
    <row r="38" hidden="1">
      <c r="A38" s="137"/>
      <c r="B38" s="76"/>
      <c r="C38" s="81"/>
      <c r="D38" s="78"/>
      <c r="E38" s="79"/>
      <c r="F38" s="79"/>
      <c r="G38" s="400"/>
      <c r="H38" s="82"/>
      <c r="I38" s="81"/>
      <c r="J38" s="81"/>
      <c r="K38" s="89"/>
      <c r="L38" s="89"/>
      <c r="M38" s="89"/>
      <c r="N38" s="89"/>
      <c r="O38" s="81"/>
      <c r="P38" s="84"/>
      <c r="Q38" s="81"/>
      <c r="R38" s="123"/>
      <c r="S38" s="81"/>
      <c r="T38" s="81"/>
    </row>
    <row r="39" hidden="1" customHeight="1">
      <c r="A39" s="395"/>
      <c r="B39" s="76"/>
      <c r="C39" s="81"/>
      <c r="D39" s="78"/>
      <c r="E39" s="79"/>
      <c r="F39" s="79"/>
      <c r="G39" s="81"/>
      <c r="H39" s="82"/>
      <c r="I39" s="81"/>
      <c r="J39" s="643"/>
      <c r="K39" s="89"/>
      <c r="L39" s="89"/>
      <c r="M39" s="89"/>
      <c r="N39" s="89"/>
      <c r="O39" s="81"/>
      <c r="P39" s="84"/>
      <c r="Q39" s="81"/>
      <c r="R39" s="123"/>
      <c r="S39" s="81"/>
      <c r="T39" s="346"/>
    </row>
    <row r="40" hidden="1">
      <c r="A40" s="395"/>
      <c r="B40" s="76"/>
      <c r="C40" s="81"/>
      <c r="D40" s="78"/>
      <c r="E40" s="79"/>
      <c r="F40" s="79"/>
      <c r="G40" s="81"/>
      <c r="H40" s="82"/>
      <c r="I40" s="185"/>
      <c r="J40" s="81"/>
      <c r="K40" s="89"/>
      <c r="L40" s="89"/>
      <c r="M40" s="89"/>
      <c r="N40" s="89"/>
      <c r="O40" s="81"/>
      <c r="P40" s="84"/>
      <c r="Q40" s="81"/>
      <c r="R40" s="123"/>
      <c r="S40" s="81"/>
      <c r="T40" s="81"/>
    </row>
    <row r="41" hidden="1">
      <c r="A41" s="75" t="s">
        <v>43</v>
      </c>
      <c r="B41" s="76">
        <v>795.0</v>
      </c>
      <c r="C41" s="122">
        <v>14.0</v>
      </c>
      <c r="D41" s="78">
        <v>2.8</v>
      </c>
      <c r="E41" s="79">
        <v>85.0</v>
      </c>
      <c r="F41" s="80">
        <v>131.0</v>
      </c>
      <c r="G41" s="81" t="s">
        <v>30</v>
      </c>
      <c r="H41" s="82" t="s">
        <v>25</v>
      </c>
      <c r="I41" s="81">
        <v>0.14</v>
      </c>
      <c r="J41" s="87">
        <v>1399.0</v>
      </c>
      <c r="K41" s="88" t="str">
        <f>HYPERLINK("https://amzn.to/2zt8rMC","link*")</f>
        <v>link*</v>
      </c>
      <c r="L41" s="88" t="str">
        <f>HYPERLINK("https://www.bhphotovideo.com/c/product/1492972-REG/sigma_213965_14_24mm_f_2_8_dg_dn.html/BI/19619/KBID/12129/DFF/d10-v21-t1-x976041/SID/EZ","link*")</f>
        <v>link*</v>
      </c>
      <c r="M41" s="89" t="s">
        <v>33</v>
      </c>
      <c r="N41"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41" s="83">
        <v>28.0</v>
      </c>
      <c r="P41" s="84" t="s">
        <v>26</v>
      </c>
      <c r="Q41" s="81">
        <v>11.0</v>
      </c>
      <c r="R41" s="85" t="s">
        <v>44</v>
      </c>
      <c r="S41" s="81" t="s">
        <v>41</v>
      </c>
      <c r="T41" s="86">
        <v>43739.0</v>
      </c>
      <c r="U41" s="68" t="s">
        <v>37</v>
      </c>
    </row>
    <row r="42" hidden="1">
      <c r="A42" s="137"/>
      <c r="B42" s="76"/>
      <c r="C42" s="81"/>
      <c r="D42" s="78"/>
      <c r="E42" s="79"/>
      <c r="F42" s="79"/>
      <c r="G42" s="81"/>
      <c r="H42" s="82"/>
      <c r="I42" s="81"/>
      <c r="J42" s="81"/>
      <c r="K42" s="89"/>
      <c r="L42" s="89"/>
      <c r="M42" s="89"/>
      <c r="N42" s="89"/>
      <c r="O42" s="81"/>
      <c r="P42" s="84"/>
      <c r="Q42" s="81"/>
      <c r="R42" s="123"/>
      <c r="S42" s="81"/>
      <c r="T42" s="81"/>
    </row>
    <row r="43" hidden="1">
      <c r="A43" s="395"/>
      <c r="B43" s="76"/>
      <c r="C43" s="81"/>
      <c r="D43" s="78"/>
      <c r="E43" s="79"/>
      <c r="F43" s="79"/>
      <c r="G43" s="81"/>
      <c r="H43" s="82"/>
      <c r="I43" s="81"/>
      <c r="J43" s="645"/>
      <c r="K43" s="89"/>
      <c r="L43" s="89"/>
      <c r="M43" s="89"/>
      <c r="N43" s="89"/>
      <c r="O43" s="81"/>
      <c r="P43" s="84"/>
      <c r="Q43" s="81"/>
      <c r="R43" s="123"/>
      <c r="S43" s="81"/>
      <c r="T43" s="81"/>
    </row>
    <row r="44" hidden="1">
      <c r="A44" s="395"/>
      <c r="B44" s="76"/>
      <c r="C44" s="81"/>
      <c r="D44" s="392"/>
      <c r="E44" s="79"/>
      <c r="F44" s="79"/>
      <c r="G44" s="400"/>
      <c r="H44" s="82"/>
      <c r="I44" s="81"/>
      <c r="J44" s="81"/>
      <c r="K44" s="89"/>
      <c r="L44" s="89"/>
      <c r="M44" s="89"/>
      <c r="N44" s="89"/>
      <c r="O44" s="81"/>
      <c r="P44" s="84"/>
      <c r="Q44" s="81"/>
      <c r="R44" s="123"/>
      <c r="S44" s="81"/>
      <c r="T44" s="81"/>
    </row>
    <row r="45" hidden="1">
      <c r="A45" s="395"/>
      <c r="B45" s="76"/>
      <c r="C45" s="81"/>
      <c r="D45" s="78"/>
      <c r="E45" s="622"/>
      <c r="F45" s="622"/>
      <c r="G45" s="81"/>
      <c r="H45" s="198"/>
      <c r="I45" s="81"/>
      <c r="J45" s="81"/>
      <c r="K45" s="89"/>
      <c r="L45" s="89"/>
      <c r="M45" s="89"/>
      <c r="N45" s="89"/>
      <c r="O45" s="81"/>
      <c r="P45" s="84"/>
      <c r="Q45" s="81"/>
      <c r="R45" s="123"/>
      <c r="S45" s="81"/>
      <c r="T45" s="346"/>
    </row>
    <row r="46" hidden="1">
      <c r="A46" s="75" t="s">
        <v>45</v>
      </c>
      <c r="B46" s="76">
        <v>505.0</v>
      </c>
      <c r="C46" s="122">
        <v>14.0</v>
      </c>
      <c r="D46" s="78">
        <v>2.8</v>
      </c>
      <c r="E46" s="79">
        <v>86.0</v>
      </c>
      <c r="F46" s="122">
        <v>98.0</v>
      </c>
      <c r="G46" s="81" t="s">
        <v>30</v>
      </c>
      <c r="H46" s="82" t="s">
        <v>25</v>
      </c>
      <c r="I46" s="81">
        <v>0.12</v>
      </c>
      <c r="J46" s="87">
        <v>799.0</v>
      </c>
      <c r="K46" s="88" t="str">
        <f>HYPERLINK("https://amzn.to/2SX2HUi","link*")</f>
        <v>link*</v>
      </c>
      <c r="L46" s="88" t="str">
        <f>HYPERLINK("https://www.bhphotovideo.com/c/product/1352863-REG/samyang_syio14af_e_14mm_f_2_8_f_f_wide.html/BI/19619/KBID/12129/DFF/d10-v21-t1-x837928/SID/EZ","link*")</f>
        <v>link*</v>
      </c>
      <c r="M46" s="88" t="str">
        <f>HYPERLINK("https://amzn.to/31hwSIL","link*")</f>
        <v>link*</v>
      </c>
      <c r="N46"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46" s="83">
        <v>20.0</v>
      </c>
      <c r="P46" s="84" t="s">
        <v>26</v>
      </c>
      <c r="Q46" s="81">
        <v>7.0</v>
      </c>
      <c r="R46" s="123">
        <v>43752.0</v>
      </c>
      <c r="S46" s="81" t="s">
        <v>46</v>
      </c>
      <c r="T46" s="86">
        <v>43221.0</v>
      </c>
    </row>
    <row r="47" hidden="1">
      <c r="A47" s="402"/>
      <c r="B47" s="76"/>
      <c r="C47" s="81"/>
      <c r="D47" s="78"/>
      <c r="E47" s="79"/>
      <c r="F47" s="79"/>
      <c r="G47" s="81"/>
      <c r="H47" s="82"/>
      <c r="I47" s="81"/>
      <c r="J47" s="644"/>
      <c r="K47" s="89"/>
      <c r="L47" s="89"/>
      <c r="M47" s="89"/>
      <c r="N47" s="89"/>
      <c r="O47" s="81"/>
      <c r="P47" s="84"/>
      <c r="Q47" s="81"/>
      <c r="R47" s="123"/>
      <c r="S47" s="81"/>
      <c r="T47" s="346"/>
    </row>
    <row r="48" hidden="1">
      <c r="A48" s="398"/>
      <c r="B48" s="76"/>
      <c r="C48" s="81"/>
      <c r="D48" s="78"/>
      <c r="E48" s="79"/>
      <c r="F48" s="79"/>
      <c r="G48" s="81"/>
      <c r="H48" s="82"/>
      <c r="I48" s="140"/>
      <c r="J48" s="81"/>
      <c r="K48" s="89"/>
      <c r="L48" s="89"/>
      <c r="M48" s="89"/>
      <c r="N48" s="89"/>
      <c r="O48" s="81"/>
      <c r="P48" s="84"/>
      <c r="Q48" s="81"/>
      <c r="R48" s="123"/>
      <c r="S48" s="81"/>
      <c r="T48" s="346"/>
    </row>
    <row r="49" hidden="1">
      <c r="A49" s="137"/>
      <c r="B49" s="76"/>
      <c r="C49" s="81"/>
      <c r="D49" s="392"/>
      <c r="E49" s="79"/>
      <c r="F49" s="79"/>
      <c r="G49" s="400"/>
      <c r="H49" s="82"/>
      <c r="I49" s="346"/>
      <c r="J49" s="81"/>
      <c r="K49" s="89"/>
      <c r="L49" s="89"/>
      <c r="M49" s="89"/>
      <c r="N49" s="89"/>
      <c r="O49" s="81"/>
      <c r="P49" s="84"/>
      <c r="Q49" s="81"/>
      <c r="R49" s="123"/>
      <c r="S49" s="81"/>
      <c r="T49" s="81"/>
    </row>
    <row r="50" hidden="1">
      <c r="A50" s="395"/>
      <c r="B50" s="76"/>
      <c r="C50" s="81"/>
      <c r="D50" s="78"/>
      <c r="E50" s="79"/>
      <c r="F50" s="79"/>
      <c r="G50" s="81"/>
      <c r="H50" s="82"/>
      <c r="I50" s="81"/>
      <c r="J50" s="81"/>
      <c r="K50" s="89"/>
      <c r="L50" s="89"/>
      <c r="M50" s="89"/>
      <c r="N50" s="89"/>
      <c r="O50" s="81"/>
      <c r="P50" s="84"/>
      <c r="Q50" s="81"/>
      <c r="R50" s="123"/>
      <c r="S50" s="81"/>
      <c r="T50" s="346"/>
    </row>
    <row r="51" hidden="1">
      <c r="A51" s="395"/>
      <c r="B51" s="76"/>
      <c r="C51" s="81"/>
      <c r="D51" s="78"/>
      <c r="E51" s="79"/>
      <c r="F51" s="79"/>
      <c r="G51" s="81"/>
      <c r="H51" s="82"/>
      <c r="I51" s="81"/>
      <c r="J51" s="81"/>
      <c r="K51" s="89"/>
      <c r="L51" s="89"/>
      <c r="M51" s="89"/>
      <c r="N51" s="89"/>
      <c r="O51" s="81"/>
      <c r="P51" s="84"/>
      <c r="Q51" s="81"/>
      <c r="R51" s="403"/>
      <c r="S51" s="81"/>
      <c r="T51" s="346"/>
    </row>
    <row r="52" hidden="1">
      <c r="A52" s="395"/>
      <c r="B52" s="76"/>
      <c r="C52" s="81"/>
      <c r="D52" s="78"/>
      <c r="E52" s="79"/>
      <c r="F52" s="79"/>
      <c r="G52" s="81"/>
      <c r="H52" s="82"/>
      <c r="I52" s="81"/>
      <c r="J52" s="81"/>
      <c r="K52" s="89"/>
      <c r="L52" s="89"/>
      <c r="M52" s="89"/>
      <c r="N52" s="89"/>
      <c r="O52" s="81"/>
      <c r="P52" s="84"/>
      <c r="Q52" s="81"/>
      <c r="R52" s="123"/>
      <c r="S52" s="81"/>
      <c r="T52" s="346"/>
    </row>
    <row r="53" hidden="1">
      <c r="A53" s="137"/>
      <c r="B53" s="76"/>
      <c r="C53" s="81"/>
      <c r="D53" s="78"/>
      <c r="E53" s="79"/>
      <c r="F53" s="79"/>
      <c r="G53" s="81"/>
      <c r="H53" s="82"/>
      <c r="I53" s="81"/>
      <c r="J53" s="643"/>
      <c r="K53" s="89"/>
      <c r="L53" s="89"/>
      <c r="M53" s="89"/>
      <c r="N53" s="89"/>
      <c r="O53" s="81"/>
      <c r="P53" s="84"/>
      <c r="Q53" s="81"/>
      <c r="R53" s="123"/>
      <c r="S53" s="81"/>
      <c r="T53" s="81"/>
    </row>
    <row r="54" hidden="1">
      <c r="A54" s="131" t="str">
        <f>HYPERLINK("https://phillipreeve.net/blog/review-voigtlander-15mm-4-5-e-super-wide-heliar/","Voigtlander 15mm F4.5 Super Wide Heliar")</f>
        <v>Voigtlander 15mm F4.5 Super Wide Heliar</v>
      </c>
      <c r="B54" s="76">
        <v>298.0</v>
      </c>
      <c r="C54" s="122">
        <v>15.0</v>
      </c>
      <c r="D54" s="78">
        <v>4.5</v>
      </c>
      <c r="E54" s="391">
        <v>67.0</v>
      </c>
      <c r="F54" s="389">
        <v>62.0</v>
      </c>
      <c r="G54" s="84" t="s">
        <v>24</v>
      </c>
      <c r="H54" s="82" t="s">
        <v>47</v>
      </c>
      <c r="I54" s="81">
        <v>0.083</v>
      </c>
      <c r="J54" s="87">
        <v>799.0</v>
      </c>
      <c r="K54" s="88" t="str">
        <f>HYPERLINK("https://amzn.to/2YwplrQ","link*")</f>
        <v>link*</v>
      </c>
      <c r="L54" s="88" t="str">
        <f>HYPERLINK("https://www.bhphotovideo.com/c/product/1219549-REG/voigtlander_ba329b_super_wide_heliar_15mm_f_4_5.html/BI/19619/KBID/12129/DFF/d10-v21-t1-x618202/SID/EZ","link*")</f>
        <v>link*</v>
      </c>
      <c r="M54" s="88" t="str">
        <f>HYPERLINK("https://amzn.to/2ZpTKt5","link*")</f>
        <v>link*</v>
      </c>
      <c r="N54"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54" s="83">
        <v>30.0</v>
      </c>
      <c r="P54" s="84" t="s">
        <v>26</v>
      </c>
      <c r="Q54" s="81">
        <v>10.0</v>
      </c>
      <c r="R54" s="128" t="s">
        <v>38</v>
      </c>
      <c r="S54" s="81" t="s">
        <v>28</v>
      </c>
      <c r="T54" s="86">
        <v>42401.0</v>
      </c>
    </row>
    <row r="55" hidden="1">
      <c r="A55" s="137"/>
      <c r="B55" s="76"/>
      <c r="C55" s="81"/>
      <c r="D55" s="78"/>
      <c r="E55" s="79"/>
      <c r="F55" s="79"/>
      <c r="G55" s="81"/>
      <c r="H55" s="82"/>
      <c r="I55" s="259"/>
      <c r="J55" s="644"/>
      <c r="K55" s="89"/>
      <c r="L55" s="89"/>
      <c r="M55" s="89"/>
      <c r="N55" s="89"/>
      <c r="O55" s="81"/>
      <c r="P55" s="84"/>
      <c r="Q55" s="81"/>
      <c r="R55" s="123"/>
      <c r="S55" s="81"/>
      <c r="T55" s="81"/>
    </row>
    <row r="56" hidden="1">
      <c r="A56" s="137"/>
      <c r="B56" s="76"/>
      <c r="C56" s="81"/>
      <c r="D56" s="78"/>
      <c r="E56" s="79"/>
      <c r="F56" s="79"/>
      <c r="G56" s="81"/>
      <c r="H56" s="82"/>
      <c r="I56" s="81"/>
      <c r="J56" s="81"/>
      <c r="K56" s="89"/>
      <c r="L56" s="89"/>
      <c r="M56" s="89"/>
      <c r="N56" s="89"/>
      <c r="O56" s="81"/>
      <c r="P56" s="84"/>
      <c r="Q56" s="81"/>
      <c r="R56" s="123"/>
      <c r="S56" s="81"/>
      <c r="T56" s="81"/>
    </row>
    <row r="57" hidden="1">
      <c r="A57" s="137"/>
      <c r="B57" s="76"/>
      <c r="C57" s="81"/>
      <c r="D57" s="78"/>
      <c r="E57" s="79"/>
      <c r="F57" s="79"/>
      <c r="G57" s="400"/>
      <c r="H57" s="82"/>
      <c r="I57" s="393"/>
      <c r="J57" s="81"/>
      <c r="K57" s="89"/>
      <c r="L57" s="89"/>
      <c r="M57" s="89"/>
      <c r="N57" s="89"/>
      <c r="O57" s="81"/>
      <c r="P57" s="84"/>
      <c r="Q57" s="81"/>
      <c r="R57" s="123"/>
      <c r="S57" s="81"/>
    </row>
    <row r="58" hidden="1">
      <c r="A58" s="395"/>
      <c r="B58" s="76"/>
      <c r="C58" s="81"/>
      <c r="D58" s="78"/>
      <c r="E58" s="79"/>
      <c r="F58" s="79"/>
      <c r="G58" s="81"/>
      <c r="H58" s="82"/>
      <c r="I58" s="259"/>
      <c r="J58" s="645"/>
      <c r="K58" s="89"/>
      <c r="L58" s="89"/>
      <c r="M58" s="89"/>
      <c r="N58" s="89"/>
      <c r="O58" s="81"/>
      <c r="P58" s="84"/>
      <c r="Q58" s="81"/>
      <c r="R58" s="123"/>
      <c r="S58" s="81"/>
      <c r="T58" s="346"/>
    </row>
    <row r="59" hidden="1">
      <c r="A59" s="395"/>
      <c r="B59" s="76"/>
      <c r="C59" s="81"/>
      <c r="D59" s="78"/>
      <c r="E59" s="79"/>
      <c r="F59" s="79"/>
      <c r="G59" s="81"/>
      <c r="H59" s="82"/>
      <c r="I59" s="185"/>
      <c r="J59" s="81"/>
      <c r="K59" s="89"/>
      <c r="L59" s="89"/>
      <c r="M59" s="89"/>
      <c r="N59" s="89"/>
      <c r="O59" s="81"/>
      <c r="P59" s="154"/>
      <c r="Q59" s="81"/>
      <c r="R59" s="85"/>
      <c r="S59" s="81"/>
      <c r="T59" s="81"/>
    </row>
    <row r="60" hidden="1">
      <c r="A60" s="395"/>
      <c r="B60" s="76"/>
      <c r="C60" s="81"/>
      <c r="D60" s="78"/>
      <c r="E60" s="79"/>
      <c r="F60" s="79"/>
      <c r="G60" s="81"/>
      <c r="H60" s="82"/>
      <c r="I60" s="140"/>
      <c r="J60" s="81"/>
      <c r="K60" s="89"/>
      <c r="L60" s="89"/>
      <c r="M60" s="89"/>
      <c r="N60" s="89"/>
      <c r="O60" s="81"/>
      <c r="P60" s="154"/>
      <c r="Q60" s="81"/>
      <c r="R60" s="403"/>
      <c r="S60" s="81"/>
      <c r="T60" s="81"/>
    </row>
    <row r="61" hidden="1">
      <c r="A61" s="137"/>
      <c r="B61" s="76"/>
      <c r="C61" s="81"/>
      <c r="D61" s="78"/>
      <c r="E61" s="79"/>
      <c r="F61" s="79"/>
      <c r="G61" s="81"/>
      <c r="H61" s="82"/>
      <c r="I61" s="346"/>
      <c r="J61" s="81"/>
      <c r="K61" s="89"/>
      <c r="L61" s="89"/>
      <c r="M61" s="89"/>
      <c r="N61" s="89"/>
      <c r="O61" s="81"/>
      <c r="P61" s="154"/>
      <c r="Q61" s="81"/>
      <c r="R61" s="85"/>
      <c r="S61" s="81"/>
      <c r="T61" s="81"/>
    </row>
    <row r="62" hidden="1">
      <c r="A62" s="137"/>
      <c r="B62" s="76"/>
      <c r="C62" s="81"/>
      <c r="D62" s="78"/>
      <c r="E62" s="79"/>
      <c r="F62" s="79"/>
      <c r="G62" s="81"/>
      <c r="H62" s="82"/>
      <c r="I62" s="81"/>
      <c r="J62" s="81"/>
      <c r="K62" s="89"/>
      <c r="L62" s="89"/>
      <c r="M62" s="89"/>
      <c r="N62" s="89"/>
      <c r="O62" s="81"/>
      <c r="P62" s="84"/>
      <c r="Q62" s="81"/>
      <c r="R62" s="123"/>
      <c r="S62" s="81"/>
      <c r="T62" s="81"/>
    </row>
    <row r="63" hidden="1">
      <c r="A63" s="395"/>
      <c r="B63" s="76"/>
      <c r="C63" s="81"/>
      <c r="D63" s="78"/>
      <c r="E63" s="79"/>
      <c r="F63" s="79"/>
      <c r="G63" s="81"/>
      <c r="H63" s="232"/>
      <c r="I63" s="81"/>
      <c r="J63" s="81"/>
      <c r="K63" s="89"/>
      <c r="L63" s="89"/>
      <c r="M63" s="89"/>
      <c r="N63" s="89"/>
      <c r="O63" s="81"/>
      <c r="P63" s="84"/>
      <c r="Q63" s="81"/>
      <c r="R63" s="403"/>
      <c r="S63" s="81"/>
      <c r="T63" s="346"/>
    </row>
    <row r="64" hidden="1">
      <c r="A64" s="395"/>
      <c r="B64" s="76"/>
      <c r="C64" s="81"/>
      <c r="D64" s="78"/>
      <c r="E64" s="79"/>
      <c r="F64" s="79"/>
      <c r="G64" s="81"/>
      <c r="H64" s="82"/>
      <c r="I64" s="81"/>
      <c r="J64" s="643"/>
      <c r="K64" s="89"/>
      <c r="L64" s="89"/>
      <c r="M64" s="89"/>
      <c r="N64" s="89"/>
      <c r="O64" s="81"/>
      <c r="P64" s="84"/>
      <c r="Q64" s="81"/>
      <c r="R64" s="123"/>
      <c r="S64" s="81"/>
      <c r="T64" s="346"/>
    </row>
    <row r="65" hidden="1">
      <c r="A65" s="137"/>
      <c r="B65" s="76"/>
      <c r="C65" s="81"/>
      <c r="D65" s="78"/>
      <c r="E65" s="79"/>
      <c r="F65" s="79"/>
      <c r="G65" s="81"/>
      <c r="H65" s="82"/>
      <c r="I65" s="81"/>
      <c r="J65" s="643"/>
      <c r="K65" s="89"/>
      <c r="L65" s="89"/>
      <c r="M65" s="89"/>
      <c r="N65" s="89"/>
      <c r="O65" s="81"/>
      <c r="P65" s="84"/>
      <c r="Q65" s="81"/>
      <c r="R65" s="123"/>
      <c r="S65" s="81"/>
      <c r="T65" s="81"/>
    </row>
    <row r="66" hidden="1">
      <c r="A66" s="131" t="str">
        <f>HYPERLINK("https://phillipreeve.net/blog/sony-fe-16-35mm-f4-za-t-review/","Sony ZA 4/16-35 OSS ")</f>
        <v>Sony ZA 4/16-35 OSS </v>
      </c>
      <c r="B66" s="76">
        <v>523.0</v>
      </c>
      <c r="C66" s="122">
        <v>16.0</v>
      </c>
      <c r="D66" s="78">
        <v>4.0</v>
      </c>
      <c r="E66" s="79">
        <v>78.0</v>
      </c>
      <c r="F66" s="122">
        <v>98.0</v>
      </c>
      <c r="G66" s="84" t="s">
        <v>30</v>
      </c>
      <c r="H66" s="82" t="s">
        <v>48</v>
      </c>
      <c r="I66" s="81">
        <v>0.19</v>
      </c>
      <c r="J66" s="87">
        <v>1349.0</v>
      </c>
      <c r="K66" s="88" t="str">
        <f>HYPERLINK("http://amzn.to/2v2sY7q","link*")</f>
        <v>link*</v>
      </c>
      <c r="L66" s="88" t="str">
        <f>HYPERLINK("https://www.bhphotovideo.com/c/product/1380866-REG/sony_16_35mm_f_4_vario_tsr.html/BI/19619/KBID/12129/kw/SO16354F/DFF/d10-v2-t1-xSO16354F","link*")</f>
        <v>link*</v>
      </c>
      <c r="M66" s="88" t="str">
        <f>HYPERLINK("http://amzn.to/2wyMLuP","link*")</f>
        <v>link*</v>
      </c>
      <c r="N66"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66" s="83">
        <v>28.0</v>
      </c>
      <c r="P66" s="154" t="s">
        <v>49</v>
      </c>
      <c r="Q66" s="81">
        <v>7.0</v>
      </c>
      <c r="R66" s="128" t="s">
        <v>38</v>
      </c>
      <c r="S66" s="81" t="s">
        <v>32</v>
      </c>
      <c r="T66" s="86">
        <v>41883.0</v>
      </c>
    </row>
    <row r="67" hidden="1">
      <c r="A67" s="395"/>
      <c r="B67" s="76"/>
      <c r="C67" s="81"/>
      <c r="D67" s="78"/>
      <c r="E67" s="622"/>
      <c r="F67" s="622"/>
      <c r="G67" s="400"/>
      <c r="H67" s="82"/>
      <c r="I67" s="81"/>
      <c r="J67" s="81"/>
      <c r="K67" s="89"/>
      <c r="L67" s="89"/>
      <c r="M67" s="89"/>
      <c r="N67" s="89"/>
      <c r="O67" s="81"/>
      <c r="P67" s="84"/>
      <c r="Q67" s="81"/>
      <c r="R67" s="123"/>
      <c r="S67" s="81"/>
      <c r="T67" s="346"/>
    </row>
    <row r="68" hidden="1">
      <c r="A68" s="395"/>
      <c r="B68" s="76"/>
      <c r="C68" s="81"/>
      <c r="D68" s="78"/>
      <c r="E68" s="622"/>
      <c r="F68" s="622"/>
      <c r="G68" s="81"/>
      <c r="H68" s="82"/>
      <c r="I68" s="81"/>
      <c r="J68" s="81"/>
      <c r="K68" s="89"/>
      <c r="L68" s="89"/>
      <c r="M68" s="89"/>
      <c r="N68" s="89"/>
      <c r="O68" s="81"/>
      <c r="P68" s="84"/>
      <c r="Q68" s="81"/>
      <c r="R68" s="123"/>
      <c r="S68" s="81"/>
      <c r="T68" s="346"/>
    </row>
    <row r="69" hidden="1">
      <c r="A69" s="75" t="s">
        <v>50</v>
      </c>
      <c r="B69" s="76">
        <v>680.0</v>
      </c>
      <c r="C69" s="122">
        <v>16.0</v>
      </c>
      <c r="D69" s="78">
        <v>2.8</v>
      </c>
      <c r="E69" s="79">
        <v>89.0</v>
      </c>
      <c r="F69" s="122">
        <v>122.0</v>
      </c>
      <c r="G69" s="84" t="s">
        <v>30</v>
      </c>
      <c r="H69" s="82" t="s">
        <v>51</v>
      </c>
      <c r="I69" s="81">
        <v>0.19</v>
      </c>
      <c r="J69" s="87">
        <v>2199.0</v>
      </c>
      <c r="K69" s="88" t="str">
        <f>HYPERLINK("https://amzn.to/2SR0IRl","link*")</f>
        <v>link*</v>
      </c>
      <c r="L69" s="88" t="str">
        <f>HYPERLINK("https://www.bhphotovideo.com/c/product/1338516-REG/sony_sel1635gm_fe_16_35mm_f_2_8_gm.html/BI/19619/KBID/12129/DFF/d10-v21-t1-x822837/SID/EZ","link*")</f>
        <v>link*</v>
      </c>
      <c r="M69" s="88" t="str">
        <f>HYPERLINK("https://amzn.to/2T1ZxOU","link*")</f>
        <v>link*</v>
      </c>
      <c r="N69"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69" s="83">
        <v>28.0</v>
      </c>
      <c r="P69" s="84" t="s">
        <v>26</v>
      </c>
      <c r="Q69" s="81">
        <v>11.0</v>
      </c>
      <c r="R69" s="128" t="s">
        <v>52</v>
      </c>
      <c r="S69" s="81" t="s">
        <v>32</v>
      </c>
      <c r="T69" s="86">
        <v>42856.0</v>
      </c>
    </row>
    <row r="70" hidden="1">
      <c r="A70" s="137"/>
      <c r="B70" s="76"/>
      <c r="C70" s="81"/>
      <c r="D70" s="78"/>
      <c r="E70" s="79"/>
      <c r="F70" s="79"/>
      <c r="G70" s="81"/>
      <c r="H70" s="82"/>
      <c r="I70" s="259"/>
      <c r="J70" s="81"/>
      <c r="K70" s="89"/>
      <c r="L70" s="89"/>
      <c r="M70" s="89"/>
      <c r="N70" s="89"/>
      <c r="O70" s="81"/>
      <c r="P70" s="154"/>
      <c r="Q70" s="81"/>
      <c r="R70" s="123"/>
      <c r="S70" s="81"/>
      <c r="T70" s="81"/>
    </row>
    <row r="71" hidden="1">
      <c r="A71" s="395"/>
      <c r="B71" s="76"/>
      <c r="C71" s="81"/>
      <c r="D71" s="78"/>
      <c r="E71" s="79"/>
      <c r="F71" s="79"/>
      <c r="G71" s="81"/>
      <c r="H71" s="82"/>
      <c r="I71" s="185"/>
      <c r="J71" s="81"/>
      <c r="K71" s="89"/>
      <c r="L71" s="89"/>
      <c r="M71" s="89"/>
      <c r="N71" s="89"/>
      <c r="O71" s="81"/>
      <c r="P71" s="154"/>
      <c r="Q71" s="81"/>
      <c r="R71" s="123"/>
      <c r="S71" s="81"/>
      <c r="T71" s="81"/>
    </row>
    <row r="72" hidden="1">
      <c r="A72" s="395"/>
      <c r="B72" s="76"/>
      <c r="C72" s="81"/>
      <c r="D72" s="78"/>
      <c r="E72" s="79"/>
      <c r="F72" s="79"/>
      <c r="G72" s="81"/>
      <c r="H72" s="82"/>
      <c r="I72" s="259"/>
      <c r="J72" s="644"/>
      <c r="K72" s="89"/>
      <c r="L72" s="89"/>
      <c r="M72" s="89"/>
      <c r="N72" s="89"/>
      <c r="O72" s="81"/>
      <c r="P72" s="84"/>
      <c r="Q72" s="81"/>
      <c r="R72" s="123"/>
      <c r="S72" s="81"/>
      <c r="T72" s="81"/>
    </row>
    <row r="73" hidden="1">
      <c r="A73" s="395"/>
      <c r="B73" s="76"/>
      <c r="C73" s="81"/>
      <c r="D73" s="78"/>
      <c r="E73" s="79"/>
      <c r="F73" s="79"/>
      <c r="G73" s="81"/>
      <c r="H73" s="82"/>
      <c r="I73" s="185"/>
      <c r="J73" s="81"/>
      <c r="K73" s="89"/>
      <c r="L73" s="89"/>
      <c r="M73" s="89"/>
      <c r="N73" s="89"/>
      <c r="O73" s="81"/>
      <c r="P73" s="154"/>
      <c r="Q73" s="81"/>
      <c r="R73" s="85"/>
      <c r="S73" s="81"/>
      <c r="T73" s="81"/>
    </row>
    <row r="74" hidden="1" customHeight="1">
      <c r="A74" s="395"/>
      <c r="B74" s="76"/>
      <c r="C74" s="81"/>
      <c r="D74" s="78"/>
      <c r="E74" s="79"/>
      <c r="F74" s="79"/>
      <c r="G74" s="81"/>
      <c r="H74" s="384"/>
      <c r="I74" s="81"/>
      <c r="J74" s="81"/>
      <c r="K74" s="89"/>
      <c r="L74" s="89"/>
      <c r="M74" s="89"/>
      <c r="N74" s="89"/>
      <c r="O74" s="81"/>
      <c r="P74" s="84"/>
      <c r="Q74" s="81"/>
      <c r="R74" s="123"/>
      <c r="S74" s="81"/>
      <c r="T74" s="346"/>
    </row>
    <row r="75" hidden="1">
      <c r="A75" s="395"/>
      <c r="B75" s="76"/>
      <c r="C75" s="81"/>
      <c r="D75" s="78"/>
      <c r="E75" s="79"/>
      <c r="F75" s="79"/>
      <c r="G75" s="400"/>
      <c r="H75" s="82"/>
      <c r="I75" s="259"/>
      <c r="J75" s="81"/>
      <c r="K75" s="89"/>
      <c r="L75" s="89"/>
      <c r="M75" s="89"/>
      <c r="N75" s="89"/>
      <c r="O75" s="81"/>
      <c r="P75" s="84"/>
      <c r="Q75" s="81"/>
      <c r="R75" s="123"/>
      <c r="S75" s="81"/>
      <c r="T75" s="81"/>
    </row>
    <row r="76" hidden="1">
      <c r="A76" s="137"/>
      <c r="B76" s="76"/>
      <c r="C76" s="81"/>
      <c r="D76" s="78"/>
      <c r="E76" s="79"/>
      <c r="F76" s="79"/>
      <c r="G76" s="81"/>
      <c r="H76" s="270"/>
      <c r="I76" s="185"/>
      <c r="J76" s="81"/>
      <c r="K76" s="89"/>
      <c r="L76" s="89"/>
      <c r="M76" s="89"/>
      <c r="N76" s="89"/>
      <c r="O76" s="81"/>
      <c r="P76" s="84"/>
      <c r="Q76" s="81"/>
      <c r="R76" s="123"/>
      <c r="S76" s="81"/>
      <c r="T76" s="346"/>
    </row>
    <row r="77" hidden="1">
      <c r="A77" s="395"/>
      <c r="B77" s="76"/>
      <c r="C77" s="81"/>
      <c r="D77" s="78"/>
      <c r="E77" s="79"/>
      <c r="F77" s="79"/>
      <c r="G77" s="81"/>
      <c r="H77" s="270"/>
      <c r="I77" s="81"/>
      <c r="J77" s="644"/>
      <c r="K77" s="89"/>
      <c r="L77" s="89"/>
      <c r="M77" s="89"/>
      <c r="N77" s="89"/>
      <c r="O77" s="81"/>
      <c r="P77" s="84"/>
      <c r="Q77" s="81"/>
      <c r="R77" s="123"/>
      <c r="S77" s="81"/>
      <c r="T77" s="346"/>
    </row>
    <row r="78" hidden="1">
      <c r="A78" s="131" t="str">
        <f>HYPERLINK("https://phillipreeve.net/blog/review-tamron-17-28mm-f-2-8-di-iii-rxd/","Tamron 17-28mm f/2.8 Di III RXD")</f>
        <v>Tamron 17-28mm f/2.8 Di III RXD</v>
      </c>
      <c r="B78" s="76">
        <v>420.0</v>
      </c>
      <c r="C78" s="122">
        <v>17.0</v>
      </c>
      <c r="D78" s="78">
        <v>2.8</v>
      </c>
      <c r="E78" s="379">
        <v>73.0</v>
      </c>
      <c r="F78" s="122">
        <v>99.0</v>
      </c>
      <c r="G78" s="84" t="s">
        <v>30</v>
      </c>
      <c r="H78" s="82" t="s">
        <v>53</v>
      </c>
      <c r="I78" s="81">
        <v>0.19</v>
      </c>
      <c r="J78" s="153">
        <v>899.0</v>
      </c>
      <c r="K78" s="88" t="str">
        <f>HYPERLINK("https://amzn.to/2Hv3AyB","link*")</f>
        <v>link*</v>
      </c>
      <c r="L78" s="88" t="str">
        <f>HYPERLINK("https://www.bhphotovideo.com/c/product/1461529-REG/tamron_a046_17_28mm_f_2_8_di_iii.html/BI/19619/KBID/12129/DFF/d10-v21-t1-x946694/SID/EZ","link*")</f>
        <v>link*</v>
      </c>
      <c r="M78" s="88" t="str">
        <f>HYPERLINK("https://amzn.to/2YkrkQB","link*")</f>
        <v>link*</v>
      </c>
      <c r="N78"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78" s="83">
        <v>19.0</v>
      </c>
      <c r="P78" s="84" t="s">
        <v>26</v>
      </c>
      <c r="Q78" s="81">
        <v>9.0</v>
      </c>
      <c r="R78" s="128" t="s">
        <v>54</v>
      </c>
      <c r="S78" s="81" t="s">
        <v>55</v>
      </c>
      <c r="T78" s="86">
        <v>43647.0</v>
      </c>
    </row>
    <row r="79" hidden="1">
      <c r="A79" s="402"/>
      <c r="B79" s="76"/>
      <c r="C79" s="81"/>
      <c r="D79" s="78"/>
      <c r="E79" s="79"/>
      <c r="F79" s="79"/>
      <c r="G79" s="81"/>
      <c r="H79" s="198"/>
      <c r="I79" s="393"/>
      <c r="J79" s="81"/>
      <c r="K79" s="89"/>
      <c r="L79" s="89"/>
      <c r="M79" s="89"/>
      <c r="N79" s="89"/>
      <c r="O79" s="81"/>
      <c r="P79" s="154"/>
      <c r="Q79" s="81"/>
      <c r="R79" s="85"/>
      <c r="S79" s="81"/>
      <c r="T79" s="81"/>
    </row>
    <row r="80" hidden="1">
      <c r="A80" s="395"/>
      <c r="B80" s="76"/>
      <c r="C80" s="81"/>
      <c r="D80" s="78"/>
      <c r="E80" s="79"/>
      <c r="F80" s="79"/>
      <c r="G80" s="81"/>
      <c r="H80" s="82"/>
      <c r="I80" s="393"/>
      <c r="J80" s="81"/>
      <c r="K80" s="89"/>
      <c r="L80" s="89"/>
      <c r="M80" s="89"/>
      <c r="N80" s="89"/>
      <c r="O80" s="81"/>
      <c r="P80" s="154"/>
      <c r="Q80" s="81"/>
      <c r="R80" s="85"/>
      <c r="S80" s="81"/>
      <c r="T80" s="81"/>
    </row>
    <row r="81" hidden="1">
      <c r="A81" s="450"/>
      <c r="B81" s="213"/>
      <c r="C81" s="218"/>
      <c r="D81" s="215"/>
      <c r="E81" s="627"/>
      <c r="F81" s="627"/>
      <c r="G81" s="218"/>
      <c r="H81" s="219"/>
      <c r="I81" s="218"/>
      <c r="J81" s="218"/>
      <c r="K81" s="89"/>
      <c r="L81" s="89"/>
      <c r="M81" s="89"/>
      <c r="N81" s="89"/>
      <c r="O81" s="218"/>
      <c r="P81" s="154"/>
      <c r="Q81" s="218"/>
      <c r="R81" s="262"/>
      <c r="S81" s="218"/>
      <c r="T81" s="218"/>
    </row>
    <row r="82">
      <c r="A82" s="131" t="str">
        <f>HYPERLINK("https://phillipreeve.net/blog/review-zeiss-batis-18mm-2-8/","Zeiss Batis 2.8/18")</f>
        <v>Zeiss Batis 2.8/18</v>
      </c>
      <c r="B82" s="76">
        <v>330.0</v>
      </c>
      <c r="C82" s="122">
        <v>18.0</v>
      </c>
      <c r="D82" s="78">
        <v>2.8</v>
      </c>
      <c r="E82" s="79">
        <v>100.0</v>
      </c>
      <c r="F82" s="122">
        <v>80.0</v>
      </c>
      <c r="G82" s="84" t="s">
        <v>30</v>
      </c>
      <c r="H82" s="82" t="s">
        <v>56</v>
      </c>
      <c r="I82" s="81">
        <v>0.1</v>
      </c>
      <c r="J82" s="87">
        <v>1499.0</v>
      </c>
      <c r="K82" s="88" t="str">
        <f>HYPERLINK("https://amzn.to/2SRFBhL","link*")</f>
        <v>link*</v>
      </c>
      <c r="L82" s="88" t="str">
        <f>HYPERLINK("https://www.bhphotovideo.com/c/product/1243591-REG/zeiss_2136_691_batis_18mm_f_2_8_lens.html/BI/19619/KBID/12129/DFF/d10-v21-t1-x727488/SID/EZ","link*")</f>
        <v>link*</v>
      </c>
      <c r="M82" s="88" t="str">
        <f>HYPERLINK("https://amzn.to/334PqNT","link*")</f>
        <v>link*</v>
      </c>
      <c r="N82"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82" s="83">
        <v>25.0</v>
      </c>
      <c r="P82" s="84" t="s">
        <v>26</v>
      </c>
      <c r="Q82" s="81">
        <v>9.0</v>
      </c>
      <c r="R82" s="128" t="s">
        <v>57</v>
      </c>
      <c r="S82" s="81" t="s">
        <v>58</v>
      </c>
      <c r="T82" s="86">
        <v>42491.0</v>
      </c>
    </row>
    <row r="83" hidden="1">
      <c r="A83" s="124" t="s">
        <v>59</v>
      </c>
      <c r="B83" s="76">
        <v>145.0</v>
      </c>
      <c r="C83" s="122">
        <v>18.0</v>
      </c>
      <c r="D83" s="78">
        <v>2.8</v>
      </c>
      <c r="E83" s="79">
        <v>63.5</v>
      </c>
      <c r="F83" s="122">
        <v>60.5</v>
      </c>
      <c r="G83" s="84" t="s">
        <v>30</v>
      </c>
      <c r="H83" s="82" t="s">
        <v>47</v>
      </c>
      <c r="I83" s="81">
        <v>0.09</v>
      </c>
      <c r="J83" s="87">
        <v>399.0</v>
      </c>
      <c r="K83" s="130"/>
      <c r="L83" s="88" t="str">
        <f>HYPERLINK("https://www.bhphotovideo.com/c/product/1503295-REG/samyang_syio18af_e_af_18mm_f_2_8_fe.html/BI/19619/KBID/12129/DFF/d10-v21-t1-x985623/SID/EZ","link*")</f>
        <v>link*</v>
      </c>
      <c r="M83" s="130"/>
      <c r="N83" s="130"/>
      <c r="O83" s="83">
        <v>25.0</v>
      </c>
      <c r="P83" s="84" t="s">
        <v>26</v>
      </c>
      <c r="Q83" s="81">
        <v>7.0</v>
      </c>
      <c r="R83" s="128" t="s">
        <v>60</v>
      </c>
      <c r="S83" s="81" t="s">
        <v>46</v>
      </c>
      <c r="T83" s="86">
        <v>43723.0</v>
      </c>
    </row>
    <row r="84" hidden="1">
      <c r="A84" s="75" t="s">
        <v>61</v>
      </c>
      <c r="B84" s="76">
        <v>950.0</v>
      </c>
      <c r="C84" s="122">
        <v>20.0</v>
      </c>
      <c r="D84" s="380">
        <v>1.4</v>
      </c>
      <c r="E84" s="79">
        <v>91.0</v>
      </c>
      <c r="F84" s="122">
        <v>130.0</v>
      </c>
      <c r="G84" s="81" t="s">
        <v>30</v>
      </c>
      <c r="H84" s="82" t="s">
        <v>25</v>
      </c>
      <c r="I84" s="81">
        <v>0.14</v>
      </c>
      <c r="J84" s="87">
        <v>899.0</v>
      </c>
      <c r="K84" s="88" t="str">
        <f>HYPERLINK("https://amzn.to/2K4J7nh","link*")</f>
        <v>link*</v>
      </c>
      <c r="L84" s="88" t="str">
        <f>HYPERLINK("https://amzn.to/31hxv55","link*")</f>
        <v>link*</v>
      </c>
      <c r="M84" s="88" t="str">
        <f>HYPERLINK("https://amzn.to/2Wy0d3F","link*")</f>
        <v>link*</v>
      </c>
      <c r="N84" s="88"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84" s="83">
        <v>28.0</v>
      </c>
      <c r="P84" s="84" t="s">
        <v>26</v>
      </c>
      <c r="Q84" s="81">
        <v>9.0</v>
      </c>
      <c r="R84" s="123">
        <v>43784.0</v>
      </c>
      <c r="S84" s="81" t="s">
        <v>41</v>
      </c>
      <c r="T84" s="86">
        <v>43221.0</v>
      </c>
      <c r="U84" s="68" t="s">
        <v>42</v>
      </c>
    </row>
    <row r="85" hidden="1">
      <c r="A85" s="75" t="s">
        <v>62</v>
      </c>
      <c r="B85" s="76">
        <v>775.0</v>
      </c>
      <c r="C85" s="122">
        <v>20.0</v>
      </c>
      <c r="D85" s="121">
        <v>1.8</v>
      </c>
      <c r="E85" s="79">
        <v>77.0</v>
      </c>
      <c r="F85" s="122">
        <v>102.0</v>
      </c>
      <c r="G85" s="81" t="s">
        <v>24</v>
      </c>
      <c r="H85" s="82" t="s">
        <v>51</v>
      </c>
      <c r="I85" s="81">
        <v>0.12</v>
      </c>
      <c r="J85" s="87">
        <v>486.0</v>
      </c>
      <c r="K85" s="88" t="str">
        <f>HYPERLINK("https://amzn.to/2LRRbJ5","link*")</f>
        <v>link*</v>
      </c>
      <c r="L85" s="88" t="str">
        <f>HYPERLINK("https://www.bhphotovideo.com/c/product/1469187-REG/viltrox_pfu_rbmh_20mm_f1_8_asph_e_mount_20mm_f_1_8_for_sony.html/BI/19619/KBID/12129/DFF/d10-v21-t1-x954299/SID/EZ","link*")</f>
        <v>link*</v>
      </c>
      <c r="M85" s="88" t="str">
        <f>HYPERLINK("https://amzn.to/2GL8iYV","link*")</f>
        <v>link*</v>
      </c>
      <c r="N85"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85" s="83">
        <v>25.0</v>
      </c>
      <c r="P85" s="84" t="s">
        <v>26</v>
      </c>
      <c r="Q85" s="81">
        <v>14.0</v>
      </c>
      <c r="R85" s="123">
        <v>43720.0</v>
      </c>
      <c r="S85" s="81" t="s">
        <v>63</v>
      </c>
      <c r="T85" s="86">
        <v>43586.0</v>
      </c>
    </row>
    <row r="86" hidden="1">
      <c r="A86" s="131" t="str">
        <f>HYPERLINK("https://phillipreeve.net/blog/tokina-firin-20mm-f2-fe-review-a-good-deal/","Tokina Firin 2/20")</f>
        <v>Tokina Firin 2/20</v>
      </c>
      <c r="B86" s="76">
        <v>492.0</v>
      </c>
      <c r="C86" s="122">
        <v>20.0</v>
      </c>
      <c r="D86" s="125">
        <v>2.0</v>
      </c>
      <c r="E86" s="132">
        <v>69.0</v>
      </c>
      <c r="F86" s="133">
        <v>82.0</v>
      </c>
      <c r="G86" s="84" t="s">
        <v>24</v>
      </c>
      <c r="H86" s="82" t="s">
        <v>66</v>
      </c>
      <c r="I86" s="81">
        <v>0.1</v>
      </c>
      <c r="J86" s="129">
        <v>799.0</v>
      </c>
      <c r="K86" s="88" t="str">
        <f>HYPERLINK("http://amzn.to/2vlG2Yq","link*")</f>
        <v>link*</v>
      </c>
      <c r="L86" s="88" t="str">
        <f>HYPERLINK("https://www.bhphotovideo.com/c/product/1281299-REG/tokina_firin_20mm_f_2_fe.html/BI/19619/KBID/12129/kw/TO202E/DFF/d10-v2-t1-xTO202E","link*")</f>
        <v>link*</v>
      </c>
      <c r="M86" s="88" t="str">
        <f>HYPERLINK("http://amzn.to/2vvtDkM","link*")</f>
        <v>link*</v>
      </c>
      <c r="N86"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86" s="83">
        <v>30.0</v>
      </c>
      <c r="P86" s="84" t="s">
        <v>26</v>
      </c>
      <c r="Q86" s="81">
        <v>9.0</v>
      </c>
      <c r="R86" s="128" t="s">
        <v>54</v>
      </c>
      <c r="S86" s="81" t="s">
        <v>67</v>
      </c>
      <c r="T86" s="86">
        <v>42856.0</v>
      </c>
    </row>
    <row r="87" hidden="1">
      <c r="A87" s="75" t="s">
        <v>68</v>
      </c>
      <c r="B87" s="76">
        <v>464.0</v>
      </c>
      <c r="C87" s="122">
        <v>20.0</v>
      </c>
      <c r="D87" s="125">
        <v>2.0</v>
      </c>
      <c r="E87" s="381">
        <v>73.0</v>
      </c>
      <c r="F87" s="151">
        <v>82.0</v>
      </c>
      <c r="G87" s="84" t="s">
        <v>30</v>
      </c>
      <c r="H87" s="82" t="s">
        <v>66</v>
      </c>
      <c r="I87" s="81">
        <v>0.1</v>
      </c>
      <c r="J87" s="87">
        <v>949.0</v>
      </c>
      <c r="K87" s="88" t="str">
        <f>HYPERLINK("https://amzn.to/2GDurZb","link*")</f>
        <v>link*</v>
      </c>
      <c r="L87" s="88" t="str">
        <f>HYPERLINK("https://www.bhphotovideo.com/c/product/1393327-REG/tokina_firin_20mm_f_2_fe.html/BI/19619/KBID/12129/DFF/d10-v21-t1-x880327/SID/EZ","link*")</f>
        <v>link*</v>
      </c>
      <c r="M87" s="88" t="str">
        <f>HYPERLINK("https://amzn.to/2GJYCxw","link*")</f>
        <v>link*</v>
      </c>
      <c r="N87"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87" s="83">
        <v>30.0</v>
      </c>
      <c r="P87" s="84" t="s">
        <v>26</v>
      </c>
      <c r="Q87" s="81">
        <v>9.0</v>
      </c>
      <c r="R87" s="128" t="s">
        <v>54</v>
      </c>
      <c r="S87" s="81" t="s">
        <v>67</v>
      </c>
      <c r="T87" s="86">
        <v>43221.0</v>
      </c>
    </row>
    <row r="88" hidden="1">
      <c r="A88" s="131" t="str">
        <f>HYPERLINK("https://phillipreeve.net/blog/review_voigtlander_21mm_f14_e/","Voigtlander 21mm F1.4 Nokton")</f>
        <v>Voigtlander 21mm F1.4 Nokton</v>
      </c>
      <c r="B88" s="76">
        <v>540.0</v>
      </c>
      <c r="C88" s="122">
        <v>21.0</v>
      </c>
      <c r="D88" s="149">
        <v>1.4</v>
      </c>
      <c r="E88" s="144">
        <v>70.0</v>
      </c>
      <c r="F88" s="145">
        <v>80.0</v>
      </c>
      <c r="G88" s="84" t="s">
        <v>24</v>
      </c>
      <c r="H88" s="82" t="s">
        <v>66</v>
      </c>
      <c r="I88" s="81"/>
      <c r="J88" s="87">
        <v>1199.0</v>
      </c>
      <c r="K88" s="88" t="str">
        <f>HYPERLINK("https://amzn.to/2K7gHrC","link*")</f>
        <v>link*</v>
      </c>
      <c r="L88" s="88" t="str">
        <f>HYPERLINK("https://www.bhphotovideo.com/c/product/1480269-REG/voigtlander_ba352a_nokton_21mm_f_1_4_aspherical.html/BI/19619/KBID/12129/DFF/d10-v21-t1-x963269/SID/EZ","link*")</f>
        <v>link*</v>
      </c>
      <c r="M88" s="89"/>
      <c r="N88"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88" s="83">
        <v>25.0</v>
      </c>
      <c r="P88" s="84" t="s">
        <v>26</v>
      </c>
      <c r="Q88" s="81">
        <v>12.0</v>
      </c>
      <c r="R88" s="128" t="s">
        <v>54</v>
      </c>
      <c r="S88" s="81" t="s">
        <v>28</v>
      </c>
      <c r="T88" s="86">
        <v>43617.0</v>
      </c>
    </row>
    <row r="89">
      <c r="A89" s="131" t="str">
        <f>HYPERLINK("https://phillipreeve.net/blog/rolling-review-zeiss-loxia-distagon-2-821mm-t/https://phillipreeve.net/blog/rolling-review-zeiss-loxia-distagon-2-821mm-t/","Zeiss Loxia 2.8/21 Distagon T*")</f>
        <v>Zeiss Loxia 2.8/21 Distagon T*</v>
      </c>
      <c r="B89" s="76">
        <v>394.0</v>
      </c>
      <c r="C89" s="122">
        <v>21.0</v>
      </c>
      <c r="D89" s="78">
        <v>2.8</v>
      </c>
      <c r="E89" s="144">
        <v>62.0</v>
      </c>
      <c r="F89" s="145">
        <v>72.0</v>
      </c>
      <c r="G89" s="84" t="s">
        <v>24</v>
      </c>
      <c r="H89" s="82" t="s">
        <v>71</v>
      </c>
      <c r="I89" s="81">
        <v>0.13</v>
      </c>
      <c r="J89" s="87">
        <v>1499.0</v>
      </c>
      <c r="K89" s="88" t="str">
        <f>HYPERLINK("https://amzn.to/2yspzBm","link*")</f>
        <v>link*</v>
      </c>
      <c r="L89" s="88" t="str">
        <f>HYPERLINK("https://www.bhphotovideo.com/c/product/1189220-REG/zeiss_2131_999_loxia_21mm_f_2_8_lens.html/BI/19619/KBID/12129/DFF/d10-v21-t1-x677077/SID/EZ","link*")</f>
        <v>link*</v>
      </c>
      <c r="M89" s="88" t="str">
        <f>HYPERLINK("https://amzn.to/2GHSOoA","link*")</f>
        <v>link*</v>
      </c>
      <c r="N89"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89" s="83">
        <v>25.0</v>
      </c>
      <c r="P89" s="84" t="s">
        <v>26</v>
      </c>
      <c r="Q89" s="81">
        <v>10.0</v>
      </c>
      <c r="R89" s="128" t="s">
        <v>72</v>
      </c>
      <c r="S89" s="81" t="s">
        <v>58</v>
      </c>
      <c r="T89" s="86">
        <v>42339.0</v>
      </c>
    </row>
    <row r="90" hidden="1">
      <c r="A90" s="131" t="str">
        <f>HYPERLINK("https://phillipreeve.net/blog/voigtlander-21mm-f35-review/","Voigtlander 21mm F3.5 Color-Skopar")</f>
        <v>Voigtlander 21mm F3.5 Color-Skopar</v>
      </c>
      <c r="B90" s="76">
        <v>230.0</v>
      </c>
      <c r="C90" s="122">
        <v>21.0</v>
      </c>
      <c r="D90" s="78">
        <v>3.5</v>
      </c>
      <c r="E90" s="144">
        <v>63.0</v>
      </c>
      <c r="F90" s="151">
        <v>40.0</v>
      </c>
      <c r="G90" s="84" t="s">
        <v>24</v>
      </c>
      <c r="H90" s="82" t="s">
        <v>71</v>
      </c>
      <c r="I90" s="346"/>
      <c r="J90" s="87">
        <v>699.0</v>
      </c>
      <c r="K90" s="88" t="str">
        <f>HYPERLINK("https://amzn.to/2JCie75","link*")</f>
        <v>link*</v>
      </c>
      <c r="L90" s="88" t="str">
        <f>HYPERLINK("https://www.bhphotovideo.com/c/product/1437613-REG/voigtlander_color_skopar_21mm_f_3_5_aspherical.html/BI/19619/KBID/12129/kw/VO2135E/DFF/d10-v2-t1-xVO2135E","link*")</f>
        <v>link*</v>
      </c>
      <c r="M90" s="88" t="str">
        <f>HYPERLINK("https://amzn.to/2ZoERan","link*")</f>
        <v>link*</v>
      </c>
      <c r="N90"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90" s="83">
        <v>20.0</v>
      </c>
      <c r="P90" s="84" t="s">
        <v>26</v>
      </c>
      <c r="Q90" s="81">
        <v>10.0</v>
      </c>
      <c r="R90" s="128" t="s">
        <v>60</v>
      </c>
      <c r="S90" s="81" t="s">
        <v>28</v>
      </c>
      <c r="T90" s="86">
        <v>43374.0</v>
      </c>
    </row>
    <row r="91" hidden="1">
      <c r="A91" s="131" t="str">
        <f>HYPERLINK("https://phillipreeve.net/blog/review-sony-fe-24mm-1-4-gm/","Sony GM 1.4/24")</f>
        <v>Sony GM 1.4/24</v>
      </c>
      <c r="B91" s="76">
        <v>445.0</v>
      </c>
      <c r="C91" s="122">
        <v>24.0</v>
      </c>
      <c r="D91" s="149">
        <v>1.4</v>
      </c>
      <c r="E91" s="144">
        <v>75.0</v>
      </c>
      <c r="F91" s="145">
        <v>92.0</v>
      </c>
      <c r="G91" s="84" t="s">
        <v>30</v>
      </c>
      <c r="H91" s="82" t="s">
        <v>53</v>
      </c>
      <c r="I91" s="81">
        <v>0.17</v>
      </c>
      <c r="J91" s="87">
        <v>1399.0</v>
      </c>
      <c r="K91" s="88" t="str">
        <f>HYPERLINK("https://amzn.to/2ywcbw1","link*")</f>
        <v>link*</v>
      </c>
      <c r="L91" s="88" t="str">
        <f>HYPERLINK("https://www.bhphotovideo.com/c/product/1435887-REG/sony_fe_24mm_f_1_4_gm.html/BI/19619/KBID/12129/DFF/d10-v21-t1-x915647/SID/EZ","link*")</f>
        <v>link*</v>
      </c>
      <c r="M91" s="88" t="str">
        <f>HYPERLINK("https://amzn.to/2L2tV9y","link*")</f>
        <v>link*</v>
      </c>
      <c r="N91" s="88" t="str">
        <f>HYPERLINK("https://amzn.to/338yg28","link*")</f>
        <v>link*</v>
      </c>
      <c r="O91" s="83">
        <v>25.0</v>
      </c>
      <c r="P91" s="84" t="s">
        <v>26</v>
      </c>
      <c r="Q91" s="81">
        <v>11.0</v>
      </c>
      <c r="R91" s="128" t="s">
        <v>27</v>
      </c>
      <c r="S91" s="81" t="s">
        <v>32</v>
      </c>
      <c r="T91" s="86">
        <v>43374.0</v>
      </c>
    </row>
    <row r="92" hidden="1">
      <c r="A92" s="75" t="s">
        <v>73</v>
      </c>
      <c r="B92" s="76">
        <v>665.0</v>
      </c>
      <c r="C92" s="122">
        <v>24.0</v>
      </c>
      <c r="D92" s="149">
        <v>1.4</v>
      </c>
      <c r="E92" s="144">
        <v>85.0</v>
      </c>
      <c r="F92" s="145">
        <v>90.0</v>
      </c>
      <c r="G92" s="81" t="s">
        <v>30</v>
      </c>
      <c r="H92" s="82" t="s">
        <v>56</v>
      </c>
      <c r="I92" s="81">
        <v>0.19</v>
      </c>
      <c r="J92" s="87">
        <v>849.0</v>
      </c>
      <c r="K92" s="88" t="str">
        <f>HYPERLINK("https://amzn.to/2Isw2Rv","link*")</f>
        <v>link*</v>
      </c>
      <c r="L92" s="88" t="str">
        <f>HYPERLINK("https://www.bhphotovideo.com/c/product/1393491-REG/sigma_24mm_f_1_4_dg_hsm.html/BI/19619/KBID/12129/kw/SI2414SO/DFF/d10-v2-t1-xSI2414SO","link*")</f>
        <v>link*</v>
      </c>
      <c r="M92" s="88" t="str">
        <f>HYPERLINK("https://amzn.to/2K7sIP4","link*")</f>
        <v>link*</v>
      </c>
      <c r="N92"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92" s="83">
        <v>25.0</v>
      </c>
      <c r="P92" s="84" t="s">
        <v>26</v>
      </c>
      <c r="Q92" s="81">
        <v>9.0</v>
      </c>
      <c r="R92" s="123">
        <v>43784.0</v>
      </c>
      <c r="S92" s="81" t="s">
        <v>41</v>
      </c>
      <c r="T92" s="86">
        <v>43221.0</v>
      </c>
      <c r="U92" s="68" t="s">
        <v>42</v>
      </c>
    </row>
    <row r="93" hidden="1">
      <c r="A93" s="131" t="str">
        <f>HYPERLINK("https://phillipreeve.net/blog/review-samyang-af-2-4-28-fe-at-least-its-small/","Samyang AF 24mm F/2.8")</f>
        <v>Samyang AF 24mm F/2.8</v>
      </c>
      <c r="B93" s="76">
        <v>93.0</v>
      </c>
      <c r="C93" s="122">
        <v>24.0</v>
      </c>
      <c r="D93" s="78">
        <v>2.8</v>
      </c>
      <c r="E93" s="144">
        <v>61.0</v>
      </c>
      <c r="F93" s="151">
        <v>37.0</v>
      </c>
      <c r="G93" s="84" t="s">
        <v>30</v>
      </c>
      <c r="H93" s="82" t="s">
        <v>74</v>
      </c>
      <c r="I93" s="81">
        <v>0.15</v>
      </c>
      <c r="J93" s="129">
        <v>279.0</v>
      </c>
      <c r="K93" s="88" t="str">
        <f>HYPERLINK("https://amzn.to/2NEHZ7c","link*")</f>
        <v>link*</v>
      </c>
      <c r="L93" s="88" t="str">
        <f>HYPERLINK("https://www.bhphotovideo.com/c/product/1413350-REG/samyang_syio24af_e_af_24mm_f_2_8_fe.html/BI/19619/KBID/12129/kw/SASYIO24AFE/DFF/d10-v2-t1-xSASYIO24AFE","link*")</f>
        <v>link*</v>
      </c>
      <c r="M93" s="88" t="str">
        <f>HYPERLINK("https://amzn.to/2Onv1QE","link*")</f>
        <v>link*</v>
      </c>
      <c r="N93"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93" s="83">
        <v>20.0</v>
      </c>
      <c r="P93" s="84" t="s">
        <v>26</v>
      </c>
      <c r="Q93" s="81">
        <v>9.0</v>
      </c>
      <c r="R93" s="128" t="s">
        <v>75</v>
      </c>
      <c r="S93" s="81" t="s">
        <v>46</v>
      </c>
      <c r="T93" s="86">
        <v>43282.0</v>
      </c>
    </row>
    <row r="94" hidden="1">
      <c r="A94" s="152" t="str">
        <f>HYPERLINK("https://phillipreeve.net/blog/review-sony-fe-2-824-70mm-gm/","Sony GM 2.8/24-70")</f>
        <v>Sony GM 2.8/24-70</v>
      </c>
      <c r="B94" s="76">
        <v>886.0</v>
      </c>
      <c r="C94" s="122">
        <v>24.0</v>
      </c>
      <c r="D94" s="78">
        <v>2.8</v>
      </c>
      <c r="E94" s="144">
        <v>88.0</v>
      </c>
      <c r="F94" s="151">
        <v>136.0</v>
      </c>
      <c r="G94" s="84" t="s">
        <v>30</v>
      </c>
      <c r="H94" s="82" t="s">
        <v>51</v>
      </c>
      <c r="I94" s="140">
        <v>0.25</v>
      </c>
      <c r="J94" s="87">
        <v>2199.0</v>
      </c>
      <c r="K94" s="88" t="str">
        <f>HYPERLINK("https://amzn.to/2STHavK","link*")</f>
        <v>link*</v>
      </c>
      <c r="L94" s="88" t="str">
        <f>HYPERLINK("https://www.bhphotovideo.com/c/search?Ntt=gm%2024-70&amp;N=0&amp;InitialSearch=yes&amp;sts=ma&amp;Top+Nav-Search=&amp;BI=19619&amp;KBID=12129&amp;KWID=EZ","link*")</f>
        <v>link*</v>
      </c>
      <c r="M94" s="88" t="str">
        <f>HYPERLINK("https://amzn.to/2ZwoyU7","link*")</f>
        <v>link*</v>
      </c>
      <c r="N94"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94" s="83">
        <v>38.0</v>
      </c>
      <c r="P94" s="84" t="s">
        <v>26</v>
      </c>
      <c r="Q94" s="81">
        <v>11.0</v>
      </c>
      <c r="R94" s="128" t="s">
        <v>44</v>
      </c>
      <c r="S94" s="81" t="s">
        <v>32</v>
      </c>
      <c r="T94" s="86">
        <v>42401.0</v>
      </c>
    </row>
    <row r="95" hidden="1">
      <c r="A95" s="75" t="s">
        <v>79</v>
      </c>
      <c r="B95" s="76">
        <v>780.0</v>
      </c>
      <c r="C95" s="122">
        <v>24.0</v>
      </c>
      <c r="D95" s="78" t="s">
        <v>80</v>
      </c>
      <c r="E95" s="144">
        <v>80.0</v>
      </c>
      <c r="F95" s="151">
        <v>119.0</v>
      </c>
      <c r="G95" s="84" t="s">
        <v>30</v>
      </c>
      <c r="H95" s="82" t="s">
        <v>48</v>
      </c>
      <c r="I95" s="140">
        <v>0.27</v>
      </c>
      <c r="J95" s="87">
        <v>998.0</v>
      </c>
      <c r="K95" s="88" t="str">
        <f>HYPERLINK("http://amzn.to/2fbX5FU","link*")</f>
        <v>link*</v>
      </c>
      <c r="L95" s="88" t="str">
        <f>HYPERLINK("https://www.bhphotovideo.com/c/search?Ntt=sony%2024-240&amp;N=0&amp;InitialSearch=yes&amp;sts=ma&amp;Top+Nav-Search=&amp;BI=19619&amp;KBID=12129&amp;KWID=EZ","link*")</f>
        <v>link*</v>
      </c>
      <c r="M95" s="88" t="str">
        <f>HYPERLINK("http://amzn.to/2wyrL7A","link*")</f>
        <v>link*</v>
      </c>
      <c r="N95"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95" s="83">
        <v>50.0</v>
      </c>
      <c r="P95" s="154" t="s">
        <v>49</v>
      </c>
      <c r="Q95" s="81">
        <v>7.0</v>
      </c>
      <c r="R95" s="128" t="s">
        <v>81</v>
      </c>
      <c r="S95" s="81" t="s">
        <v>32</v>
      </c>
      <c r="T95" s="86">
        <v>42064.0</v>
      </c>
    </row>
    <row r="96" hidden="1">
      <c r="A96" s="75" t="s">
        <v>82</v>
      </c>
      <c r="B96" s="76">
        <v>663.0</v>
      </c>
      <c r="C96" s="122">
        <v>24.0</v>
      </c>
      <c r="D96" s="78">
        <v>4.0</v>
      </c>
      <c r="E96" s="144">
        <v>83.0</v>
      </c>
      <c r="F96" s="145">
        <v>113.0</v>
      </c>
      <c r="G96" s="84" t="s">
        <v>30</v>
      </c>
      <c r="H96" s="82" t="s">
        <v>56</v>
      </c>
      <c r="I96" s="140">
        <v>0.31</v>
      </c>
      <c r="J96" s="87">
        <v>1398.0</v>
      </c>
      <c r="K96" s="88" t="str">
        <f>HYPERLINK("https://amzn.to/2K7LwMR","link*")</f>
        <v>link*</v>
      </c>
      <c r="L96" s="88" t="str">
        <f>HYPERLINK("https://www.bhphotovideo.com/c/search?Ntt=sony%2024-105&amp;N=0&amp;InitialSearch=yes&amp;sts=ma&amp;Top+Nav-Search=&amp;BI=19619&amp;KBID=12129&amp;KWID=EZ","link*")</f>
        <v>link*</v>
      </c>
      <c r="M96" s="88" t="str">
        <f>HYPERLINK("https://amzn.to/2Ld8hOS","link*")</f>
        <v>link*</v>
      </c>
      <c r="N96"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96" s="83">
        <v>38.0</v>
      </c>
      <c r="P96" s="154" t="s">
        <v>49</v>
      </c>
      <c r="Q96" s="81">
        <v>9.0</v>
      </c>
      <c r="R96" s="128" t="s">
        <v>35</v>
      </c>
      <c r="S96" s="81" t="s">
        <v>32</v>
      </c>
      <c r="T96" s="86">
        <v>43009.0</v>
      </c>
    </row>
    <row r="97" hidden="1">
      <c r="A97" s="131" t="str">
        <f>HYPERLINK("https://phillipreeve.net/blog/rolling-review-carl-zeiss-vario-tessar-t-fe-424-70-za/","Sony ZA 4/24-70 OSS")</f>
        <v>Sony ZA 4/24-70 OSS</v>
      </c>
      <c r="B97" s="76">
        <v>426.0</v>
      </c>
      <c r="C97" s="122">
        <v>24.0</v>
      </c>
      <c r="D97" s="78">
        <v>4.0</v>
      </c>
      <c r="E97" s="144">
        <v>73.0</v>
      </c>
      <c r="F97" s="145">
        <v>95.0</v>
      </c>
      <c r="G97" s="84" t="s">
        <v>30</v>
      </c>
      <c r="H97" s="82" t="s">
        <v>53</v>
      </c>
      <c r="I97" s="81">
        <v>0.2</v>
      </c>
      <c r="J97" s="87">
        <v>898.0</v>
      </c>
      <c r="K97" s="88" t="str">
        <f>HYPERLINK("http://amzn.to/2vlG2Yq","link*")</f>
        <v>link*</v>
      </c>
      <c r="L97" s="88" t="str">
        <f>HYPERLINK("https://www.bhphotovideo.com/c/product/1008126-REG/sony_sel2470z_vario_tessar_t_fe_24_70mm.html/BI/19619/KBID/12129/DFF/d10-v21-t1-x466842/SID/EZ","link*")</f>
        <v>link*</v>
      </c>
      <c r="M97" s="88" t="str">
        <f>HYPERLINK("http://amzn.to/2fl1XZk","link*")</f>
        <v>link*</v>
      </c>
      <c r="N97"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97" s="83">
        <v>40.0</v>
      </c>
      <c r="P97" s="154" t="s">
        <v>49</v>
      </c>
      <c r="Q97" s="81">
        <v>7.0</v>
      </c>
      <c r="R97" s="128" t="s">
        <v>38</v>
      </c>
      <c r="S97" s="81" t="s">
        <v>32</v>
      </c>
      <c r="T97" s="86">
        <v>41640.0</v>
      </c>
    </row>
    <row r="98">
      <c r="A98" s="131" t="str">
        <f>HYPERLINK("https://phillipreeve.net/blog/review-zeiss-batis-distagon-t-25mm-f2/","Zeiss Batis 2/25")</f>
        <v>Zeiss Batis 2/25</v>
      </c>
      <c r="B98" s="76">
        <v>335.0</v>
      </c>
      <c r="C98" s="122">
        <v>25.0</v>
      </c>
      <c r="D98" s="78">
        <v>2.0</v>
      </c>
      <c r="E98" s="144">
        <v>92.0</v>
      </c>
      <c r="F98" s="145">
        <v>78.0</v>
      </c>
      <c r="G98" s="84" t="s">
        <v>30</v>
      </c>
      <c r="H98" s="82" t="s">
        <v>53</v>
      </c>
      <c r="I98" s="81">
        <v>0.19</v>
      </c>
      <c r="J98" s="87">
        <v>1299.0</v>
      </c>
      <c r="K98" s="88" t="str">
        <f>HYPERLINK("https://amzn.to/2ypHQiT","link*")</f>
        <v>link*</v>
      </c>
      <c r="L98" s="88" t="str">
        <f>HYPERLINK("https://www.bhphotovideo.com/c/product/1140832-REG/zeiss_2103_750_25mm_f_2_0_batis_wide.html/BI/19619/KBID/12129/DFF/d10-v21-t1-x627141/SID/EZ","link*")</f>
        <v>link*</v>
      </c>
      <c r="M98" s="88" t="str">
        <f>HYPERLINK("https://amzn.to/2L20DIj","link*")</f>
        <v>link*</v>
      </c>
      <c r="N98"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98" s="83">
        <v>20.0</v>
      </c>
      <c r="P98" s="84" t="s">
        <v>26</v>
      </c>
      <c r="Q98" s="81">
        <v>9.0</v>
      </c>
      <c r="R98" s="128" t="s">
        <v>83</v>
      </c>
      <c r="S98" s="81" t="s">
        <v>58</v>
      </c>
      <c r="T98" s="86">
        <v>42125.0</v>
      </c>
    </row>
    <row r="99">
      <c r="A99" s="131" t="str">
        <f>HYPERLINK("https://phillipreeve.net/blog/review-zeiss-loxia-2-4-25mm-distagon/","Zeiss Loxia 2.4/25")</f>
        <v>Zeiss Loxia 2.4/25</v>
      </c>
      <c r="B99" s="76">
        <v>393.0</v>
      </c>
      <c r="C99" s="122">
        <v>25.0</v>
      </c>
      <c r="D99" s="78">
        <v>2.4</v>
      </c>
      <c r="E99" s="144">
        <v>62.0</v>
      </c>
      <c r="F99" s="145">
        <v>75.0</v>
      </c>
      <c r="G99" s="84" t="s">
        <v>24</v>
      </c>
      <c r="H99" s="82" t="s">
        <v>71</v>
      </c>
      <c r="I99" s="81">
        <v>0.16</v>
      </c>
      <c r="J99" s="87">
        <v>1299.0</v>
      </c>
      <c r="K99" s="88" t="str">
        <f>HYPERLINK("https://amzn.to/2OlyeAf","link*")</f>
        <v>link*</v>
      </c>
      <c r="L99" s="88" t="str">
        <f>HYPERLINK("https://www.bhphotovideo.com/c/product/1389169-REG/zeiss_000000_2218_783_loxia_25mm_f_2_4_lens.html/BI/19619/KBID/12129/kw/ZE2524L/DFF/d10-v2-t1-xZE2524L","link*")</f>
        <v>link*</v>
      </c>
      <c r="M99" s="88" t="str">
        <f>HYPERLINK("https://amzn.to/2OlyeAf","link*")</f>
        <v>link*</v>
      </c>
      <c r="N99"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99" s="83">
        <v>25.0</v>
      </c>
      <c r="P99" s="84" t="s">
        <v>26</v>
      </c>
      <c r="Q99" s="81">
        <v>10.0</v>
      </c>
      <c r="R99" s="128" t="s">
        <v>83</v>
      </c>
      <c r="S99" s="81" t="s">
        <v>58</v>
      </c>
      <c r="T99" s="86">
        <v>43160.0</v>
      </c>
    </row>
    <row r="100" hidden="1">
      <c r="A100" s="75" t="s">
        <v>84</v>
      </c>
      <c r="B100" s="76">
        <v>965.0</v>
      </c>
      <c r="C100" s="122">
        <v>28.0</v>
      </c>
      <c r="D100" s="78">
        <v>1.4</v>
      </c>
      <c r="E100" s="144">
        <v>83.0</v>
      </c>
      <c r="F100" s="145">
        <v>134.0</v>
      </c>
      <c r="G100" s="84" t="s">
        <v>30</v>
      </c>
      <c r="H100" s="82" t="s">
        <v>56</v>
      </c>
      <c r="I100" s="81">
        <v>0.19</v>
      </c>
      <c r="J100" s="87">
        <v>1399.0</v>
      </c>
      <c r="K100" s="88" t="str">
        <f>HYPERLINK("https://amzn.to/2Wn0pxO","link*")</f>
        <v>link*</v>
      </c>
      <c r="L100" s="88" t="str">
        <f>HYPERLINK("https://www.bhphotovideo.com/c/product/1436285-REG/sigma_28mm_f_1_4_dg_hsm.html/BI/19619/KBID/12129/kw/SI2814DGSE/DFF/d10-v2-t1-xSI2814DGSE","link*")</f>
        <v>link*</v>
      </c>
      <c r="M100" s="88" t="str">
        <f>HYPERLINK("https://amzn.to/2WzVkHd","link*")</f>
        <v>link*</v>
      </c>
      <c r="N100" s="88"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100" s="83">
        <v>28.0</v>
      </c>
      <c r="P100" s="84" t="s">
        <v>26</v>
      </c>
      <c r="Q100" s="81">
        <v>9.0</v>
      </c>
      <c r="R100" s="128" t="s">
        <v>81</v>
      </c>
      <c r="S100" s="81" t="s">
        <v>41</v>
      </c>
      <c r="T100" s="86">
        <v>43435.0</v>
      </c>
    </row>
    <row r="101" hidden="1">
      <c r="A101" s="131" t="str">
        <f>HYPERLINK("https://www.systemkamera-forum.de/blog/2015/05/sony-fe-28mm-f2-test-und-erfahrungsbericht/","Sony FE 2/28")</f>
        <v>Sony FE 2/28</v>
      </c>
      <c r="B101" s="76">
        <v>200.0</v>
      </c>
      <c r="C101" s="122">
        <v>28.0</v>
      </c>
      <c r="D101" s="78">
        <v>2.0</v>
      </c>
      <c r="E101" s="144">
        <v>60.0</v>
      </c>
      <c r="F101" s="145">
        <v>60.0</v>
      </c>
      <c r="G101" s="84" t="s">
        <v>30</v>
      </c>
      <c r="H101" s="82" t="s">
        <v>74</v>
      </c>
      <c r="I101" s="81">
        <v>0.13</v>
      </c>
      <c r="J101" s="153">
        <v>448.0</v>
      </c>
      <c r="K101" s="88" t="str">
        <f>HYPERLINK("https://amzn.to/2GXJWdo","link*")</f>
        <v>link*</v>
      </c>
      <c r="L101" s="88" t="str">
        <f>HYPERLINK("https://www.bhphotovideo.com/c/product/1402637-REG/sony_fe_28mm_f_2_lens.html/BI/19619/KBID/12129/kw/SO2820F/DFF/d10-v2-t1-xSO2820F","link*")</f>
        <v>link*</v>
      </c>
      <c r="M101" s="88" t="str">
        <f>HYPERLINK("http://amzn.to/2wyLOCO","link*")</f>
        <v>link*</v>
      </c>
      <c r="N101"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101" s="83">
        <v>29.0</v>
      </c>
      <c r="P101" s="84" t="s">
        <v>26</v>
      </c>
      <c r="Q101" s="81">
        <v>9.0</v>
      </c>
      <c r="R101" s="128" t="s">
        <v>60</v>
      </c>
      <c r="S101" s="81" t="s">
        <v>32</v>
      </c>
      <c r="T101" s="86">
        <v>42064.0</v>
      </c>
    </row>
    <row r="102" hidden="1">
      <c r="A102" s="131" t="str">
        <f>HYPERLINK("https://phillipreeve.net/blog/review-tamron-28-75mm-f-2-8-di-iii-rxd-sony-e-mount/","Tamron 2.8/28-75")</f>
        <v>Tamron 2.8/28-75</v>
      </c>
      <c r="B102" s="76">
        <v>550.0</v>
      </c>
      <c r="C102" s="122">
        <v>28.0</v>
      </c>
      <c r="D102" s="78">
        <v>2.8</v>
      </c>
      <c r="E102" s="144">
        <v>73.0</v>
      </c>
      <c r="F102" s="145">
        <v>118.0</v>
      </c>
      <c r="G102" s="84" t="s">
        <v>30</v>
      </c>
      <c r="H102" s="82" t="s">
        <v>53</v>
      </c>
      <c r="I102" s="140">
        <v>0.34</v>
      </c>
      <c r="J102" s="153">
        <v>879.0</v>
      </c>
      <c r="K102" s="88" t="str">
        <f>HYPERLINK("https://amzn.to/2ST5uxq","link*")</f>
        <v>link*</v>
      </c>
      <c r="L102" s="88" t="str">
        <f>HYPERLINK("https://www.bhphotovideo.com/c/product/1393332-REG/tamron_a036_28_75mm_f_2_8_di_iii.html/BI/19619/KBID/12129/DFF/d10-v21-t1-x892059/SID/EZ","link*")</f>
        <v>link*</v>
      </c>
      <c r="M102" s="88" t="str">
        <f>HYPERLINK("https://amzn.to/2ZmSzdU","link*")</f>
        <v>link*</v>
      </c>
      <c r="N102"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102" s="83">
        <v>19.0</v>
      </c>
      <c r="P102" s="84" t="s">
        <v>26</v>
      </c>
      <c r="Q102" s="81">
        <v>9.0</v>
      </c>
      <c r="R102" s="128" t="s">
        <v>85</v>
      </c>
      <c r="S102" s="81" t="s">
        <v>55</v>
      </c>
      <c r="T102" s="86">
        <v>43252.0</v>
      </c>
    </row>
    <row r="103" hidden="1">
      <c r="A103" s="75" t="s">
        <v>88</v>
      </c>
      <c r="B103" s="76">
        <v>295.0</v>
      </c>
      <c r="C103" s="122">
        <v>28.0</v>
      </c>
      <c r="D103" s="78" t="s">
        <v>89</v>
      </c>
      <c r="E103" s="144">
        <v>73.0</v>
      </c>
      <c r="F103" s="145">
        <v>83.0</v>
      </c>
      <c r="G103" s="84" t="s">
        <v>30</v>
      </c>
      <c r="H103" s="82" t="s">
        <v>90</v>
      </c>
      <c r="I103" s="81">
        <v>0.19</v>
      </c>
      <c r="J103" s="87">
        <v>398.0</v>
      </c>
      <c r="K103" s="88" t="str">
        <f>HYPERLINK("https://www.amazon.com/gp/product/B00FYOFADE/ref=as_li_tl?ie=UTF8&amp;tag=wwwphillipree-20&amp;camp=1789&amp;creative=9325&amp;linkCode=as2&amp;creativeASIN=B00FYOFADE&amp;linkId=96720b245156eae53bb1a672d4453d3f","link*")</f>
        <v>link*</v>
      </c>
      <c r="L103" s="88" t="str">
        <f>HYPERLINK("https://www.bhphotovideo.com/c/product/1015472-REG/sony_sel2870_fe_28_70mm_f_3_5_5_6_oss.html/BI/19619/KBID/12129/DFF/d10-v21-t1-x473993/SID/EZ","link*")</f>
        <v>link*</v>
      </c>
      <c r="M103" s="88" t="str">
        <f>HYPERLINK("https://www.amazon.de/gp/product/B00HSHFPD0/ref=as_li_tl?ie=UTF8&amp;tag=wwwphillipree-21&amp;camp=1638&amp;creative=6742&amp;linkCode=as2&amp;creativeASIN=B00HSHFPD0&amp;linkId=6701f30673f8a4071232ca85e1953506","link*")</f>
        <v>link*</v>
      </c>
      <c r="N103"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103" s="83">
        <v>30.0</v>
      </c>
      <c r="P103" s="154" t="s">
        <v>49</v>
      </c>
      <c r="Q103" s="81">
        <v>7.0</v>
      </c>
      <c r="R103" s="128" t="s">
        <v>60</v>
      </c>
      <c r="S103" s="81" t="s">
        <v>32</v>
      </c>
      <c r="T103" s="86">
        <v>41548.0</v>
      </c>
    </row>
    <row r="104" hidden="1">
      <c r="A104" s="75" t="s">
        <v>91</v>
      </c>
      <c r="B104" s="76">
        <v>1215.0</v>
      </c>
      <c r="C104" s="122">
        <v>28.0</v>
      </c>
      <c r="D104" s="78">
        <v>4.0</v>
      </c>
      <c r="E104" s="144">
        <v>105.0</v>
      </c>
      <c r="F104" s="145">
        <v>165.0</v>
      </c>
      <c r="G104" s="84" t="s">
        <v>30</v>
      </c>
      <c r="H104" s="382" t="s">
        <v>92</v>
      </c>
      <c r="I104" s="346"/>
      <c r="J104" s="87">
        <v>249.0</v>
      </c>
      <c r="K104" s="88" t="str">
        <f>HYPERLINK("http://amzn.to/2v2kiy9","link*")</f>
        <v>link*</v>
      </c>
      <c r="L104" s="88" t="str">
        <f>HYPERLINK("https://www.bhphotovideo.com/c/product/1082051-REG/sony_selp28135g_e_pz_28_135mm_f_4.html/BI/19619/KBID/12129/DFF/d10-v21-t1-x556056/SID/EZ","link*")</f>
        <v>link*</v>
      </c>
      <c r="M104" s="88" t="str">
        <f>HYPERLINK("http://amzn.to/2wlpg9b","link*")</f>
        <v>link*</v>
      </c>
      <c r="N104"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104" s="83">
        <v>40.0</v>
      </c>
      <c r="P104" s="154" t="s">
        <v>49</v>
      </c>
      <c r="Q104" s="81">
        <v>9.0</v>
      </c>
      <c r="R104" s="128" t="s">
        <v>93</v>
      </c>
      <c r="S104" s="81" t="s">
        <v>32</v>
      </c>
      <c r="T104" s="86">
        <v>41883.0</v>
      </c>
      <c r="U104" s="68" t="s">
        <v>94</v>
      </c>
    </row>
    <row r="105" hidden="1">
      <c r="A105" s="131" t="str">
        <f>HYPERLINK("https://phillipreeve.net/blog/review-sigma-35mm-1-2-art-dg-dn/","Sigma Art 1.2/35")</f>
        <v>Sigma Art 1.2/35</v>
      </c>
      <c r="B105" s="76">
        <v>1090.0</v>
      </c>
      <c r="C105" s="122">
        <v>35.0</v>
      </c>
      <c r="D105" s="383">
        <v>1.2</v>
      </c>
      <c r="E105" s="144">
        <v>88.0</v>
      </c>
      <c r="F105" s="145">
        <v>136.0</v>
      </c>
      <c r="G105" s="81" t="s">
        <v>30</v>
      </c>
      <c r="H105" s="270" t="s">
        <v>51</v>
      </c>
      <c r="I105" s="81">
        <v>0.19</v>
      </c>
      <c r="J105" s="87">
        <v>1499.0</v>
      </c>
      <c r="K105" s="88" t="str">
        <f>HYPERLINK("https://amzn.to/2LiHhxc","link*")</f>
        <v>link*</v>
      </c>
      <c r="L105" s="88" t="str">
        <f>HYPERLINK("https://www.bhphotovideo.com/c/product/1492967-REG/sigma_341969_35mm_f_1_2_dg_dn.html/BI/19619/KBID/12129/DFF/d10-v21-t1-x976038/SID/EZ","link*")</f>
        <v>link*</v>
      </c>
      <c r="M105" s="89"/>
      <c r="N105" s="88"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105" s="83">
        <v>30.0</v>
      </c>
      <c r="P105" s="84" t="s">
        <v>26</v>
      </c>
      <c r="Q105" s="81">
        <v>11.0</v>
      </c>
      <c r="R105" s="123">
        <v>43816.0</v>
      </c>
      <c r="S105" s="81" t="s">
        <v>41</v>
      </c>
      <c r="T105" s="86">
        <v>43647.0</v>
      </c>
    </row>
    <row r="106" hidden="1">
      <c r="A106" s="131" t="str">
        <f>HYPERLINK("https://phillipreeve.net/blog/review-sony-fe-35mm-1-4-za/","Sony ZA 1.4/35")</f>
        <v>Sony ZA 1.4/35</v>
      </c>
      <c r="B106" s="76">
        <v>630.0</v>
      </c>
      <c r="C106" s="122">
        <v>35.0</v>
      </c>
      <c r="D106" s="78">
        <v>1.4</v>
      </c>
      <c r="E106" s="144">
        <v>79.0</v>
      </c>
      <c r="F106" s="145">
        <v>112.0</v>
      </c>
      <c r="G106" s="81" t="s">
        <v>30</v>
      </c>
      <c r="H106" s="82" t="s">
        <v>48</v>
      </c>
      <c r="I106" s="81">
        <v>0.18</v>
      </c>
      <c r="J106" s="87">
        <v>1599.0</v>
      </c>
      <c r="K106" s="88" t="str">
        <f>HYPERLINK("https://amzn.to/2LRSMOS","link*")</f>
        <v>link*</v>
      </c>
      <c r="L106" s="88" t="str">
        <f>HYPERLINK("https://www.bhphotovideo.com/c/product/1126137-REG/sony_sel35f14z_distagon_t_fe_35mm.html/BI/19619/KBID/12129/DFF/d10-v21-t1-x612725/SID/EZ","link*")</f>
        <v>link*</v>
      </c>
      <c r="M106" s="88" t="str">
        <f>HYPERLINK("https://amzn.to/2ZmfSnX","link*")</f>
        <v>link*</v>
      </c>
      <c r="N106"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106" s="83">
        <v>30.0</v>
      </c>
      <c r="P106" s="84" t="s">
        <v>26</v>
      </c>
      <c r="Q106" s="81">
        <v>9.0</v>
      </c>
      <c r="R106" s="123">
        <v>43689.0</v>
      </c>
      <c r="S106" s="81" t="s">
        <v>32</v>
      </c>
      <c r="T106" s="86">
        <v>42064.0</v>
      </c>
    </row>
    <row r="107" hidden="1">
      <c r="A107" s="75" t="s">
        <v>226</v>
      </c>
      <c r="B107" s="76">
        <v>645.0</v>
      </c>
      <c r="C107" s="122">
        <v>35.0</v>
      </c>
      <c r="D107" s="78">
        <v>1.4</v>
      </c>
      <c r="E107" s="144">
        <v>76.0</v>
      </c>
      <c r="F107" s="151">
        <v>115.0</v>
      </c>
      <c r="G107" s="81" t="s">
        <v>30</v>
      </c>
      <c r="H107" s="82" t="s">
        <v>53</v>
      </c>
      <c r="I107" s="81">
        <v>0.17</v>
      </c>
      <c r="J107" s="87">
        <v>799.0</v>
      </c>
      <c r="K107" s="88" t="str">
        <f>HYPERLINK("https://amzn.to/2K8DDXH","link*")</f>
        <v>link*</v>
      </c>
      <c r="L107" s="88" t="str">
        <f t="shared" ref="L107:L108" si="1">HYPERLINK("https://www.bhphotovideo.com/c/product/1381712-REG/voigtlander_nokton_classic_35mm_f_1_4.html/BI/19619/KBID/12129/DFF/d10-v21-t1-x877353/SID/EZ","link*")</f>
        <v>link*</v>
      </c>
      <c r="M107" s="88" t="str">
        <f>HYPERLINK("https://amzn.to/2Zhl3FI","link*")</f>
        <v>link*</v>
      </c>
      <c r="N107"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107" s="83">
        <v>30.0</v>
      </c>
      <c r="P107" s="84" t="s">
        <v>26</v>
      </c>
      <c r="Q107" s="81">
        <v>9.0</v>
      </c>
      <c r="R107" s="123">
        <v>43719.0</v>
      </c>
      <c r="S107" s="81" t="s">
        <v>46</v>
      </c>
      <c r="T107" s="86">
        <v>43009.0</v>
      </c>
      <c r="U107" s="68" t="s">
        <v>99</v>
      </c>
    </row>
    <row r="108" hidden="1">
      <c r="A108" s="131" t="str">
        <f>HYPERLINK("https://phillipreeve.net/blog/review-voigtlander-35mm-1-4-nokton-e-classic/","Voigtlander 35mm F1.4 Nokton Classic")</f>
        <v>Voigtlander 35mm F1.4 Nokton Classic</v>
      </c>
      <c r="B108" s="76">
        <v>262.0</v>
      </c>
      <c r="C108" s="122">
        <v>35.0</v>
      </c>
      <c r="D108" s="78">
        <v>1.4</v>
      </c>
      <c r="E108" s="144">
        <v>67.0</v>
      </c>
      <c r="F108" s="151">
        <v>40.0</v>
      </c>
      <c r="G108" s="81" t="s">
        <v>24</v>
      </c>
      <c r="H108" s="82" t="s">
        <v>47</v>
      </c>
      <c r="I108" s="81">
        <v>0.16</v>
      </c>
      <c r="J108" s="87">
        <v>799.0</v>
      </c>
      <c r="K108" s="88" t="str">
        <f>HYPERLINK("https://amzn.to/2M1M8WH","link*")</f>
        <v>link*</v>
      </c>
      <c r="L108" s="88" t="str">
        <f t="shared" si="1"/>
        <v>link*</v>
      </c>
      <c r="M108" s="88" t="str">
        <f>HYPERLINK("https://amzn.to/2ZswTZ3","link*")</f>
        <v>link*</v>
      </c>
      <c r="N108"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108" s="83">
        <v>30.0</v>
      </c>
      <c r="P108" s="84" t="s">
        <v>26</v>
      </c>
      <c r="Q108" s="81">
        <v>10.0</v>
      </c>
      <c r="R108" s="123">
        <v>43624.0</v>
      </c>
      <c r="S108" s="81" t="s">
        <v>28</v>
      </c>
      <c r="T108" s="86">
        <v>43132.0</v>
      </c>
    </row>
    <row r="109" hidden="1">
      <c r="A109" s="131" t="str">
        <f>HYPERLINK("https://phillipreeve.net/blog/review-sigma-35mm-1-4-art/","Sigma Art 1.4/35")</f>
        <v>Sigma Art 1.4/35</v>
      </c>
      <c r="B109" s="76">
        <v>740.0</v>
      </c>
      <c r="C109" s="122">
        <v>35.0</v>
      </c>
      <c r="D109" s="78">
        <v>1.4</v>
      </c>
      <c r="E109" s="144">
        <v>77.0</v>
      </c>
      <c r="F109" s="151">
        <v>94.0</v>
      </c>
      <c r="G109" s="81" t="s">
        <v>30</v>
      </c>
      <c r="H109" s="82" t="s">
        <v>53</v>
      </c>
      <c r="I109" s="81">
        <v>0.19</v>
      </c>
      <c r="J109" s="153">
        <v>899.0</v>
      </c>
      <c r="K109" s="88" t="str">
        <f>HYPERLINK("https://amzn.to/2LOaQcZ","link*")</f>
        <v>link*</v>
      </c>
      <c r="L109" s="88" t="str">
        <f>HYPERLINK("https://www.bhphotovideo.com/c/product/1393492-REG/sigma_35mm_f_1_4_dg_hsm.html/BI/19619/KBID/12129/DFF/d10-v21-t1-x881157/SID/EZ","link*")</f>
        <v>link*</v>
      </c>
      <c r="M109" s="88" t="str">
        <f>HYPERLINK("https://amzn.to/2ZrfakE","link*")</f>
        <v>link*</v>
      </c>
      <c r="N109"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109" s="83">
        <v>30.0</v>
      </c>
      <c r="P109" s="84" t="s">
        <v>26</v>
      </c>
      <c r="Q109" s="81">
        <v>9.0</v>
      </c>
      <c r="R109" s="123">
        <v>43782.0</v>
      </c>
      <c r="S109" s="81" t="s">
        <v>41</v>
      </c>
      <c r="T109" s="86">
        <v>43221.0</v>
      </c>
      <c r="U109" s="68" t="s">
        <v>42</v>
      </c>
    </row>
    <row r="110" hidden="1">
      <c r="A110" s="75" t="s">
        <v>227</v>
      </c>
      <c r="B110" s="76">
        <v>280.0</v>
      </c>
      <c r="C110" s="122">
        <v>35.0</v>
      </c>
      <c r="D110" s="78">
        <v>1.8</v>
      </c>
      <c r="E110" s="144">
        <v>66.0</v>
      </c>
      <c r="F110" s="151">
        <v>73.0</v>
      </c>
      <c r="G110" s="81" t="s">
        <v>30</v>
      </c>
      <c r="H110" s="82" t="s">
        <v>90</v>
      </c>
      <c r="I110" s="185">
        <v>0.24</v>
      </c>
      <c r="J110" s="87">
        <v>749.0</v>
      </c>
      <c r="K110" s="89"/>
      <c r="L110" s="88" t="str">
        <f>HYPERLINK("https://www.bhphotovideo.com/c/product/1492866-REG/sony_sel35f18f_35mm_f_1_8_fe_lens.html/BI/19619/KBID/12129/DFF/d10-v21-t1-x975763/SID/EZ","link*")</f>
        <v>link*</v>
      </c>
      <c r="M110" s="88" t="str">
        <f>HYPERLINK("https://amzn.to/2PiATLC","link*")</f>
        <v>link*</v>
      </c>
      <c r="N110"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110" s="83">
        <v>22.0</v>
      </c>
      <c r="P110" s="84" t="s">
        <v>26</v>
      </c>
      <c r="Q110" s="81">
        <v>9.0</v>
      </c>
      <c r="R110" s="123">
        <v>43719.0</v>
      </c>
      <c r="S110" s="81" t="s">
        <v>32</v>
      </c>
      <c r="T110" s="86">
        <v>43647.0</v>
      </c>
    </row>
    <row r="111">
      <c r="A111" s="131" t="str">
        <f>HYPERLINK("https://phillipreeve.net/blog/review-zeiss-loxia-35mm-2-0/","Zeiss Loxia 2/35 Biogon T*")</f>
        <v>Zeiss Loxia 2/35 Biogon T*</v>
      </c>
      <c r="B111" s="76">
        <v>340.0</v>
      </c>
      <c r="C111" s="122">
        <v>35.0</v>
      </c>
      <c r="D111" s="78">
        <v>2.0</v>
      </c>
      <c r="E111" s="144">
        <v>62.0</v>
      </c>
      <c r="F111" s="145">
        <v>66.0</v>
      </c>
      <c r="G111" s="81" t="s">
        <v>24</v>
      </c>
      <c r="H111" s="82" t="s">
        <v>71</v>
      </c>
      <c r="I111" s="81">
        <v>0.17</v>
      </c>
      <c r="J111" s="87">
        <v>1299.0</v>
      </c>
      <c r="K111" s="88" t="str">
        <f>HYPERLINK("https://amzn.to/2T2sJWe","link*")</f>
        <v>link*</v>
      </c>
      <c r="L111" s="88" t="str">
        <f>HYPERLINK("https://www.bhphotovideo.com/c/product/1080388-REG/zeiss_2103_749_loxia_35mm_f_2_biogon.html/BI/19619/KBID/12129/DFF/d10-v21-t1-x553792/SID/EZ","link*")</f>
        <v>link*</v>
      </c>
      <c r="M111" s="89" t="s">
        <v>33</v>
      </c>
      <c r="N111"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111" s="83">
        <v>30.0</v>
      </c>
      <c r="P111" s="84" t="s">
        <v>26</v>
      </c>
      <c r="Q111" s="81">
        <v>10.0</v>
      </c>
      <c r="R111" s="123">
        <v>43625.0</v>
      </c>
      <c r="S111" s="81" t="s">
        <v>58</v>
      </c>
      <c r="T111" s="86">
        <v>41974.0</v>
      </c>
      <c r="U111" s="68" t="s">
        <v>101</v>
      </c>
    </row>
    <row r="112" hidden="1">
      <c r="A112" s="131" t="str">
        <f>HYPERLINK("http://www.photozone.de/sonyalphaff/865-zeiss35f28ff","Sony ZA 2.8/35")</f>
        <v>Sony ZA 2.8/35</v>
      </c>
      <c r="B112" s="76">
        <v>120.0</v>
      </c>
      <c r="C112" s="122">
        <v>35.0</v>
      </c>
      <c r="D112" s="78">
        <v>2.8</v>
      </c>
      <c r="E112" s="144">
        <v>62.0</v>
      </c>
      <c r="F112" s="145">
        <v>37.0</v>
      </c>
      <c r="G112" s="81" t="s">
        <v>30</v>
      </c>
      <c r="H112" s="82" t="s">
        <v>74</v>
      </c>
      <c r="I112" s="81">
        <v>0.12</v>
      </c>
      <c r="J112" s="87">
        <v>798.0</v>
      </c>
      <c r="K112" s="88" t="str">
        <f>HYPERLINK("https://amzn.to/2yvhL24","link*")</f>
        <v>link*</v>
      </c>
      <c r="L112" s="88" t="str">
        <f>HYPERLINK("https://www.bhphotovideo.com/c/product/1008123-REG/sony_sel35f28z_sonnar_t_fe_35mm.html/BI/19619/KBID/12129/DFF/d10-v21-t1-x466840/SID/EZ","link*")</f>
        <v>link*</v>
      </c>
      <c r="M112" s="89" t="s">
        <v>33</v>
      </c>
      <c r="N112"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112" s="83">
        <v>35.0</v>
      </c>
      <c r="P112" s="84" t="s">
        <v>26</v>
      </c>
      <c r="Q112" s="81">
        <v>9.0</v>
      </c>
      <c r="R112" s="123">
        <v>43592.0</v>
      </c>
      <c r="S112" s="81" t="s">
        <v>32</v>
      </c>
      <c r="T112" s="86">
        <v>41487.0</v>
      </c>
    </row>
    <row r="113" hidden="1">
      <c r="A113" s="75" t="s">
        <v>102</v>
      </c>
      <c r="B113" s="76">
        <v>86.0</v>
      </c>
      <c r="C113" s="122">
        <v>35.0</v>
      </c>
      <c r="D113" s="78">
        <v>2.8</v>
      </c>
      <c r="E113" s="144">
        <v>62.0</v>
      </c>
      <c r="F113" s="145">
        <v>33.0</v>
      </c>
      <c r="G113" s="81" t="s">
        <v>30</v>
      </c>
      <c r="H113" s="82" t="s">
        <v>74</v>
      </c>
      <c r="I113" s="81">
        <v>0.12</v>
      </c>
      <c r="J113" s="211">
        <v>399.0</v>
      </c>
      <c r="K113" s="88" t="str">
        <f t="shared" ref="K113:K114" si="2">HYPERLINK("https://amzn.to/2MGKrxp","link*")</f>
        <v>link*</v>
      </c>
      <c r="L113" s="88" t="str">
        <f>HYPERLINK("https://www.bhphotovideo.com/c/product/1348365-REG/samyang_syio35af_e_35mm_f2_8_compact_wide.html/BI/19619/KBID/12129/DFF/d10-v21-t1-x832776/SID/EZ","link*")</f>
        <v>link*</v>
      </c>
      <c r="M113" s="89" t="s">
        <v>33</v>
      </c>
      <c r="N113"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113" s="83">
        <v>35.0</v>
      </c>
      <c r="P113" s="84" t="s">
        <v>26</v>
      </c>
      <c r="Q113" s="81">
        <v>9.0</v>
      </c>
      <c r="R113" s="123">
        <v>43623.0</v>
      </c>
      <c r="S113" s="81" t="s">
        <v>46</v>
      </c>
      <c r="T113" s="86">
        <v>42917.0</v>
      </c>
    </row>
    <row r="114" hidden="1">
      <c r="A114" s="131" t="str">
        <f>HYPERLINK("https://phillipreeve.net/blog/voigtlander-40mm-f1-2-nokton-aspherical-rolling-review/","Voigtlander 40mm F1.2 Nokton")</f>
        <v>Voigtlander 40mm F1.2 Nokton</v>
      </c>
      <c r="B114" s="76">
        <v>420.0</v>
      </c>
      <c r="C114" s="122">
        <v>40.0</v>
      </c>
      <c r="D114" s="392">
        <v>1.2</v>
      </c>
      <c r="E114" s="144">
        <v>70.0</v>
      </c>
      <c r="F114" s="145">
        <v>59.0</v>
      </c>
      <c r="G114" s="81" t="s">
        <v>24</v>
      </c>
      <c r="H114" s="82" t="s">
        <v>47</v>
      </c>
      <c r="I114" s="81">
        <v>0.16</v>
      </c>
      <c r="J114" s="87">
        <v>1099.0</v>
      </c>
      <c r="K114" s="88" t="str">
        <f t="shared" si="2"/>
        <v>link*</v>
      </c>
      <c r="L114" s="88" t="str">
        <f>HYPERLINK("https://www.bhphotovideo.com/c/product/1362557-REG/voigtlander_nokton_40mm_f_1_2_aspherical.html/BI/19619/KBID/12129/DFF/d10-v21-t1-x851241/SID/EZ","link*")</f>
        <v>link*</v>
      </c>
      <c r="M114" s="89" t="s">
        <v>33</v>
      </c>
      <c r="N114"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114" s="83">
        <v>35.0</v>
      </c>
      <c r="P114" s="84" t="s">
        <v>26</v>
      </c>
      <c r="Q114" s="81">
        <v>10.0</v>
      </c>
      <c r="R114" s="123">
        <v>43624.0</v>
      </c>
      <c r="S114" s="81" t="s">
        <v>28</v>
      </c>
      <c r="T114" s="86">
        <v>43040.0</v>
      </c>
    </row>
    <row r="115" hidden="1">
      <c r="A115" s="131" t="str">
        <f>HYPERLINK("https://phillipreeve.net/blog/review-sigma-40mm-1-4-art/","Sigma Art 1.4/40")</f>
        <v>Sigma Art 1.4/40</v>
      </c>
      <c r="B115" s="76">
        <v>1200.0</v>
      </c>
      <c r="C115" s="122">
        <v>40.0</v>
      </c>
      <c r="D115" s="78">
        <v>1.4</v>
      </c>
      <c r="E115" s="144">
        <v>88.0</v>
      </c>
      <c r="F115" s="151">
        <v>157.0</v>
      </c>
      <c r="G115" s="81" t="s">
        <v>30</v>
      </c>
      <c r="H115" s="198" t="s">
        <v>51</v>
      </c>
      <c r="I115" s="81">
        <v>0.15</v>
      </c>
      <c r="J115" s="87">
        <v>1399.0</v>
      </c>
      <c r="K115" s="88" t="str">
        <f>HYPERLINK("https://amzn.to/2SYXFXq","link*")</f>
        <v>link*</v>
      </c>
      <c r="L115" s="88" t="str">
        <f>HYPERLINK("https://www.bhphotovideo.com/c/product/1436292-REG/sigma_40mm_f_1_4_dg_hsm.html/BI/19619/KBID/12129/DFF/d10-v21-t1-x925196/SID/EZ","link*")</f>
        <v>link*</v>
      </c>
      <c r="M115" s="89" t="s">
        <v>33</v>
      </c>
      <c r="N115"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115" s="83">
        <v>40.0</v>
      </c>
      <c r="P115" s="84" t="s">
        <v>26</v>
      </c>
      <c r="Q115" s="81">
        <v>9.0</v>
      </c>
      <c r="R115" s="123">
        <v>43815.0</v>
      </c>
      <c r="S115" s="81" t="s">
        <v>41</v>
      </c>
      <c r="T115" s="86">
        <v>43435.0</v>
      </c>
      <c r="U115" s="68" t="s">
        <v>42</v>
      </c>
    </row>
    <row r="116">
      <c r="A116" s="131" t="str">
        <f>HYPERLINK("https://phillipreeve.net/blog/review-zeiss-batis-2-40-cf/","Zeiss Batis 2/40 CF T*")</f>
        <v>Zeiss Batis 2/40 CF T*</v>
      </c>
      <c r="B116" s="76">
        <v>361.0</v>
      </c>
      <c r="C116" s="122">
        <v>40.0</v>
      </c>
      <c r="D116" s="78">
        <v>2.0</v>
      </c>
      <c r="E116" s="144">
        <v>91.0</v>
      </c>
      <c r="F116" s="151">
        <v>93.0</v>
      </c>
      <c r="G116" s="81" t="s">
        <v>30</v>
      </c>
      <c r="H116" s="82" t="s">
        <v>53</v>
      </c>
      <c r="I116" s="185">
        <v>0.3</v>
      </c>
      <c r="J116" s="87">
        <v>1299.0</v>
      </c>
      <c r="K116" s="88" t="str">
        <f>HYPERLINK("https://amzn.to/2LUN0MF","link*")</f>
        <v>link*</v>
      </c>
      <c r="L116" s="88" t="str">
        <f>HYPERLINK("https://www.bhphotovideo.com/c/product/1436738-REG/zeiss_000000_2239_137_batis_40mm_f_2_cf.html/BI/19619/KBID/12129/DFF/d10-v21-t1-x915694/SID/EZ","link*")</f>
        <v>link*</v>
      </c>
      <c r="M116" s="89" t="s">
        <v>33</v>
      </c>
      <c r="N116"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116" s="83">
        <v>24.0</v>
      </c>
      <c r="P116" s="84" t="s">
        <v>26</v>
      </c>
      <c r="Q116" s="81">
        <v>9.0</v>
      </c>
      <c r="R116" s="123">
        <v>43686.0</v>
      </c>
      <c r="S116" s="81" t="s">
        <v>58</v>
      </c>
      <c r="T116" s="86">
        <v>43435.0</v>
      </c>
      <c r="U116" s="68" t="s">
        <v>228</v>
      </c>
    </row>
    <row r="117" hidden="1">
      <c r="A117" s="75" t="s">
        <v>106</v>
      </c>
      <c r="B117" s="76">
        <v>162.0</v>
      </c>
      <c r="C117" s="122">
        <v>45.0</v>
      </c>
      <c r="D117" s="78">
        <v>1.8</v>
      </c>
      <c r="E117" s="144">
        <v>62.0</v>
      </c>
      <c r="F117" s="151">
        <v>56.0</v>
      </c>
      <c r="G117" s="81" t="s">
        <v>30</v>
      </c>
      <c r="H117" s="82" t="s">
        <v>74</v>
      </c>
      <c r="I117" s="81">
        <v>0.12</v>
      </c>
      <c r="J117" s="129">
        <v>399.0</v>
      </c>
      <c r="K117" s="88" t="str">
        <f>HYPERLINK("https://amzn.to/2YC6MST","link*")</f>
        <v>link*</v>
      </c>
      <c r="L117" s="88" t="str">
        <f>HYPERLINK("https://www.bhphotovideo.com/c/product/1478738-REG/samyang_af_45mm_f_1_8_fe.html/BI/19619/KBID/12129/DFF/d10-v21-t1-x964329/SID/EZ","link*")</f>
        <v>link*</v>
      </c>
      <c r="M117" s="89" t="s">
        <v>33</v>
      </c>
      <c r="N117"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117" s="83">
        <v>45.0</v>
      </c>
      <c r="P117" s="84" t="s">
        <v>26</v>
      </c>
      <c r="Q117" s="81">
        <v>9.0</v>
      </c>
      <c r="R117" s="123">
        <v>43623.0</v>
      </c>
      <c r="S117" s="81" t="s">
        <v>46</v>
      </c>
      <c r="T117" s="86">
        <v>43647.0</v>
      </c>
    </row>
    <row r="118" hidden="1">
      <c r="A118" s="75" t="s">
        <v>107</v>
      </c>
      <c r="B118" s="76">
        <v>215.0</v>
      </c>
      <c r="C118" s="122">
        <v>45.0</v>
      </c>
      <c r="D118" s="78">
        <v>2.8</v>
      </c>
      <c r="E118" s="144">
        <v>64.0</v>
      </c>
      <c r="F118" s="145">
        <v>46.0</v>
      </c>
      <c r="G118" s="81" t="s">
        <v>30</v>
      </c>
      <c r="H118" s="82" t="s">
        <v>90</v>
      </c>
      <c r="I118" s="140">
        <v>0.25</v>
      </c>
      <c r="J118" s="87">
        <v>549.0</v>
      </c>
      <c r="K118" s="88" t="str">
        <f>HYPERLINK("https://amzn.to/2SYEvAX","link*")</f>
        <v>link*</v>
      </c>
      <c r="L118" s="88" t="str">
        <f>HYPERLINK("https://www.bhphotovideo.com/c/product/1492966-REG/sigma_360965_45mm_f_2_8_dg_dn.html/BI/19619/KBID/12129/DFF/d10-v21-t1-x976020/SID/EZ","link*")</f>
        <v>link*</v>
      </c>
      <c r="M118" s="89" t="s">
        <v>33</v>
      </c>
      <c r="N118" s="88"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118" s="83">
        <v>24.0</v>
      </c>
      <c r="P118" s="84" t="s">
        <v>26</v>
      </c>
      <c r="Q118" s="81">
        <v>7.0</v>
      </c>
      <c r="R118" s="123">
        <v>43654.0</v>
      </c>
      <c r="S118" s="81" t="s">
        <v>41</v>
      </c>
      <c r="T118" s="86">
        <v>43647.0</v>
      </c>
      <c r="U118" s="68" t="s">
        <v>108</v>
      </c>
    </row>
    <row r="119" hidden="1">
      <c r="A119" s="131" t="str">
        <f>HYPERLINK("https://phillipreeve.net/blog/review-voigtlander-50mm-1-2-nokton-e/","Voigtlander 50mm F1.2 Nokton")</f>
        <v>Voigtlander 50mm F1.2 Nokton</v>
      </c>
      <c r="B119" s="76">
        <v>440.0</v>
      </c>
      <c r="C119" s="122">
        <v>50.0</v>
      </c>
      <c r="D119" s="392">
        <v>1.2</v>
      </c>
      <c r="E119" s="144">
        <v>70.0</v>
      </c>
      <c r="F119" s="145">
        <v>58.0</v>
      </c>
      <c r="G119" s="81" t="s">
        <v>24</v>
      </c>
      <c r="H119" s="82" t="s">
        <v>47</v>
      </c>
      <c r="I119" s="346"/>
      <c r="J119" s="87">
        <v>1099.0</v>
      </c>
      <c r="K119" s="88" t="str">
        <f>HYPERLINK("https://amzn.to/2OAfE7N","link*")</f>
        <v>link*</v>
      </c>
      <c r="L119" s="88" t="str">
        <f>HYPERLINK("https://www.bhphotovideo.com/c/product/1433349-REG/voigtlander_ba348a_nokton_50mm_f_1_2_aspherical.html/BI/19619/KBID/12129/DFF/d10-v21-t1-x915623/SID/EZ","link*")</f>
        <v>link*</v>
      </c>
      <c r="M119" s="89" t="s">
        <v>33</v>
      </c>
      <c r="N119"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119" s="83">
        <v>45.0</v>
      </c>
      <c r="P119" s="84" t="s">
        <v>26</v>
      </c>
      <c r="Q119" s="81">
        <v>12.0</v>
      </c>
      <c r="R119" s="123">
        <v>43624.0</v>
      </c>
      <c r="S119" s="81" t="s">
        <v>28</v>
      </c>
      <c r="T119" s="86">
        <v>43556.0</v>
      </c>
    </row>
    <row r="120" hidden="1">
      <c r="A120" s="75" t="s">
        <v>109</v>
      </c>
      <c r="B120" s="76">
        <v>778.0</v>
      </c>
      <c r="C120" s="122">
        <v>50.0</v>
      </c>
      <c r="D120" s="78">
        <v>1.4</v>
      </c>
      <c r="E120" s="144">
        <v>84.0</v>
      </c>
      <c r="F120" s="145">
        <v>108.0</v>
      </c>
      <c r="G120" s="81" t="s">
        <v>30</v>
      </c>
      <c r="H120" s="82" t="s">
        <v>48</v>
      </c>
      <c r="I120" s="81">
        <v>0.15</v>
      </c>
      <c r="J120" s="87">
        <v>1499.0</v>
      </c>
      <c r="K120" s="88" t="str">
        <f>HYPERLINK("https://amzn.to/2K88EL7","link*")</f>
        <v>link*</v>
      </c>
      <c r="L120" s="89" t="s">
        <v>33</v>
      </c>
      <c r="M120" s="89" t="s">
        <v>33</v>
      </c>
      <c r="N120"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120" s="83">
        <v>45.0</v>
      </c>
      <c r="P120" s="84" t="s">
        <v>26</v>
      </c>
      <c r="Q120" s="81">
        <v>11.0</v>
      </c>
      <c r="R120" s="123">
        <v>43720.0</v>
      </c>
      <c r="S120" s="81" t="s">
        <v>32</v>
      </c>
      <c r="T120" s="86">
        <v>42583.0</v>
      </c>
    </row>
    <row r="121" hidden="1">
      <c r="A121" s="75" t="s">
        <v>110</v>
      </c>
      <c r="B121" s="76">
        <v>815.0</v>
      </c>
      <c r="C121" s="122">
        <v>50.0</v>
      </c>
      <c r="D121" s="78">
        <v>1.4</v>
      </c>
      <c r="E121" s="144">
        <v>85.0</v>
      </c>
      <c r="F121" s="145">
        <v>100.0</v>
      </c>
      <c r="G121" s="81" t="s">
        <v>30</v>
      </c>
      <c r="H121" s="82" t="s">
        <v>56</v>
      </c>
      <c r="I121" s="81">
        <v>0.18</v>
      </c>
      <c r="J121" s="87">
        <v>949.0</v>
      </c>
      <c r="K121" s="88" t="str">
        <f>HYPERLINK("https://amzn.to/2K4JmyT","link*")</f>
        <v>link*</v>
      </c>
      <c r="L121" s="88" t="str">
        <f>HYPERLINK("https://www.bhphotovideo.com/c/product/1393493-REG/sigma_50mm_f_1_4_dg_hsm.html/BI/19619/KBID/12129/kw/SI5014SO/DFF/d10-v2-t1-xSI5014SO","link*")</f>
        <v>link*</v>
      </c>
      <c r="M121" s="88" t="str">
        <f>HYPERLINK("https://amzn.to/2Wpdoz5","link*")</f>
        <v>link*</v>
      </c>
      <c r="N121" s="88"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121" s="83">
        <v>40.0</v>
      </c>
      <c r="P121" s="84" t="s">
        <v>26</v>
      </c>
      <c r="Q121" s="81">
        <v>9.0</v>
      </c>
      <c r="R121" s="123">
        <v>43690.0</v>
      </c>
      <c r="S121" s="81" t="s">
        <v>41</v>
      </c>
      <c r="T121" s="86">
        <v>43221.0</v>
      </c>
      <c r="U121" s="68" t="s">
        <v>42</v>
      </c>
    </row>
    <row r="122" hidden="1">
      <c r="A122" s="75" t="s">
        <v>111</v>
      </c>
      <c r="B122" s="76">
        <v>585.0</v>
      </c>
      <c r="C122" s="122">
        <v>50.0</v>
      </c>
      <c r="D122" s="78">
        <v>1.4</v>
      </c>
      <c r="E122" s="144">
        <v>74.0</v>
      </c>
      <c r="F122" s="145">
        <v>98.0</v>
      </c>
      <c r="G122" s="81" t="s">
        <v>30</v>
      </c>
      <c r="H122" s="82" t="s">
        <v>53</v>
      </c>
      <c r="I122" s="81">
        <v>0.15</v>
      </c>
      <c r="J122" s="87">
        <v>699.0</v>
      </c>
      <c r="K122" s="88" t="str">
        <f>HYPERLINK("https://amzn.to/2SY1Pyr","link*")</f>
        <v>link*</v>
      </c>
      <c r="L122" s="88" t="str">
        <f>HYPERLINK("https://www.bhphotovideo.com/c/product/1352862-REG/samyang_syio50af_e_50mm_f_1_4_auto_focus.html/BI/19619/KBID/12129/DFF/d10-v21-t1-x837927/SID/EZ","link*")</f>
        <v>link*</v>
      </c>
      <c r="M122" s="89" t="s">
        <v>33</v>
      </c>
      <c r="N122"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122" s="83">
        <v>45.0</v>
      </c>
      <c r="P122" s="84" t="s">
        <v>26</v>
      </c>
      <c r="Q122" s="81">
        <v>9.0</v>
      </c>
      <c r="R122" s="123">
        <v>43686.0</v>
      </c>
      <c r="S122" s="81" t="s">
        <v>46</v>
      </c>
      <c r="T122" s="86">
        <v>42583.0</v>
      </c>
    </row>
    <row r="123" hidden="1">
      <c r="A123" s="131" t="str">
        <f>HYPERLINK("https://phillipreeve.net/blog/review-sony-fe-1-850/","Sony 50mm F1.8")</f>
        <v>Sony 50mm F1.8</v>
      </c>
      <c r="B123" s="76">
        <v>186.0</v>
      </c>
      <c r="C123" s="122">
        <v>50.0</v>
      </c>
      <c r="D123" s="78">
        <v>1.8</v>
      </c>
      <c r="E123" s="144">
        <v>69.0</v>
      </c>
      <c r="F123" s="145">
        <v>60.0</v>
      </c>
      <c r="G123" s="81" t="s">
        <v>30</v>
      </c>
      <c r="H123" s="82" t="s">
        <v>74</v>
      </c>
      <c r="I123" s="81">
        <v>0.14</v>
      </c>
      <c r="J123" s="153">
        <v>249.0</v>
      </c>
      <c r="K123" s="88" t="str">
        <f>HYPERLINK("http://amzn.to/2v2F5Se","link*")</f>
        <v>link*</v>
      </c>
      <c r="L123" s="88" t="str">
        <f>HYPERLINK("https://www.bhphotovideo.com/c/product/1242613-REG/sony_sel50f18f_fe_50mm_f_1_8_lens.html/BI/19619/KBID/12129/kw/SO5018F/DFF/d10-v2-t1-xSO5018F","link*")</f>
        <v>link*</v>
      </c>
      <c r="M123" s="88" t="str">
        <f>HYPERLINK("http://amzn.to/2wyHB25","link*")</f>
        <v>link*</v>
      </c>
      <c r="N123"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123" s="83">
        <v>45.0</v>
      </c>
      <c r="P123" s="84" t="s">
        <v>26</v>
      </c>
      <c r="Q123" s="81">
        <v>7.0</v>
      </c>
      <c r="R123" s="123">
        <v>43591.0</v>
      </c>
      <c r="S123" s="81" t="s">
        <v>32</v>
      </c>
      <c r="T123" s="86">
        <v>42430.0</v>
      </c>
    </row>
    <row r="124">
      <c r="A124" s="131" t="str">
        <f>HYPERLINK("https://phillipreeve.net/blog/review-zeiss-loxia-planar-250-t/","Zeiss Loxia 50mm F2")</f>
        <v>Zeiss Loxia 50mm F2</v>
      </c>
      <c r="B124" s="76">
        <v>320.0</v>
      </c>
      <c r="C124" s="122">
        <v>50.0</v>
      </c>
      <c r="D124" s="78">
        <v>2.0</v>
      </c>
      <c r="E124" s="144">
        <v>62.0</v>
      </c>
      <c r="F124" s="145">
        <v>60.0</v>
      </c>
      <c r="G124" s="81" t="s">
        <v>24</v>
      </c>
      <c r="H124" s="82" t="s">
        <v>71</v>
      </c>
      <c r="I124" s="81">
        <v>0.15</v>
      </c>
      <c r="J124" s="87">
        <v>949.0</v>
      </c>
      <c r="K124" s="88" t="str">
        <f>HYPERLINK("http://amzn.to/2faVsIu","link*")</f>
        <v>link*</v>
      </c>
      <c r="L124" s="88" t="str">
        <f>HYPERLINK("https://www.bhphotovideo.com/c/product/1080387-REG/zeiss_2103_748_loxia_50mm_f_2_planar.html/BI/19619/KBID/12129/kw/ZE502LFE/DFF/d10-v2-t1-xZE502LFE","link*")</f>
        <v>link*</v>
      </c>
      <c r="M124" s="88" t="str">
        <f>HYPERLINK("http://amzn.to/2wyJAU4","link*")</f>
        <v>link*</v>
      </c>
      <c r="N124"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124" s="83">
        <v>45.0</v>
      </c>
      <c r="P124" s="84" t="s">
        <v>26</v>
      </c>
      <c r="Q124" s="81">
        <v>10.0</v>
      </c>
      <c r="R124" s="123">
        <v>43561.0</v>
      </c>
      <c r="S124" s="81" t="s">
        <v>58</v>
      </c>
      <c r="T124" s="86">
        <v>41913.0</v>
      </c>
      <c r="U124" s="68" t="s">
        <v>101</v>
      </c>
    </row>
    <row r="125" hidden="1">
      <c r="A125" s="131" t="str">
        <f>HYPERLINK("https://phillipreeve.net/blog/rolling-review-sony-fe-2-850-macro/","Sony 50mm F/2.8 Macro")</f>
        <v>Sony 50mm F/2.8 Macro</v>
      </c>
      <c r="B125" s="76">
        <v>236.0</v>
      </c>
      <c r="C125" s="122">
        <v>50.0</v>
      </c>
      <c r="D125" s="78">
        <v>1.8</v>
      </c>
      <c r="E125" s="144">
        <v>72.0</v>
      </c>
      <c r="F125" s="145">
        <v>71.0</v>
      </c>
      <c r="G125" s="81" t="s">
        <v>30</v>
      </c>
      <c r="H125" s="82" t="s">
        <v>90</v>
      </c>
      <c r="I125" s="259">
        <v>1.0</v>
      </c>
      <c r="J125" s="129">
        <v>499.0</v>
      </c>
      <c r="K125" s="88" t="str">
        <f>HYPERLINK("http://amzn.to/2v2g0qz","link*")</f>
        <v>link*</v>
      </c>
      <c r="L125" s="88" t="str">
        <f>HYPERLINK("https://www.bhphotovideo.com/c/product/1277527-REG/sony_sel50m28_fe_50mm_f_2_8_macro.html/BI/19619/KBID/12129/kw/SO5028FF/DFF/d10-v2-t1-xSO5028FF","link*")</f>
        <v>link*</v>
      </c>
      <c r="M125" s="88" t="str">
        <f>HYPERLINK("http://amzn.to/2vbknRN","link*")</f>
        <v>link*</v>
      </c>
      <c r="N125"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125" s="83">
        <v>16.0</v>
      </c>
      <c r="P125" s="84" t="s">
        <v>26</v>
      </c>
      <c r="Q125" s="81">
        <v>7.0</v>
      </c>
      <c r="R125" s="123">
        <v>43654.0</v>
      </c>
      <c r="S125" s="81" t="s">
        <v>32</v>
      </c>
      <c r="T125" s="86">
        <v>42614.0</v>
      </c>
    </row>
    <row r="126" hidden="1">
      <c r="A126" s="131" t="str">
        <f>HYPERLINK("https://phillipreeve.net/blog/sony-fe-1-855-za-sonnar-t-review/","Sony ZA 55mm F1.8 Sonnar")</f>
        <v>Sony ZA 55mm F1.8 Sonnar</v>
      </c>
      <c r="B126" s="76">
        <v>281.0</v>
      </c>
      <c r="C126" s="122">
        <v>55.0</v>
      </c>
      <c r="D126" s="78">
        <v>1.8</v>
      </c>
      <c r="E126" s="144">
        <v>64.0</v>
      </c>
      <c r="F126" s="145">
        <v>71.0</v>
      </c>
      <c r="G126" s="81" t="s">
        <v>30</v>
      </c>
      <c r="H126" s="82" t="s">
        <v>74</v>
      </c>
      <c r="I126" s="81">
        <v>0.14</v>
      </c>
      <c r="J126" s="87">
        <v>999.0</v>
      </c>
      <c r="K126" s="88" t="str">
        <f>HYPERLINK("https://amzn.to/2ywdgEk","link*")</f>
        <v>link*</v>
      </c>
      <c r="L126" s="88" t="str">
        <f>HYPERLINK("https://www.bhphotovideo.com/c/product/1008124-REG/sony_sel55f18z_sonnar_t_fe_55mm.html/BI/19619/KBID/12129/DFF/d10-v21-t1-x466841/SID/EZ","link*")</f>
        <v>link*</v>
      </c>
      <c r="M126" s="89" t="s">
        <v>33</v>
      </c>
      <c r="N126"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126" s="83">
        <v>50.0</v>
      </c>
      <c r="P126" s="84" t="s">
        <v>26</v>
      </c>
      <c r="Q126" s="81">
        <v>9.0</v>
      </c>
      <c r="R126" s="123">
        <v>43592.0</v>
      </c>
      <c r="S126" s="81" t="s">
        <v>32</v>
      </c>
      <c r="T126" s="86">
        <v>41548.0</v>
      </c>
    </row>
    <row r="127" hidden="1">
      <c r="A127" s="131" t="str">
        <f>HYPERLINK("https://phillipreeve.net/blog/voigtlander-65-f2-apo-macro-review/","Voigtlander Macro 65mm F2 Apo Lanthar")</f>
        <v>Voigtlander Macro 65mm F2 Apo Lanthar</v>
      </c>
      <c r="B127" s="76">
        <v>635.0</v>
      </c>
      <c r="C127" s="122">
        <v>65.0</v>
      </c>
      <c r="D127" s="78">
        <v>2.0</v>
      </c>
      <c r="E127" s="144">
        <v>78.0</v>
      </c>
      <c r="F127" s="145">
        <v>91.0</v>
      </c>
      <c r="G127" s="81" t="s">
        <v>24</v>
      </c>
      <c r="H127" s="82" t="s">
        <v>53</v>
      </c>
      <c r="I127" s="393">
        <v>0.5</v>
      </c>
      <c r="J127" s="87">
        <v>999.0</v>
      </c>
      <c r="K127" s="88" t="str">
        <f>HYPERLINK("https://amzn.to/2LU48SI","link*")</f>
        <v>link*</v>
      </c>
      <c r="L127" s="88" t="str">
        <f>HYPERLINK("https://www.bhphotovideo.com/c/product/1350400-REG/voigtlander_macro_apo_lanthar_65mm_f2.html/BI/19619/KBID/12129/DFF/d10-v21-t1-x835677/SID/EZ","link*")</f>
        <v>link*</v>
      </c>
      <c r="M127" s="89" t="s">
        <v>33</v>
      </c>
      <c r="N127"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127" s="83">
        <v>31.0</v>
      </c>
      <c r="P127" s="84" t="s">
        <v>26</v>
      </c>
      <c r="Q127" s="81">
        <v>10.0</v>
      </c>
      <c r="R127" s="123">
        <v>43687.0</v>
      </c>
      <c r="S127" s="81" t="s">
        <v>28</v>
      </c>
      <c r="T127" s="281">
        <v>42917.0</v>
      </c>
    </row>
    <row r="128" hidden="1">
      <c r="A128" s="75" t="s">
        <v>112</v>
      </c>
      <c r="B128" s="76">
        <v>562.0</v>
      </c>
      <c r="C128" s="122">
        <v>70.0</v>
      </c>
      <c r="D128" s="78">
        <v>2.8</v>
      </c>
      <c r="E128" s="144">
        <v>71.0</v>
      </c>
      <c r="F128" s="145">
        <v>106.0</v>
      </c>
      <c r="G128" s="81" t="s">
        <v>30</v>
      </c>
      <c r="H128" s="82" t="s">
        <v>74</v>
      </c>
      <c r="I128" s="259">
        <v>1.0</v>
      </c>
      <c r="J128" s="211">
        <v>569.0</v>
      </c>
      <c r="K128" s="88" t="str">
        <f>HYPERLINK("https://amzn.to/2YGO9te","link*")</f>
        <v>link*</v>
      </c>
      <c r="L128" s="88" t="str">
        <f>HYPERLINK("https://www.bhphotovideo.com/c/product/1393483-REG/sigma_70mm_f_2_8_dg_macro.html/BI/19619/KBID/12129/DFF/d10-v21-t1-x895111/SID/EZ","link*")</f>
        <v>link*</v>
      </c>
      <c r="M128" s="89" t="s">
        <v>33</v>
      </c>
      <c r="N128" s="88"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128" s="83">
        <v>26.0</v>
      </c>
      <c r="P128" s="84" t="s">
        <v>26</v>
      </c>
      <c r="Q128" s="81">
        <v>9.0</v>
      </c>
      <c r="R128" s="123">
        <v>43751.0</v>
      </c>
      <c r="S128" s="81" t="s">
        <v>41</v>
      </c>
      <c r="T128" s="86">
        <v>43221.0</v>
      </c>
      <c r="U128" s="68" t="s">
        <v>42</v>
      </c>
    </row>
    <row r="129" hidden="1">
      <c r="A129" s="75" t="s">
        <v>113</v>
      </c>
      <c r="B129" s="76">
        <v>1480.0</v>
      </c>
      <c r="C129" s="122">
        <v>70.0</v>
      </c>
      <c r="D129" s="78">
        <v>2.8</v>
      </c>
      <c r="E129" s="144">
        <v>88.0</v>
      </c>
      <c r="F129" s="145">
        <v>200.0</v>
      </c>
      <c r="G129" s="81" t="s">
        <v>30</v>
      </c>
      <c r="H129" s="82" t="s">
        <v>56</v>
      </c>
      <c r="I129" s="185">
        <v>0.25</v>
      </c>
      <c r="J129" s="87">
        <v>2599.0</v>
      </c>
      <c r="K129" s="88" t="str">
        <f>HYPERLINK("https://amzn.to/2KbaJGn","link*")</f>
        <v>link*</v>
      </c>
      <c r="L129" s="88" t="str">
        <f>HYPERLINK("https://www.bhphotovideo.com/c/product/1222776-REG/sony_sel70200gm_fe_70_200mm_f_2_8_gm.html/BI/19619/KBID/12129/DFF/d10-v21-t1-x746807/SID/EZ","link*")</f>
        <v>link*</v>
      </c>
      <c r="M129" s="89" t="s">
        <v>33</v>
      </c>
      <c r="N129"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129" s="83">
        <v>96.0</v>
      </c>
      <c r="P129" s="154" t="s">
        <v>49</v>
      </c>
      <c r="Q129" s="81">
        <v>11.0</v>
      </c>
      <c r="R129" s="85" t="s">
        <v>114</v>
      </c>
      <c r="S129" s="81" t="s">
        <v>32</v>
      </c>
      <c r="T129" s="86">
        <v>42401.0</v>
      </c>
    </row>
    <row r="130" hidden="1">
      <c r="A130" s="75" t="s">
        <v>117</v>
      </c>
      <c r="B130" s="76">
        <v>854.0</v>
      </c>
      <c r="C130" s="122">
        <v>70.0</v>
      </c>
      <c r="D130" s="78" t="s">
        <v>118</v>
      </c>
      <c r="E130" s="144">
        <v>84.0</v>
      </c>
      <c r="F130" s="145">
        <v>144.0</v>
      </c>
      <c r="G130" s="81" t="s">
        <v>30</v>
      </c>
      <c r="H130" s="82" t="s">
        <v>48</v>
      </c>
      <c r="I130" s="140">
        <v>0.31</v>
      </c>
      <c r="J130" s="87">
        <v>1198.0</v>
      </c>
      <c r="K130" s="88" t="str">
        <f>HYPERLINK("https://amzn.to/2SVN1Ao","link*")</f>
        <v>link*</v>
      </c>
      <c r="L130" s="88" t="str">
        <f>HYPERLINK("https://www.bhphotovideo.com/c/product/1242614-REG/sony_sel70300g_fe_70_300mm_f_4_5_5_6_g.html/BI/19619/KBID/12129/DFF/d10-v21-t1-x722726/SID/EZ","link*")</f>
        <v>link*</v>
      </c>
      <c r="M130" s="89" t="s">
        <v>33</v>
      </c>
      <c r="N130"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130" s="83">
        <v>90.0</v>
      </c>
      <c r="P130" s="154" t="s">
        <v>49</v>
      </c>
      <c r="Q130" s="81">
        <v>9.0</v>
      </c>
      <c r="R130" s="85" t="s">
        <v>52</v>
      </c>
      <c r="S130" s="81" t="s">
        <v>32</v>
      </c>
      <c r="T130" s="86">
        <v>42430.0</v>
      </c>
    </row>
    <row r="131" hidden="1">
      <c r="A131" s="131" t="str">
        <f>HYPERLINK("https://phillipreeve.net/blog/review-sony-fe-470-200-g-oss/https://phillipreeve.net/blog/review-sony-fe-470-200-g-oss/","Sony G 4/70-200 OSS")</f>
        <v>Sony G 4/70-200 OSS</v>
      </c>
      <c r="B131" s="76">
        <v>840.0</v>
      </c>
      <c r="C131" s="122">
        <v>70.0</v>
      </c>
      <c r="D131" s="78">
        <v>4.0</v>
      </c>
      <c r="E131" s="144">
        <v>80.0</v>
      </c>
      <c r="F131" s="145">
        <v>175.0</v>
      </c>
      <c r="G131" s="81" t="s">
        <v>30</v>
      </c>
      <c r="H131" s="82" t="s">
        <v>48</v>
      </c>
      <c r="I131" s="81">
        <v>0.18</v>
      </c>
      <c r="J131" s="87">
        <v>1498.0</v>
      </c>
      <c r="K131" s="88" t="str">
        <f>HYPERLINK("http://amzn.to/2fbeX3x","link*")</f>
        <v>link*</v>
      </c>
      <c r="L131" s="88" t="str">
        <f>HYPERLINK("https://www.bhphotovideo.com/c/product/1380865-REG/sony_fe_70_200mm_f_4_g.html/BI/19619/KBID/12129/kw/SO702004F/DFF/d10-v2-t1-xSO702004F","link*")</f>
        <v>link*</v>
      </c>
      <c r="M131" s="88" t="str">
        <f>HYPERLINK("http://amzn.to/2vbFQKj","link*")</f>
        <v>link*</v>
      </c>
      <c r="N131"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131" s="83">
        <v>100.0</v>
      </c>
      <c r="P131" s="154" t="s">
        <v>49</v>
      </c>
      <c r="Q131" s="81">
        <v>9.0</v>
      </c>
      <c r="R131" s="85" t="s">
        <v>121</v>
      </c>
      <c r="S131" s="81" t="s">
        <v>32</v>
      </c>
      <c r="T131" s="86">
        <v>41548.0</v>
      </c>
    </row>
    <row r="132" hidden="1">
      <c r="A132" s="131" t="str">
        <f>HYPERLINK("https://phillipreeve.net/blog/review-sony-fe-85mm-1-4-gm/","Sony GM 1.4/85")</f>
        <v>Sony GM 1.4/85</v>
      </c>
      <c r="B132" s="76">
        <v>854.0</v>
      </c>
      <c r="C132" s="122">
        <v>85.0</v>
      </c>
      <c r="D132" s="78">
        <v>1.4</v>
      </c>
      <c r="E132" s="144">
        <v>84.0</v>
      </c>
      <c r="F132" s="145">
        <v>108.0</v>
      </c>
      <c r="G132" s="81" t="s">
        <v>30</v>
      </c>
      <c r="H132" s="82" t="s">
        <v>56</v>
      </c>
      <c r="I132" s="81">
        <v>0.12</v>
      </c>
      <c r="J132" s="87">
        <v>1799.0</v>
      </c>
      <c r="K132" s="88" t="str">
        <f>HYPERLINK("https://amzn.to/2SZeKAh","link*")</f>
        <v>link*</v>
      </c>
      <c r="L132" s="88" t="str">
        <f>HYPERLINK("https://www.bhphotovideo.com/c/product/1222775-REG/sony_sel85f14gm_fe_85mm_f_1_4_gm.html/BI/19619/KBID/12129/DFF/d10-v21-t1-x707644/SID/EZ","link*")</f>
        <v>link*</v>
      </c>
      <c r="M132" s="89" t="s">
        <v>33</v>
      </c>
      <c r="N132"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132" s="83">
        <v>80.0</v>
      </c>
      <c r="P132" s="84" t="s">
        <v>26</v>
      </c>
      <c r="Q132" s="81">
        <v>11.0</v>
      </c>
      <c r="R132" s="123">
        <v>43688.0</v>
      </c>
      <c r="S132" s="81" t="s">
        <v>32</v>
      </c>
      <c r="T132" s="86">
        <v>42401.0</v>
      </c>
    </row>
    <row r="133" hidden="1">
      <c r="A133" s="75" t="s">
        <v>123</v>
      </c>
      <c r="B133" s="76">
        <v>1130.0</v>
      </c>
      <c r="C133" s="122">
        <v>85.0</v>
      </c>
      <c r="D133" s="78">
        <v>1.4</v>
      </c>
      <c r="E133" s="144">
        <v>95.0</v>
      </c>
      <c r="F133" s="145">
        <v>152.0</v>
      </c>
      <c r="G133" s="81" t="s">
        <v>30</v>
      </c>
      <c r="H133" s="232" t="s">
        <v>124</v>
      </c>
      <c r="I133" s="81">
        <v>0.12</v>
      </c>
      <c r="J133" s="87">
        <v>1199.0</v>
      </c>
      <c r="K133" s="88" t="str">
        <f>HYPERLINK("https://amzn.to/2MBd68k","link*")</f>
        <v>link*</v>
      </c>
      <c r="L133" s="88" t="str">
        <f>HYPERLINK("https://www.bhphotovideo.com/c/product/1393494-REG/sigma_85mm_f_1_4_dg_hsm.html/BI/19619/KBID/12129/kw/SI8514SO/DFF/d10-v2-t1-xSI8514SO","link*")</f>
        <v>link*</v>
      </c>
      <c r="M133" s="88" t="str">
        <f>HYPERLINK("https://amzn.to/2Wto6JH","link*")</f>
        <v>link*</v>
      </c>
      <c r="N133"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133" s="83">
        <v>85.0</v>
      </c>
      <c r="P133" s="84" t="s">
        <v>26</v>
      </c>
      <c r="Q133" s="81">
        <v>9.0</v>
      </c>
      <c r="R133" s="123">
        <v>43724.0</v>
      </c>
      <c r="S133" s="81" t="s">
        <v>41</v>
      </c>
      <c r="T133" s="86">
        <v>43221.0</v>
      </c>
      <c r="U133" s="68" t="s">
        <v>42</v>
      </c>
    </row>
    <row r="134" hidden="1">
      <c r="A134" s="75" t="s">
        <v>125</v>
      </c>
      <c r="B134" s="76">
        <v>568.0</v>
      </c>
      <c r="C134" s="122">
        <v>85.0</v>
      </c>
      <c r="D134" s="78">
        <v>1.4</v>
      </c>
      <c r="E134" s="144">
        <v>88.0</v>
      </c>
      <c r="F134" s="145">
        <v>100.0</v>
      </c>
      <c r="G134" s="81" t="s">
        <v>30</v>
      </c>
      <c r="H134" s="82" t="s">
        <v>56</v>
      </c>
      <c r="I134" s="81">
        <v>0.11</v>
      </c>
      <c r="J134" s="153">
        <v>699.0</v>
      </c>
      <c r="K134" s="88" t="str">
        <f>HYPERLINK("https://amzn.to/2T0yJ1A","link*")</f>
        <v>link*</v>
      </c>
      <c r="L134" s="88" t="str">
        <f>HYPERLINK("https://www.bhphotovideo.com/c/product/1470654-REG/samyang_syio85af_e_af_85mm_f_1_4_lens.html/BI/19619/KBID/12129/DFF/d10-v21-t1-x955078/SID/EZ","link*")</f>
        <v>link*</v>
      </c>
      <c r="M134" s="89" t="s">
        <v>33</v>
      </c>
      <c r="N134"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134" s="83">
        <v>90.0</v>
      </c>
      <c r="P134" s="84" t="s">
        <v>26</v>
      </c>
      <c r="Q134" s="81">
        <v>9.0</v>
      </c>
      <c r="R134" s="123">
        <v>43688.0</v>
      </c>
      <c r="S134" s="81" t="s">
        <v>46</v>
      </c>
      <c r="T134" s="86">
        <v>43586.0</v>
      </c>
    </row>
    <row r="135" hidden="1">
      <c r="A135" s="131" t="str">
        <f>HYPERLINK("https://phillipreeve.net/blog/review-sony-fe-85-mm-1-8/","Sony FE 85mm f/1.8")</f>
        <v>Sony FE 85mm f/1.8</v>
      </c>
      <c r="B135" s="76">
        <v>371.0</v>
      </c>
      <c r="C135" s="122">
        <v>85.0</v>
      </c>
      <c r="D135" s="78">
        <v>1.8</v>
      </c>
      <c r="E135" s="144">
        <v>77.0</v>
      </c>
      <c r="F135" s="145">
        <v>82.0</v>
      </c>
      <c r="G135" s="81" t="s">
        <v>30</v>
      </c>
      <c r="H135" s="82" t="s">
        <v>53</v>
      </c>
      <c r="I135" s="81">
        <v>0.13</v>
      </c>
      <c r="J135" s="153">
        <v>599.0</v>
      </c>
      <c r="K135" s="88" t="str">
        <f>HYPERLINK("https://amzn.to/2YB4RxU","link*")</f>
        <v>link*</v>
      </c>
      <c r="L135" s="88" t="str">
        <f t="shared" ref="L135:L136" si="3">HYPERLINK("https://www.bhphotovideo.com/c/product/1140833-REG/zeiss_2103_751_85mm_f_1_8_batis_short.html/BI/19619/KBID/12129/DFF/d10-v21-t1-x627139/SID/EZ","link*")</f>
        <v>link*</v>
      </c>
      <c r="M135" s="89" t="s">
        <v>33</v>
      </c>
      <c r="N135"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135" s="83">
        <v>80.0</v>
      </c>
      <c r="P135" s="84" t="s">
        <v>26</v>
      </c>
      <c r="Q135" s="81">
        <v>9.0</v>
      </c>
      <c r="R135" s="123">
        <v>43686.0</v>
      </c>
      <c r="S135" s="81" t="s">
        <v>32</v>
      </c>
      <c r="T135" s="86">
        <v>42767.0</v>
      </c>
    </row>
    <row r="136">
      <c r="A136" s="131" t="str">
        <f>HYPERLINK("https://phillipreeve.net/blog/zeiss-batis-sonnar-t-85mm-f1-8-a-review/","Zeiss Batis 1.8/85")</f>
        <v>Zeiss Batis 1.8/85</v>
      </c>
      <c r="B136" s="76">
        <v>475.0</v>
      </c>
      <c r="C136" s="122">
        <v>85.0</v>
      </c>
      <c r="D136" s="78">
        <v>1.8</v>
      </c>
      <c r="E136" s="144">
        <v>92.0</v>
      </c>
      <c r="F136" s="145">
        <v>81.0</v>
      </c>
      <c r="G136" s="81" t="s">
        <v>30</v>
      </c>
      <c r="H136" s="82" t="s">
        <v>53</v>
      </c>
      <c r="I136" s="81">
        <v>0.13</v>
      </c>
      <c r="J136" s="87">
        <v>1199.0</v>
      </c>
      <c r="K136" s="88" t="str">
        <f>HYPERLINK("https://amzn.to/2T8oWqt","link*")</f>
        <v>link*</v>
      </c>
      <c r="L136" s="88" t="str">
        <f t="shared" si="3"/>
        <v>link*</v>
      </c>
      <c r="M136" s="89" t="s">
        <v>33</v>
      </c>
      <c r="N136"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136" s="83">
        <v>80.0</v>
      </c>
      <c r="P136" s="154" t="s">
        <v>49</v>
      </c>
      <c r="Q136" s="81">
        <v>9.0</v>
      </c>
      <c r="R136" s="123">
        <v>43688.0</v>
      </c>
      <c r="S136" s="81" t="s">
        <v>58</v>
      </c>
      <c r="T136" s="86">
        <v>42125.0</v>
      </c>
    </row>
    <row r="137" hidden="1">
      <c r="A137" s="75" t="s">
        <v>129</v>
      </c>
      <c r="B137" s="76">
        <v>665.0</v>
      </c>
      <c r="C137" s="122">
        <v>85.0</v>
      </c>
      <c r="D137" s="78">
        <v>1.8</v>
      </c>
      <c r="E137" s="144">
        <v>79.0</v>
      </c>
      <c r="F137" s="145">
        <v>92.0</v>
      </c>
      <c r="G137" s="81" t="s">
        <v>24</v>
      </c>
      <c r="H137" s="82" t="s">
        <v>48</v>
      </c>
      <c r="I137" s="81">
        <v>0.13</v>
      </c>
      <c r="J137" s="87">
        <v>299.0</v>
      </c>
      <c r="K137" s="88" t="str">
        <f>HYPERLINK("https://amzn.to/2LVVOBV","link*")</f>
        <v>link*</v>
      </c>
      <c r="L137" s="88" t="str">
        <f>HYPERLINK("https://www.bhphotovideo.com/c/product/1469189-REG/viltrox_pfu_rbmh_85mm_f1_8_e_mount_85mm_f_1_8_for_sony.html/BI/19619/KBID/12129/DFF/d10-v21-t1-x954301/SID/EZ","link*")</f>
        <v>link*</v>
      </c>
      <c r="M137" s="89" t="s">
        <v>33</v>
      </c>
      <c r="N137"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137" s="83">
        <v>80.0</v>
      </c>
      <c r="P137" s="84" t="s">
        <v>26</v>
      </c>
      <c r="Q137" s="81">
        <v>9.0</v>
      </c>
      <c r="R137" s="123">
        <v>43656.0</v>
      </c>
      <c r="S137" s="81" t="s">
        <v>63</v>
      </c>
      <c r="T137" s="646">
        <v>43586.0</v>
      </c>
      <c r="U137" s="68" t="s">
        <v>236</v>
      </c>
    </row>
    <row r="138" hidden="1">
      <c r="A138" s="75" t="s">
        <v>229</v>
      </c>
      <c r="B138" s="76">
        <v>636.0</v>
      </c>
      <c r="C138" s="122">
        <v>85.0</v>
      </c>
      <c r="D138" s="78">
        <v>1.8</v>
      </c>
      <c r="E138" s="144">
        <v>79.0</v>
      </c>
      <c r="F138" s="145">
        <v>92.0</v>
      </c>
      <c r="G138" s="81" t="s">
        <v>30</v>
      </c>
      <c r="H138" s="82" t="s">
        <v>48</v>
      </c>
      <c r="I138" s="81">
        <v>0.13</v>
      </c>
      <c r="J138" s="87">
        <v>379.0</v>
      </c>
      <c r="K138" s="88" t="str">
        <f>HYPERLINK("https://amzn.to/2SZfd5v","link*")</f>
        <v>link*</v>
      </c>
      <c r="L138" s="88" t="str">
        <f>HYPERLINK("https://www.bhphotovideo.com/c/product/1470585-REG/viltrox_pfu_rbmh_85mm_f1_8_stm_e_mount_85mm_f_1_8_lens_for.html/BI/19619/KBID/12129/DFF/d10-v21-t1-x955239/SID/EZ","link*")</f>
        <v>link*</v>
      </c>
      <c r="M138" s="89" t="s">
        <v>33</v>
      </c>
      <c r="N138"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138" s="83">
        <v>80.0</v>
      </c>
      <c r="P138" s="84" t="s">
        <v>26</v>
      </c>
      <c r="Q138" s="81">
        <v>9.0</v>
      </c>
      <c r="R138" s="123">
        <v>43656.0</v>
      </c>
      <c r="S138" s="81" t="s">
        <v>63</v>
      </c>
      <c r="T138" s="86">
        <v>43586.0</v>
      </c>
    </row>
    <row r="139">
      <c r="A139" s="131" t="str">
        <f>HYPERLINK("https://phillipreeve.net/blog/rolling-review-zeiss-loxia-85mm-2-4/","Zeiss Loxia 2.4/85")</f>
        <v>Zeiss Loxia 2.4/85</v>
      </c>
      <c r="B139" s="76">
        <v>594.0</v>
      </c>
      <c r="C139" s="122">
        <v>85.0</v>
      </c>
      <c r="D139" s="78">
        <v>2.4</v>
      </c>
      <c r="E139" s="144">
        <v>63.0</v>
      </c>
      <c r="F139" s="145">
        <v>95.0</v>
      </c>
      <c r="G139" s="81" t="s">
        <v>24</v>
      </c>
      <c r="H139" s="82" t="s">
        <v>71</v>
      </c>
      <c r="I139" s="81">
        <v>0.14</v>
      </c>
      <c r="J139" s="87">
        <v>1399.0</v>
      </c>
      <c r="K139" s="88" t="str">
        <f>HYPERLINK("https://amzn.to/2SY4PLd","link*")</f>
        <v>link*</v>
      </c>
      <c r="L139" s="88" t="str">
        <f>HYPERLINK("https://www.bhphotovideo.com/c/product/1282150-REG/zeiss_2162_636_loxia_85mm_f_2_4_lens.html/BI/19619/KBID/12129/DFF/d10-v21-t1-x762761/SID/EZ","link*")</f>
        <v>link*</v>
      </c>
      <c r="M139" s="89" t="s">
        <v>33</v>
      </c>
      <c r="N139"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139" s="83">
        <v>80.0</v>
      </c>
      <c r="P139" s="84" t="s">
        <v>26</v>
      </c>
      <c r="Q139" s="81">
        <v>10.0</v>
      </c>
      <c r="R139" s="123">
        <v>43653.0</v>
      </c>
      <c r="S139" s="81" t="s">
        <v>58</v>
      </c>
      <c r="T139" s="86">
        <v>42644.0</v>
      </c>
    </row>
    <row r="140" hidden="1">
      <c r="A140" s="131" t="str">
        <f>HYPERLINK("https://phillipreeve.net/blog/review-sony-fe-90mm-f2-8-macro-oss-one-of-sonys-finest/","Sony 2.8/90 G OSS")</f>
        <v>Sony 2.8/90 G OSS</v>
      </c>
      <c r="B140" s="76">
        <v>602.0</v>
      </c>
      <c r="C140" s="122">
        <v>90.0</v>
      </c>
      <c r="D140" s="78">
        <v>2.8</v>
      </c>
      <c r="E140" s="144">
        <v>79.0</v>
      </c>
      <c r="F140" s="145">
        <v>131.0</v>
      </c>
      <c r="G140" s="81" t="s">
        <v>30</v>
      </c>
      <c r="H140" s="82" t="s">
        <v>66</v>
      </c>
      <c r="I140" s="259">
        <v>1.0</v>
      </c>
      <c r="J140" s="87">
        <v>1099.0</v>
      </c>
      <c r="K140" s="88" t="str">
        <f>HYPERLINK("http://amzn.to/2fbeX3x","link*")</f>
        <v>link*</v>
      </c>
      <c r="L140" s="88" t="str">
        <f>HYPERLINK("https://www.bhphotovideo.com/c/product/1380868-REG/sony_fe_90mm_f_2_8_macro.html/BI/19619/KBID/12129/kw/SO9028F/DFF/d10-v2-t1-xSO9028F","link*")</f>
        <v>link*</v>
      </c>
      <c r="M140" s="88" t="str">
        <f>HYPERLINK("http://amzn.to/2vvvHcw","link*")</f>
        <v>link*</v>
      </c>
      <c r="N140"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40" s="83">
        <v>28.0</v>
      </c>
      <c r="P140" s="154" t="s">
        <v>49</v>
      </c>
      <c r="Q140" s="81">
        <v>9.0</v>
      </c>
      <c r="R140" s="123">
        <v>43784.0</v>
      </c>
      <c r="S140" s="81" t="s">
        <v>32</v>
      </c>
      <c r="T140" s="86">
        <v>42064.0</v>
      </c>
    </row>
    <row r="141" hidden="1">
      <c r="A141" s="131" t="str">
        <f>HYPERLINK("https://phillipreeve.net/blog/review-sony-fe-100-f-2-8-stf-gm-oss-lens/","Sony GM 2.8/100 STF OSS")</f>
        <v>Sony GM 2.8/100 STF OSS</v>
      </c>
      <c r="B141" s="76">
        <v>700.0</v>
      </c>
      <c r="C141" s="122">
        <v>100.0</v>
      </c>
      <c r="D141" s="78">
        <v>2.8</v>
      </c>
      <c r="E141" s="144">
        <v>85.0</v>
      </c>
      <c r="F141" s="145">
        <v>118.0</v>
      </c>
      <c r="G141" s="81" t="s">
        <v>30</v>
      </c>
      <c r="H141" s="82" t="s">
        <v>48</v>
      </c>
      <c r="I141" s="185">
        <v>0.25</v>
      </c>
      <c r="J141" s="87">
        <v>1499.0</v>
      </c>
      <c r="K141" s="88" t="str">
        <f>HYPERLINK("https://amzn.to/2YD8rn4","link*")</f>
        <v>link*</v>
      </c>
      <c r="L141" s="88" t="str">
        <f>HYPERLINK("https://www.bhphotovideo.com/c/product/1317561-REG/sony_sel100f28gm_fe_100mm_f_2_8_stf.html/BI/19619/KBID/12129/DFF/d10-v21-t1-x795192/SID/EZ","link*")</f>
        <v>link*</v>
      </c>
      <c r="M141" s="89" t="s">
        <v>33</v>
      </c>
      <c r="N141"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141" s="83">
        <v>57.0</v>
      </c>
      <c r="P141" s="154" t="s">
        <v>49</v>
      </c>
      <c r="Q141" s="81">
        <v>11.0</v>
      </c>
      <c r="R141" s="123">
        <v>43752.0</v>
      </c>
      <c r="S141" s="81" t="s">
        <v>32</v>
      </c>
      <c r="T141" s="86">
        <v>42767.0</v>
      </c>
      <c r="U141" s="68" t="s">
        <v>132</v>
      </c>
    </row>
    <row r="142" hidden="1">
      <c r="A142" s="131" t="str">
        <f>HYPERLINK("https://phillipreeve.net/blog/review-tokina-firin-100mm-f2-8-fe-macro/","Tokina Firin 2.8/100 Macro")</f>
        <v>Tokina Firin 2.8/100 Macro</v>
      </c>
      <c r="B142" s="76">
        <v>570.0</v>
      </c>
      <c r="C142" s="122">
        <v>100.0</v>
      </c>
      <c r="D142" s="78">
        <v>2.8</v>
      </c>
      <c r="E142" s="144">
        <v>74.0</v>
      </c>
      <c r="F142" s="151">
        <v>123.0</v>
      </c>
      <c r="G142" s="81" t="s">
        <v>30</v>
      </c>
      <c r="H142" s="82" t="s">
        <v>90</v>
      </c>
      <c r="I142" s="259">
        <v>1.0</v>
      </c>
      <c r="J142" s="129">
        <v>599.0</v>
      </c>
      <c r="K142" s="88" t="str">
        <f>HYPERLINK("http://amzn.to/2fbeX3x","link*")</f>
        <v>link*</v>
      </c>
      <c r="L142" s="88" t="str">
        <f>HYPERLINK("https://www.bhphotovideo.com/c/product/1473390-REG/tokina_frn_afm100fxse_firin_100mm_f_2_8_fe.html/BI/19619/KBID/12129/kw/TO100AF/DFF/d10-v2-t1-xTO100AF","link*")</f>
        <v>link*</v>
      </c>
      <c r="M142"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142"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42" s="83">
        <v>30.0</v>
      </c>
      <c r="P142" s="84" t="s">
        <v>26</v>
      </c>
      <c r="Q142" s="81">
        <v>9.0</v>
      </c>
      <c r="R142" s="123">
        <v>43686.0</v>
      </c>
      <c r="S142" s="81" t="s">
        <v>67</v>
      </c>
      <c r="T142" s="86">
        <v>43617.0</v>
      </c>
      <c r="U142" s="68" t="s">
        <v>42</v>
      </c>
    </row>
    <row r="143" hidden="1">
      <c r="A143" s="75" t="s">
        <v>135</v>
      </c>
      <c r="B143" s="76">
        <v>1395.0</v>
      </c>
      <c r="C143" s="122">
        <v>100.0</v>
      </c>
      <c r="D143" s="78" t="s">
        <v>118</v>
      </c>
      <c r="E143" s="144">
        <v>94.0</v>
      </c>
      <c r="F143" s="151">
        <v>205.0</v>
      </c>
      <c r="G143" s="81" t="s">
        <v>30</v>
      </c>
      <c r="H143" s="82" t="s">
        <v>56</v>
      </c>
      <c r="I143" s="185">
        <v>0.35</v>
      </c>
      <c r="J143" s="87">
        <v>2499.0</v>
      </c>
      <c r="K143" s="88" t="str">
        <f>HYPERLINK("https://amzn.to/2SZ0aZO","link*")</f>
        <v>link*</v>
      </c>
      <c r="L143" s="88" t="str">
        <f>HYPERLINK("https://www.bhphotovideo.com/c/product/1333230-REG/sony_sel100400gm_fe_100_400mm_f_4_5_5_6_gm.html/BI/19619/KBID/12129/DFF/d10-v21-t1-x817745/SID/EZ","link*")</f>
        <v>link*</v>
      </c>
      <c r="M143" s="89" t="s">
        <v>33</v>
      </c>
      <c r="N143"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143" s="83">
        <v>98.0</v>
      </c>
      <c r="P143" s="154" t="s">
        <v>49</v>
      </c>
      <c r="Q143" s="81">
        <v>11.0</v>
      </c>
      <c r="R143" s="85" t="s">
        <v>134</v>
      </c>
      <c r="S143" s="81" t="s">
        <v>32</v>
      </c>
      <c r="T143" s="86">
        <v>42826.0</v>
      </c>
    </row>
    <row r="144" hidden="1">
      <c r="A144" s="75" t="s">
        <v>136</v>
      </c>
      <c r="B144" s="76">
        <v>1600.0</v>
      </c>
      <c r="C144" s="122">
        <v>105.0</v>
      </c>
      <c r="D144" s="78">
        <v>1.4</v>
      </c>
      <c r="E144" s="144">
        <v>116.0</v>
      </c>
      <c r="F144" s="151">
        <v>132.0</v>
      </c>
      <c r="G144" s="81" t="s">
        <v>30</v>
      </c>
      <c r="H144" s="384" t="s">
        <v>137</v>
      </c>
      <c r="I144" s="81">
        <v>0.12</v>
      </c>
      <c r="J144" s="87">
        <v>1599.0</v>
      </c>
      <c r="K144" s="88" t="str">
        <f>HYPERLINK("https://amzn.to/2EWeThZ","link*")</f>
        <v>link*</v>
      </c>
      <c r="L144" s="88" t="str">
        <f>HYPERLINK("https://www.bhphotovideo.com/c/product/1393488-REG/sigma_105mm_f_1_4_dg_hsm.html/BI/19619/KBID/12129/kw/SI10514SO/DFF/d10-v2-t1-xSI10514SO","link*")</f>
        <v>link*</v>
      </c>
      <c r="M144" s="88" t="str">
        <f>HYPERLINK("https://amzn.to/2WpOvTy","link*")</f>
        <v>link*</v>
      </c>
      <c r="N144" s="88"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144" s="83">
        <v>100.0</v>
      </c>
      <c r="P144" s="84" t="s">
        <v>26</v>
      </c>
      <c r="Q144" s="81">
        <v>9.0</v>
      </c>
      <c r="R144" s="123">
        <v>43816.0</v>
      </c>
      <c r="S144" s="81" t="s">
        <v>138</v>
      </c>
      <c r="T144" s="86">
        <v>43221.0</v>
      </c>
      <c r="U144" s="68" t="s">
        <v>42</v>
      </c>
    </row>
    <row r="145" hidden="1">
      <c r="A145" s="131" t="str">
        <f>HYPERLINK("https://phillipreeve.net/blog/voigtlander-110mm-f2-5-apo-review/","Voigtlander 110mm F2.5 APO Macro")</f>
        <v>Voigtlander 110mm F2.5 APO Macro</v>
      </c>
      <c r="B145" s="76">
        <v>771.0</v>
      </c>
      <c r="C145" s="122">
        <v>110.0</v>
      </c>
      <c r="D145" s="78">
        <v>2.5</v>
      </c>
      <c r="E145" s="144">
        <v>78.0</v>
      </c>
      <c r="F145" s="145">
        <v>100.0</v>
      </c>
      <c r="G145" s="81" t="s">
        <v>24</v>
      </c>
      <c r="H145" s="82" t="s">
        <v>47</v>
      </c>
      <c r="I145" s="259">
        <v>1.0</v>
      </c>
      <c r="J145" s="87">
        <v>1099.0</v>
      </c>
      <c r="K145" s="88" t="str">
        <f>HYPERLINK("https://amzn.to/2SXYsrm","link*")</f>
        <v>link*</v>
      </c>
      <c r="L145" s="88" t="str">
        <f>HYPERLINK("https://www.bhphotovideo.com/c/product/1418780-REG/voigtlander_ba349a_macro_apo_lanthar_110mm_f_2_5.html/BI/19619/KBID/12129/kw/VO11025/DFF/d10-v2-t1-xVO11025","link*")</f>
        <v>link*</v>
      </c>
      <c r="M145" s="89" t="s">
        <v>33</v>
      </c>
      <c r="N145"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145" s="83">
        <v>35.0</v>
      </c>
      <c r="P145" s="84" t="s">
        <v>26</v>
      </c>
      <c r="Q145" s="81">
        <v>10.0</v>
      </c>
      <c r="R145" s="123">
        <v>43813.0</v>
      </c>
      <c r="S145" s="81" t="s">
        <v>28</v>
      </c>
      <c r="T145" s="86">
        <v>43405.0</v>
      </c>
    </row>
    <row r="146" hidden="1">
      <c r="A146" s="131" t="str">
        <f>HYPERLINK("https://phillipreeve.net/blog/review-sony-fe-135mm-f1-8-gm/","Sony 1.8/135 GM")</f>
        <v>Sony 1.8/135 GM</v>
      </c>
      <c r="B146" s="76">
        <v>950.0</v>
      </c>
      <c r="C146" s="122">
        <v>135.0</v>
      </c>
      <c r="D146" s="78">
        <v>1.8</v>
      </c>
      <c r="E146" s="144">
        <v>90.0</v>
      </c>
      <c r="F146" s="145">
        <v>127.0</v>
      </c>
      <c r="G146" s="81" t="s">
        <v>30</v>
      </c>
      <c r="H146" s="270" t="s">
        <v>51</v>
      </c>
      <c r="I146" s="185">
        <v>0.25</v>
      </c>
      <c r="J146" s="87">
        <v>1899.0</v>
      </c>
      <c r="K146" s="88" t="str">
        <f>HYPERLINK("https://amzn.to/2WtonMJ","link*")</f>
        <v>link*</v>
      </c>
      <c r="L146" s="88" t="str">
        <f>HYPERLINK("https://www.bhphotovideo.com/c/product/1393495-REG/sigma_135mm_f_1_8_dg_hsm.html/BI/19619/KBID/12129/kw/SI13518SO/DFF/d10-v2-t1-xSI13518SO","link*")</f>
        <v>link*</v>
      </c>
      <c r="M146" s="88" t="str">
        <f>HYPERLINK("https://amzn.to/2Z9KKDE","link*")</f>
        <v>link*</v>
      </c>
      <c r="N146"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146" s="83">
        <v>70.0</v>
      </c>
      <c r="P146" s="84" t="s">
        <v>26</v>
      </c>
      <c r="Q146" s="81">
        <v>11.0</v>
      </c>
      <c r="R146" s="123">
        <v>43751.0</v>
      </c>
      <c r="S146" s="81" t="s">
        <v>32</v>
      </c>
      <c r="T146" s="86">
        <v>43525.0</v>
      </c>
    </row>
    <row r="147" hidden="1">
      <c r="A147" s="75" t="s">
        <v>142</v>
      </c>
      <c r="B147" s="76">
        <v>1130.0</v>
      </c>
      <c r="C147" s="122">
        <v>135.0</v>
      </c>
      <c r="D147" s="78">
        <v>1.8</v>
      </c>
      <c r="E147" s="144">
        <v>91.0</v>
      </c>
      <c r="F147" s="145">
        <v>115.0</v>
      </c>
      <c r="G147" s="81" t="s">
        <v>30</v>
      </c>
      <c r="H147" s="270" t="s">
        <v>51</v>
      </c>
      <c r="I147" s="81">
        <v>0.2</v>
      </c>
      <c r="J147" s="129">
        <v>1399.0</v>
      </c>
      <c r="K147" s="88" t="str">
        <f>HYPERLINK("https://amzn.to/2yxIM4R","link*")</f>
        <v>link*</v>
      </c>
      <c r="L147" s="88" t="str">
        <f>HYPERLINK("https://www.bhphotovideo.com/c/product/1393495-REG/sigma_135mm_f_1_8_dg_hsm.html/BI/19619/KBID/12129/DFF/d10-v21-t1-x881160/SID/EZ","link*")</f>
        <v>link*</v>
      </c>
      <c r="M147" s="89" t="s">
        <v>33</v>
      </c>
      <c r="N147"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147" s="83">
        <v>87.0</v>
      </c>
      <c r="P147" s="84" t="s">
        <v>26</v>
      </c>
      <c r="Q147" s="81">
        <v>9.0</v>
      </c>
      <c r="R147" s="123">
        <v>43751.0</v>
      </c>
      <c r="S147" s="81" t="s">
        <v>41</v>
      </c>
      <c r="T147" s="86">
        <v>43221.0</v>
      </c>
      <c r="U147" s="68" t="s">
        <v>42</v>
      </c>
    </row>
    <row r="148">
      <c r="A148" s="131" t="str">
        <f>HYPERLINK("https://phillipreeve.net/blog/zeiss-batis-apo-sonnar-t-135mm-f2-8/","Zeiss 2.8/135 APO")</f>
        <v>Zeiss 2.8/135 APO</v>
      </c>
      <c r="B148" s="76">
        <v>614.0</v>
      </c>
      <c r="C148" s="122">
        <v>135.0</v>
      </c>
      <c r="D148" s="78">
        <v>2.8</v>
      </c>
      <c r="E148" s="144">
        <v>99.0</v>
      </c>
      <c r="F148" s="145">
        <v>120.0</v>
      </c>
      <c r="G148" s="81" t="s">
        <v>30</v>
      </c>
      <c r="H148" s="82" t="s">
        <v>53</v>
      </c>
      <c r="I148" s="81">
        <v>0.19</v>
      </c>
      <c r="J148" s="87">
        <v>1699.0</v>
      </c>
      <c r="K148" s="88" t="str">
        <f>HYPERLINK("https://amzn.to/319GJA4","link*")</f>
        <v>link*</v>
      </c>
      <c r="L148" s="88" t="str">
        <f>HYPERLINK("https://www.bhphotovideo.com/c/product/1330083-REG/zeiss_2136_695_batis_135mm_f_2_8_lens.html/BI/19619/KBID/12129/DFF/d10-v21-t1-x814884/SID/EZ","link*")</f>
        <v>link*</v>
      </c>
      <c r="M148" s="89" t="s">
        <v>33</v>
      </c>
      <c r="N148"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148" s="83">
        <v>87.0</v>
      </c>
      <c r="P148" s="154" t="s">
        <v>49</v>
      </c>
      <c r="Q148" s="81">
        <v>9.0</v>
      </c>
      <c r="R148" s="123">
        <v>43783.0</v>
      </c>
      <c r="S148" s="81" t="s">
        <v>58</v>
      </c>
      <c r="T148" s="86">
        <v>42826.0</v>
      </c>
    </row>
    <row r="149" hidden="1">
      <c r="A149" s="75" t="s">
        <v>144</v>
      </c>
      <c r="B149" s="76">
        <v>2215.0</v>
      </c>
      <c r="C149" s="122">
        <v>200.0</v>
      </c>
      <c r="D149" s="78" t="s">
        <v>145</v>
      </c>
      <c r="E149" s="144">
        <v>112.0</v>
      </c>
      <c r="F149" s="145">
        <v>318.0</v>
      </c>
      <c r="G149" s="81" t="s">
        <v>30</v>
      </c>
      <c r="H149" s="198" t="s">
        <v>92</v>
      </c>
      <c r="I149" s="81">
        <v>0.2</v>
      </c>
      <c r="J149" s="87">
        <v>1999.0</v>
      </c>
      <c r="K149" s="89"/>
      <c r="L149" s="88" t="str">
        <f>HYPERLINK("https://www.bhphotovideo.com/c/product/1485540-REG/sony_sel200600g_fe_200_600mm_f_5_6_6_3_g.html/BI/19619/KBID/12129/DFF/d10-v21-t1-x968882/SID/EZ","link*")</f>
        <v>link*</v>
      </c>
      <c r="M149" s="89" t="s">
        <v>33</v>
      </c>
      <c r="N149"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149" s="83">
        <v>240.0</v>
      </c>
      <c r="P149" s="154" t="s">
        <v>49</v>
      </c>
      <c r="Q149" s="81">
        <v>11.0</v>
      </c>
      <c r="R149" s="85" t="s">
        <v>146</v>
      </c>
      <c r="S149" s="81" t="s">
        <v>32</v>
      </c>
      <c r="T149" s="86">
        <v>43647.0</v>
      </c>
    </row>
    <row r="150" hidden="1">
      <c r="A150" s="75" t="s">
        <v>147</v>
      </c>
      <c r="B150" s="76">
        <v>2895.0</v>
      </c>
      <c r="C150" s="122">
        <v>400.0</v>
      </c>
      <c r="D150" s="78">
        <v>2.8</v>
      </c>
      <c r="E150" s="144">
        <v>158.0</v>
      </c>
      <c r="F150" s="145">
        <v>359.0</v>
      </c>
      <c r="G150" s="81" t="s">
        <v>30</v>
      </c>
      <c r="H150" s="82" t="s">
        <v>148</v>
      </c>
      <c r="I150" s="81">
        <v>0.16</v>
      </c>
      <c r="J150" s="87">
        <v>11999.0</v>
      </c>
      <c r="K150" s="89"/>
      <c r="L150" s="88" t="str">
        <f>HYPERLINK("https://www.bhphotovideo.com/c/product/1369634-REG/sony_fe_400mm_f_2_8_gm.html/BI/19619/KBID/12129/DFF/d10-v21-t1-x905722/SID/EZ","link*")</f>
        <v>link*</v>
      </c>
      <c r="M150" s="89" t="s">
        <v>33</v>
      </c>
      <c r="N150"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150" s="83">
        <v>270.0</v>
      </c>
      <c r="P150" s="154" t="s">
        <v>49</v>
      </c>
      <c r="Q150" s="81">
        <v>11.0</v>
      </c>
      <c r="R150" s="85" t="s">
        <v>149</v>
      </c>
      <c r="S150" s="81" t="s">
        <v>32</v>
      </c>
      <c r="T150" s="86">
        <v>43313.0</v>
      </c>
    </row>
    <row r="151" hidden="1">
      <c r="A151" s="212" t="s">
        <v>150</v>
      </c>
      <c r="B151" s="213">
        <v>3040.0</v>
      </c>
      <c r="C151" s="451">
        <v>600.0</v>
      </c>
      <c r="D151" s="215">
        <v>4.0</v>
      </c>
      <c r="E151" s="144">
        <v>164.0</v>
      </c>
      <c r="F151" s="145">
        <v>449.0</v>
      </c>
      <c r="G151" s="218" t="s">
        <v>30</v>
      </c>
      <c r="H151" s="219" t="s">
        <v>25</v>
      </c>
      <c r="I151" s="218">
        <v>0.14</v>
      </c>
      <c r="J151" s="141" t="s">
        <v>230</v>
      </c>
      <c r="K151" s="89"/>
      <c r="L151" s="88" t="str">
        <f>HYPERLINK("https://www.bhphotovideo.com/c/product/1485539-REG/sony_sel600f40gm_fe_600mm_f_4_gm.html/BI/19619/KBID/12129/DFF/d10-v21-t1-x968881/SID/EZ","link*")</f>
        <v>link*</v>
      </c>
      <c r="M151" s="89" t="s">
        <v>33</v>
      </c>
      <c r="N151"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151" s="221">
        <v>451.0</v>
      </c>
      <c r="P151" s="154" t="s">
        <v>49</v>
      </c>
      <c r="Q151" s="218">
        <v>11.0</v>
      </c>
      <c r="R151" s="262" t="s">
        <v>151</v>
      </c>
      <c r="S151" s="218" t="s">
        <v>32</v>
      </c>
      <c r="T151" s="224">
        <v>43678.0</v>
      </c>
    </row>
    <row r="152">
      <c r="H152" s="295"/>
      <c r="K152" s="283"/>
      <c r="L152" s="283"/>
      <c r="M152" s="283"/>
      <c r="N152" s="283"/>
    </row>
    <row r="153">
      <c r="H153" s="295"/>
    </row>
    <row r="154">
      <c r="H154" s="295"/>
    </row>
    <row r="155">
      <c r="H155" s="295"/>
    </row>
    <row r="156">
      <c r="H156" s="295"/>
    </row>
    <row r="157">
      <c r="H157" s="295"/>
    </row>
    <row r="158">
      <c r="H158" s="295"/>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sheetData>
  <autoFilter ref="$A$1:$U$151">
    <filterColumn colId="18">
      <filters>
        <filter val="Zeiss"/>
      </filters>
    </filterColumn>
  </autoFilter>
  <conditionalFormatting sqref="C82:C151">
    <cfRule type="colorScale" priority="1">
      <colorScale>
        <cfvo type="formula" val="10"/>
        <cfvo type="formula" val="50"/>
        <cfvo type="formula" val="400"/>
        <color rgb="FFCFE2F3"/>
        <color rgb="FF709CE0"/>
        <color rgb="FF1155CC"/>
      </colorScale>
    </cfRule>
  </conditionalFormatting>
  <conditionalFormatting sqref="A82:A151">
    <cfRule type="expression" dxfId="10" priority="2">
      <formula>(today()-T82)&lt;0</formula>
    </cfRule>
  </conditionalFormatting>
  <conditionalFormatting sqref="A82:A151">
    <cfRule type="expression" dxfId="7" priority="3">
      <formula>(today()-T82)&lt;180</formula>
    </cfRule>
  </conditionalFormatting>
  <conditionalFormatting sqref="G82:G151">
    <cfRule type="cellIs" dxfId="10" priority="4" operator="equal">
      <formula>"MF"</formula>
    </cfRule>
  </conditionalFormatting>
  <conditionalFormatting sqref="I82:I151">
    <cfRule type="cellIs" dxfId="11" priority="5" operator="between">
      <formula>0.24</formula>
      <formula>0.45</formula>
    </cfRule>
  </conditionalFormatting>
  <conditionalFormatting sqref="I82:I151">
    <cfRule type="cellIs" dxfId="12" priority="6" operator="between">
      <formula>0.45</formula>
      <formula>0.99</formula>
    </cfRule>
  </conditionalFormatting>
  <conditionalFormatting sqref="I82:I151">
    <cfRule type="cellIs" dxfId="13" priority="7" operator="greaterThan">
      <formula>0.99</formula>
    </cfRule>
  </conditionalFormatting>
  <conditionalFormatting sqref="B1 B3:B1058">
    <cfRule type="cellIs" dxfId="0" priority="8" operator="between">
      <formula>50</formula>
      <formula>200</formula>
    </cfRule>
  </conditionalFormatting>
  <conditionalFormatting sqref="B1 B3:B1058">
    <cfRule type="cellIs" dxfId="1" priority="9" operator="between">
      <formula>201</formula>
      <formula>400</formula>
    </cfRule>
  </conditionalFormatting>
  <conditionalFormatting sqref="B3:B1053">
    <cfRule type="cellIs" dxfId="2" priority="10" operator="between">
      <formula>401</formula>
      <formula>650</formula>
    </cfRule>
  </conditionalFormatting>
  <conditionalFormatting sqref="B3:B1053">
    <cfRule type="cellIs" dxfId="3" priority="11" operator="between">
      <formula>651</formula>
      <formula>900</formula>
    </cfRule>
  </conditionalFormatting>
  <conditionalFormatting sqref="B3:B1053">
    <cfRule type="cellIs" dxfId="4" priority="12" operator="greaterThan">
      <formula>900</formula>
    </cfRule>
  </conditionalFormatting>
  <conditionalFormatting sqref="P3:P1053">
    <cfRule type="containsText" dxfId="5" priority="13" operator="containsText" text="yes">
      <formula>NOT(ISERROR(SEARCH(("yes"),(P3))))</formula>
    </cfRule>
  </conditionalFormatting>
  <conditionalFormatting sqref="F1:F1058">
    <cfRule type="colorScale" priority="14">
      <colorScale>
        <cfvo type="min"/>
        <cfvo type="formula" val="150"/>
        <color rgb="FFEAD1DC"/>
        <color rgb="FFA64D79"/>
      </colorScale>
    </cfRule>
  </conditionalFormatting>
  <conditionalFormatting sqref="D3:D151">
    <cfRule type="colorScale" priority="15">
      <colorScale>
        <cfvo type="formula" val="1.2"/>
        <cfvo type="formula" val="4"/>
        <color rgb="FF0B5394"/>
        <color rgb="FFFFFFFF"/>
      </colorScale>
    </cfRule>
  </conditionalFormatting>
  <conditionalFormatting sqref="E3:E151">
    <cfRule type="colorScale" priority="16">
      <colorScale>
        <cfvo type="formula" val="65"/>
        <cfvo type="formula" val="100"/>
        <color rgb="FFD9D2E9"/>
        <color rgb="FF674EA7"/>
      </colorScale>
    </cfRule>
  </conditionalFormatting>
  <conditionalFormatting sqref="D3:D151">
    <cfRule type="containsText" dxfId="6" priority="17" operator="containsText" text="1.2">
      <formula>NOT(ISERROR(SEARCH(("1.2"),(D3))))</formula>
    </cfRule>
  </conditionalFormatting>
  <conditionalFormatting sqref="B3:B1053">
    <cfRule type="cellIs" dxfId="3" priority="18" operator="between">
      <formula>651</formula>
      <formula>900</formula>
    </cfRule>
  </conditionalFormatting>
  <conditionalFormatting sqref="D3:D151">
    <cfRule type="containsText" dxfId="8" priority="19" operator="containsText" text="1.4">
      <formula>NOT(ISERROR(SEARCH(("1.4"),(D3))))</formula>
    </cfRule>
  </conditionalFormatting>
  <conditionalFormatting sqref="D3:D151 E3:AA81">
    <cfRule type="containsText" dxfId="9" priority="20" operator="containsText" text="1.8">
      <formula>NOT(ISERROR(SEARCH(("1.8"),(D3))))</formula>
    </cfRule>
  </conditionalFormatting>
  <conditionalFormatting sqref="F1:F1058">
    <cfRule type="colorScale" priority="21">
      <colorScale>
        <cfvo type="min"/>
        <cfvo type="formula" val="150"/>
        <color rgb="FFEAD1DC"/>
        <color rgb="FFA64D79"/>
      </colorScale>
    </cfRule>
  </conditionalFormatting>
  <conditionalFormatting sqref="D3:D81">
    <cfRule type="colorScale" priority="22">
      <colorScale>
        <cfvo type="formula" val="1.2"/>
        <cfvo type="formula" val="4"/>
        <color rgb="FF0B5394"/>
        <color rgb="FFFFFFFF"/>
      </colorScale>
    </cfRule>
  </conditionalFormatting>
  <conditionalFormatting sqref="E3:E81">
    <cfRule type="colorScale" priority="23">
      <colorScale>
        <cfvo type="formula" val="65"/>
        <cfvo type="formula" val="100"/>
        <color rgb="FFD9D2E9"/>
        <color rgb="FF674EA7"/>
      </colorScale>
    </cfRule>
  </conditionalFormatting>
  <conditionalFormatting sqref="D3:D81">
    <cfRule type="containsText" dxfId="6" priority="24" operator="containsText" text="1.2">
      <formula>NOT(ISERROR(SEARCH(("1.2"),(D3))))</formula>
    </cfRule>
  </conditionalFormatting>
  <conditionalFormatting sqref="D12 D78">
    <cfRule type="notContainsBlanks" dxfId="7" priority="25">
      <formula>LEN(TRIM(D12))&gt;0</formula>
    </cfRule>
  </conditionalFormatting>
  <conditionalFormatting sqref="D3:D81">
    <cfRule type="containsText" dxfId="8" priority="26" operator="containsText" text="1.4">
      <formula>NOT(ISERROR(SEARCH(("1.4"),(D3))))</formula>
    </cfRule>
  </conditionalFormatting>
  <conditionalFormatting sqref="D3:AA81">
    <cfRule type="containsText" dxfId="9" priority="27" operator="containsText" text="1.8">
      <formula>NOT(ISERROR(SEARCH(("1.8"),(D3))))</formula>
    </cfRule>
  </conditionalFormatting>
  <conditionalFormatting sqref="F1:F1058">
    <cfRule type="colorScale" priority="28">
      <colorScale>
        <cfvo type="min"/>
        <cfvo type="formula" val="150"/>
        <color rgb="FFEAD1DC"/>
        <color rgb="FFA64D79"/>
      </colorScale>
    </cfRule>
  </conditionalFormatting>
  <conditionalFormatting sqref="D3:D81">
    <cfRule type="colorScale" priority="29">
      <colorScale>
        <cfvo type="formula" val="1.2"/>
        <cfvo type="formula" val="4"/>
        <color rgb="FF0B5394"/>
        <color rgb="FFFFFFFF"/>
      </colorScale>
    </cfRule>
  </conditionalFormatting>
  <conditionalFormatting sqref="E3:E81">
    <cfRule type="colorScale" priority="30">
      <colorScale>
        <cfvo type="formula" val="65"/>
        <cfvo type="formula" val="100"/>
        <color rgb="FFD9D2E9"/>
        <color rgb="FF674EA7"/>
      </colorScale>
    </cfRule>
  </conditionalFormatting>
  <conditionalFormatting sqref="D3:D81">
    <cfRule type="containsText" dxfId="6" priority="31" operator="containsText" text="1.2">
      <formula>NOT(ISERROR(SEARCH(("1.2"),(D3))))</formula>
    </cfRule>
  </conditionalFormatting>
  <conditionalFormatting sqref="B3:B1053">
    <cfRule type="cellIs" dxfId="3" priority="32" operator="between">
      <formula>651</formula>
      <formula>900</formula>
    </cfRule>
  </conditionalFormatting>
  <conditionalFormatting sqref="D3:D81">
    <cfRule type="containsText" dxfId="8" priority="33" operator="containsText" text="1.4">
      <formula>NOT(ISERROR(SEARCH(("1.4"),(D3))))</formula>
    </cfRule>
  </conditionalFormatting>
  <conditionalFormatting sqref="D3:AA81">
    <cfRule type="containsText" dxfId="9" priority="34" operator="containsText" text="1.8">
      <formula>NOT(ISERROR(SEARCH(("1.8"),(D3))))</formula>
    </cfRule>
  </conditionalFormatting>
  <conditionalFormatting sqref="F1:F1058">
    <cfRule type="colorScale" priority="35">
      <colorScale>
        <cfvo type="min"/>
        <cfvo type="formula" val="150"/>
        <color rgb="FFEAD1DC"/>
        <color rgb="FFA64D79"/>
      </colorScale>
    </cfRule>
  </conditionalFormatting>
  <conditionalFormatting sqref="D3:D81">
    <cfRule type="colorScale" priority="36">
      <colorScale>
        <cfvo type="formula" val="1.2"/>
        <cfvo type="formula" val="4"/>
        <color rgb="FF0B5394"/>
        <color rgb="FFFFFFFF"/>
      </colorScale>
    </cfRule>
  </conditionalFormatting>
  <conditionalFormatting sqref="E3:E81">
    <cfRule type="colorScale" priority="37">
      <colorScale>
        <cfvo type="formula" val="65"/>
        <cfvo type="formula" val="100"/>
        <color rgb="FFD9D2E9"/>
        <color rgb="FF674EA7"/>
      </colorScale>
    </cfRule>
  </conditionalFormatting>
  <conditionalFormatting sqref="D3:D81">
    <cfRule type="containsText" dxfId="6" priority="38" operator="containsText" text="1.2">
      <formula>NOT(ISERROR(SEARCH(("1.2"),(D3))))</formula>
    </cfRule>
  </conditionalFormatting>
  <conditionalFormatting sqref="B3:B1053">
    <cfRule type="cellIs" dxfId="3" priority="39" operator="between">
      <formula>651</formula>
      <formula>900</formula>
    </cfRule>
  </conditionalFormatting>
  <conditionalFormatting sqref="D3:D81">
    <cfRule type="containsText" dxfId="8" priority="40" operator="containsText" text="1.4">
      <formula>NOT(ISERROR(SEARCH(("1.4"),(D3))))</formula>
    </cfRule>
  </conditionalFormatting>
  <conditionalFormatting sqref="D3:AA81">
    <cfRule type="containsText" dxfId="9" priority="41" operator="containsText" text="1.8">
      <formula>NOT(ISERROR(SEARCH(("1.8"),(D3))))</formula>
    </cfRule>
  </conditionalFormatting>
  <conditionalFormatting sqref="F1:F1058">
    <cfRule type="colorScale" priority="42">
      <colorScale>
        <cfvo type="min"/>
        <cfvo type="formula" val="150"/>
        <color rgb="FFEAD1DC"/>
        <color rgb="FFA64D79"/>
      </colorScale>
    </cfRule>
  </conditionalFormatting>
  <conditionalFormatting sqref="D3:D81">
    <cfRule type="colorScale" priority="43">
      <colorScale>
        <cfvo type="formula" val="1.2"/>
        <cfvo type="formula" val="4"/>
        <color rgb="FF0B5394"/>
        <color rgb="FFFFFFFF"/>
      </colorScale>
    </cfRule>
  </conditionalFormatting>
  <conditionalFormatting sqref="E3:E81">
    <cfRule type="colorScale" priority="44">
      <colorScale>
        <cfvo type="formula" val="65"/>
        <cfvo type="formula" val="100"/>
        <color rgb="FFD9D2E9"/>
        <color rgb="FF674EA7"/>
      </colorScale>
    </cfRule>
  </conditionalFormatting>
  <conditionalFormatting sqref="D3:D81">
    <cfRule type="containsText" dxfId="6" priority="45" operator="containsText" text="1.2">
      <formula>NOT(ISERROR(SEARCH(("1.2"),(D3))))</formula>
    </cfRule>
  </conditionalFormatting>
  <conditionalFormatting sqref="B3:B1053">
    <cfRule type="cellIs" dxfId="3" priority="46" operator="between">
      <formula>651</formula>
      <formula>900</formula>
    </cfRule>
  </conditionalFormatting>
  <conditionalFormatting sqref="D3:D81">
    <cfRule type="containsText" dxfId="8" priority="47" operator="containsText" text="1.4">
      <formula>NOT(ISERROR(SEARCH(("1.4"),(D3))))</formula>
    </cfRule>
  </conditionalFormatting>
  <conditionalFormatting sqref="D3:AA81">
    <cfRule type="containsText" dxfId="9" priority="48" operator="containsText" text="1.8">
      <formula>NOT(ISERROR(SEARCH(("1.8"),(D3))))</formula>
    </cfRule>
  </conditionalFormatting>
  <conditionalFormatting sqref="F1:F1058">
    <cfRule type="colorScale" priority="49">
      <colorScale>
        <cfvo type="min"/>
        <cfvo type="formula" val="150"/>
        <color rgb="FFEAD1DC"/>
        <color rgb="FFA64D79"/>
      </colorScale>
    </cfRule>
  </conditionalFormatting>
  <conditionalFormatting sqref="D3:D81">
    <cfRule type="colorScale" priority="50">
      <colorScale>
        <cfvo type="formula" val="1.2"/>
        <cfvo type="formula" val="4"/>
        <color rgb="FF0B5394"/>
        <color rgb="FFFFFFFF"/>
      </colorScale>
    </cfRule>
  </conditionalFormatting>
  <conditionalFormatting sqref="E3:E81">
    <cfRule type="colorScale" priority="51">
      <colorScale>
        <cfvo type="formula" val="65"/>
        <cfvo type="formula" val="100"/>
        <color rgb="FFD9D2E9"/>
        <color rgb="FF674EA7"/>
      </colorScale>
    </cfRule>
  </conditionalFormatting>
  <conditionalFormatting sqref="D3:D81">
    <cfRule type="containsText" dxfId="6" priority="52" operator="containsText" text="1.2">
      <formula>NOT(ISERROR(SEARCH(("1.2"),(D3))))</formula>
    </cfRule>
  </conditionalFormatting>
  <conditionalFormatting sqref="B3:B1053">
    <cfRule type="cellIs" dxfId="3" priority="53" operator="between">
      <formula>651</formula>
      <formula>900</formula>
    </cfRule>
  </conditionalFormatting>
  <conditionalFormatting sqref="D3:D81">
    <cfRule type="containsText" dxfId="8" priority="54" operator="containsText" text="1.4">
      <formula>NOT(ISERROR(SEARCH(("1.4"),(D3))))</formula>
    </cfRule>
  </conditionalFormatting>
  <conditionalFormatting sqref="D3:AA81">
    <cfRule type="containsText" dxfId="9" priority="55" operator="containsText" text="1.8">
      <formula>NOT(ISERROR(SEARCH(("1.8"),(D3))))</formula>
    </cfRule>
  </conditionalFormatting>
  <conditionalFormatting sqref="F1:F1058">
    <cfRule type="colorScale" priority="56">
      <colorScale>
        <cfvo type="min"/>
        <cfvo type="formula" val="150"/>
        <color rgb="FFEAD1DC"/>
        <color rgb="FFA64D79"/>
      </colorScale>
    </cfRule>
  </conditionalFormatting>
  <conditionalFormatting sqref="D3:D81">
    <cfRule type="colorScale" priority="57">
      <colorScale>
        <cfvo type="formula" val="1.2"/>
        <cfvo type="formula" val="4"/>
        <color rgb="FF0B5394"/>
        <color rgb="FFFFFFFF"/>
      </colorScale>
    </cfRule>
  </conditionalFormatting>
  <conditionalFormatting sqref="E3:E81">
    <cfRule type="colorScale" priority="58">
      <colorScale>
        <cfvo type="formula" val="65"/>
        <cfvo type="formula" val="100"/>
        <color rgb="FFD9D2E9"/>
        <color rgb="FF674EA7"/>
      </colorScale>
    </cfRule>
  </conditionalFormatting>
  <conditionalFormatting sqref="D3:D81">
    <cfRule type="containsText" dxfId="6" priority="59" operator="containsText" text="1.2">
      <formula>NOT(ISERROR(SEARCH(("1.2"),(D3))))</formula>
    </cfRule>
  </conditionalFormatting>
  <conditionalFormatting sqref="B3:B1053">
    <cfRule type="cellIs" dxfId="3" priority="60" operator="between">
      <formula>651</formula>
      <formula>900</formula>
    </cfRule>
  </conditionalFormatting>
  <conditionalFormatting sqref="D3:D81">
    <cfRule type="containsText" dxfId="8" priority="61" operator="containsText" text="1.4">
      <formula>NOT(ISERROR(SEARCH(("1.4"),(D3))))</formula>
    </cfRule>
  </conditionalFormatting>
  <conditionalFormatting sqref="D3:AA81">
    <cfRule type="containsText" dxfId="9" priority="62" operator="containsText" text="1.8">
      <formula>NOT(ISERROR(SEARCH(("1.8"),(D3))))</formula>
    </cfRule>
  </conditionalFormatting>
  <conditionalFormatting sqref="F1:F1058">
    <cfRule type="colorScale" priority="63">
      <colorScale>
        <cfvo type="min"/>
        <cfvo type="formula" val="150"/>
        <color rgb="FFEAD1DC"/>
        <color rgb="FFA64D79"/>
      </colorScale>
    </cfRule>
  </conditionalFormatting>
  <conditionalFormatting sqref="D3:D81">
    <cfRule type="colorScale" priority="64">
      <colorScale>
        <cfvo type="formula" val="1.2"/>
        <cfvo type="formula" val="4"/>
        <color rgb="FF0B5394"/>
        <color rgb="FFFFFFFF"/>
      </colorScale>
    </cfRule>
  </conditionalFormatting>
  <conditionalFormatting sqref="E3:E81">
    <cfRule type="colorScale" priority="65">
      <colorScale>
        <cfvo type="formula" val="65"/>
        <cfvo type="formula" val="100"/>
        <color rgb="FFD9D2E9"/>
        <color rgb="FF674EA7"/>
      </colorScale>
    </cfRule>
  </conditionalFormatting>
  <conditionalFormatting sqref="D3:D81">
    <cfRule type="containsText" dxfId="6" priority="66" operator="containsText" text="1.2">
      <formula>NOT(ISERROR(SEARCH(("1.2"),(D3))))</formula>
    </cfRule>
  </conditionalFormatting>
  <conditionalFormatting sqref="B3:B1053">
    <cfRule type="cellIs" dxfId="3" priority="67" operator="between">
      <formula>651</formula>
      <formula>900</formula>
    </cfRule>
  </conditionalFormatting>
  <conditionalFormatting sqref="D3:D81">
    <cfRule type="containsText" dxfId="8" priority="68" operator="containsText" text="1.4">
      <formula>NOT(ISERROR(SEARCH(("1.4"),(D3))))</formula>
    </cfRule>
  </conditionalFormatting>
  <conditionalFormatting sqref="D3:AA81">
    <cfRule type="containsText" dxfId="9" priority="69" operator="containsText" text="1.8">
      <formula>NOT(ISERROR(SEARCH(("1.8"),(D3))))</formula>
    </cfRule>
  </conditionalFormatting>
  <conditionalFormatting sqref="F1:F1058">
    <cfRule type="colorScale" priority="70">
      <colorScale>
        <cfvo type="min"/>
        <cfvo type="formula" val="150"/>
        <color rgb="FFEAD1DC"/>
        <color rgb="FFA64D79"/>
      </colorScale>
    </cfRule>
  </conditionalFormatting>
  <conditionalFormatting sqref="D3:D81">
    <cfRule type="colorScale" priority="71">
      <colorScale>
        <cfvo type="formula" val="1.2"/>
        <cfvo type="formula" val="4"/>
        <color rgb="FF0B5394"/>
        <color rgb="FFFFFFFF"/>
      </colorScale>
    </cfRule>
  </conditionalFormatting>
  <conditionalFormatting sqref="E3:E81">
    <cfRule type="colorScale" priority="72">
      <colorScale>
        <cfvo type="formula" val="65"/>
        <cfvo type="formula" val="100"/>
        <color rgb="FFD9D2E9"/>
        <color rgb="FF674EA7"/>
      </colorScale>
    </cfRule>
  </conditionalFormatting>
  <conditionalFormatting sqref="D3:D81">
    <cfRule type="containsText" dxfId="6" priority="73" operator="containsText" text="1.2">
      <formula>NOT(ISERROR(SEARCH(("1.2"),(D3))))</formula>
    </cfRule>
  </conditionalFormatting>
  <conditionalFormatting sqref="B3:B1053">
    <cfRule type="cellIs" dxfId="3" priority="74" operator="between">
      <formula>651</formula>
      <formula>900</formula>
    </cfRule>
  </conditionalFormatting>
  <conditionalFormatting sqref="D3:D81">
    <cfRule type="containsText" dxfId="8" priority="75" operator="containsText" text="1.4">
      <formula>NOT(ISERROR(SEARCH(("1.4"),(D3))))</formula>
    </cfRule>
  </conditionalFormatting>
  <conditionalFormatting sqref="D3:AA81">
    <cfRule type="containsText" dxfId="9" priority="76" operator="containsText" text="1.8">
      <formula>NOT(ISERROR(SEARCH(("1.8"),(D3))))</formula>
    </cfRule>
  </conditionalFormatting>
  <conditionalFormatting sqref="F1:F1058">
    <cfRule type="colorScale" priority="77">
      <colorScale>
        <cfvo type="min"/>
        <cfvo type="formula" val="150"/>
        <color rgb="FFEAD1DC"/>
        <color rgb="FFA64D79"/>
      </colorScale>
    </cfRule>
  </conditionalFormatting>
  <conditionalFormatting sqref="D3:D81">
    <cfRule type="colorScale" priority="78">
      <colorScale>
        <cfvo type="formula" val="1.2"/>
        <cfvo type="formula" val="4"/>
        <color rgb="FF0B5394"/>
        <color rgb="FFFFFFFF"/>
      </colorScale>
    </cfRule>
  </conditionalFormatting>
  <conditionalFormatting sqref="E3:E81">
    <cfRule type="colorScale" priority="79">
      <colorScale>
        <cfvo type="formula" val="65"/>
        <cfvo type="formula" val="100"/>
        <color rgb="FFD9D2E9"/>
        <color rgb="FF674EA7"/>
      </colorScale>
    </cfRule>
  </conditionalFormatting>
  <conditionalFormatting sqref="D3:D81">
    <cfRule type="containsText" dxfId="6" priority="80" operator="containsText" text="1.2">
      <formula>NOT(ISERROR(SEARCH(("1.2"),(D3))))</formula>
    </cfRule>
  </conditionalFormatting>
  <conditionalFormatting sqref="D12">
    <cfRule type="notContainsBlanks" dxfId="7" priority="81">
      <formula>LEN(TRIM(D12))&gt;0</formula>
    </cfRule>
  </conditionalFormatting>
  <conditionalFormatting sqref="D3:D81">
    <cfRule type="containsText" dxfId="8" priority="82" operator="containsText" text="1.4">
      <formula>NOT(ISERROR(SEARCH(("1.4"),(D3))))</formula>
    </cfRule>
  </conditionalFormatting>
  <conditionalFormatting sqref="D3:AA81">
    <cfRule type="containsText" dxfId="9" priority="83" operator="containsText" text="1.8">
      <formula>NOT(ISERROR(SEARCH(("1.8"),(D3))))</formula>
    </cfRule>
  </conditionalFormatting>
  <dataValidations>
    <dataValidation type="list" allowBlank="1" sqref="S3:S151">
      <formula1>"Sony,Voigtlander,Zeiss,Sigma,Samyang,Viltrox,Tokina,Tamron"</formula1>
    </dataValidation>
  </dataValidations>
  <hyperlinks>
    <hyperlink r:id="rId1" ref="K1"/>
    <hyperlink r:id="rId2" ref="M1"/>
    <hyperlink r:id="rId3" ref="N1"/>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86"/>
    <col customWidth="1" min="2" max="2" width="6.57"/>
    <col customWidth="1" min="3" max="3" width="11.0"/>
    <col customWidth="1" min="4" max="4" width="8.0"/>
    <col customWidth="1" min="5" max="6" width="7.29"/>
    <col customWidth="1" min="7" max="7" width="4.0"/>
    <col customWidth="1" min="8" max="8" width="7.14"/>
    <col customWidth="1" min="9" max="9" width="4.43"/>
    <col customWidth="1" min="10" max="10" width="7.71"/>
    <col customWidth="1" min="11" max="14" width="4.0"/>
    <col customWidth="1" min="15" max="15" width="7.57"/>
    <col customWidth="1" min="16" max="16" width="5.43"/>
    <col customWidth="1" min="17" max="17" width="5.0"/>
    <col customWidth="1" min="18" max="18" width="6.14"/>
    <col customWidth="1" min="19" max="19" width="13.29"/>
    <col customWidth="1" min="20" max="20" width="5.86"/>
  </cols>
  <sheetData>
    <row r="1" ht="76.5" customHeight="1">
      <c r="A1" s="598" t="s">
        <v>0</v>
      </c>
      <c r="B1" s="3" t="s">
        <v>1</v>
      </c>
      <c r="C1" s="3" t="s">
        <v>261</v>
      </c>
      <c r="D1" s="4" t="s">
        <v>3</v>
      </c>
      <c r="E1" s="5" t="s">
        <v>4</v>
      </c>
      <c r="F1" s="6" t="s">
        <v>5</v>
      </c>
      <c r="G1" s="7" t="s">
        <v>6</v>
      </c>
      <c r="H1" s="8" t="s">
        <v>7</v>
      </c>
      <c r="I1" s="3" t="s">
        <v>8</v>
      </c>
      <c r="J1" s="11" t="s">
        <v>165</v>
      </c>
      <c r="K1" s="13" t="s">
        <v>17</v>
      </c>
      <c r="L1" s="14" t="s">
        <v>18</v>
      </c>
      <c r="M1" s="13" t="s">
        <v>19</v>
      </c>
      <c r="N1" s="15" t="s">
        <v>20</v>
      </c>
      <c r="O1" s="3" t="s">
        <v>9</v>
      </c>
      <c r="P1" s="5" t="s">
        <v>10</v>
      </c>
      <c r="Q1" s="3" t="s">
        <v>11</v>
      </c>
      <c r="R1" s="3" t="s">
        <v>12</v>
      </c>
      <c r="S1" s="3" t="s">
        <v>13</v>
      </c>
      <c r="T1" s="3" t="s">
        <v>14</v>
      </c>
      <c r="U1" s="16" t="s">
        <v>262</v>
      </c>
    </row>
    <row r="2" ht="18.0" hidden="1" customHeight="1">
      <c r="A2" s="17" t="s">
        <v>166</v>
      </c>
      <c r="B2" s="18"/>
      <c r="C2" s="18"/>
      <c r="D2" s="18"/>
      <c r="E2" s="18"/>
      <c r="F2" s="18"/>
      <c r="G2" s="19"/>
      <c r="H2" s="20"/>
      <c r="I2" s="18"/>
      <c r="J2" s="18"/>
      <c r="K2" s="18"/>
      <c r="L2" s="18"/>
      <c r="M2" s="18"/>
      <c r="N2" s="18"/>
      <c r="O2" s="18"/>
      <c r="P2" s="19"/>
      <c r="Q2" s="18"/>
      <c r="R2" s="19"/>
      <c r="S2" s="21"/>
      <c r="T2" s="19"/>
    </row>
    <row r="3" hidden="1">
      <c r="A3" s="137" t="str">
        <f t="array" ref="A3:A6">All!A3:V122</f>
        <v>#REF!</v>
      </c>
      <c r="B3" s="76"/>
      <c r="C3" s="81"/>
      <c r="D3" s="78"/>
      <c r="E3" s="388"/>
      <c r="F3" s="394"/>
      <c r="G3" s="345"/>
      <c r="H3" s="82"/>
      <c r="I3" s="81"/>
      <c r="J3" s="81"/>
      <c r="K3" s="130"/>
      <c r="L3" s="130"/>
      <c r="M3" s="130"/>
      <c r="N3" s="130"/>
      <c r="O3" s="81"/>
      <c r="P3" s="84"/>
      <c r="Q3" s="81"/>
      <c r="R3" s="378"/>
      <c r="S3" s="81"/>
      <c r="T3" s="81"/>
    </row>
    <row r="4" hidden="1">
      <c r="A4" s="603"/>
      <c r="B4" s="76"/>
      <c r="C4" s="81"/>
      <c r="D4" s="78"/>
      <c r="E4" s="79"/>
      <c r="F4" s="79"/>
      <c r="G4" s="84"/>
      <c r="H4" s="82"/>
      <c r="I4" s="81"/>
      <c r="J4" s="81"/>
      <c r="K4" s="89"/>
      <c r="L4" s="89"/>
      <c r="M4" s="89"/>
      <c r="N4" s="89"/>
      <c r="O4" s="81"/>
      <c r="P4" s="84"/>
      <c r="Q4" s="81"/>
      <c r="R4" s="378"/>
      <c r="S4" s="81"/>
      <c r="T4" s="81"/>
    </row>
    <row r="5" hidden="1">
      <c r="A5" s="137"/>
      <c r="B5" s="76"/>
      <c r="C5" s="81"/>
      <c r="D5" s="78"/>
      <c r="E5" s="391"/>
      <c r="F5" s="396"/>
      <c r="G5" s="397"/>
      <c r="H5" s="82"/>
      <c r="I5" s="81"/>
      <c r="J5" s="81"/>
      <c r="K5" s="89"/>
      <c r="L5" s="89"/>
      <c r="M5" s="89"/>
      <c r="N5" s="89"/>
      <c r="O5" s="81"/>
      <c r="P5" s="84"/>
      <c r="Q5" s="81"/>
      <c r="R5" s="378"/>
      <c r="S5" s="81"/>
      <c r="T5" s="81"/>
    </row>
    <row r="6" hidden="1">
      <c r="A6" s="152" t="str">
        <f>HYPERLINK("https://phillipreeve.net/blog/review-voigtlander-10mm-5-6-e-hyper-wide-heliar/","Voigtlander 10mm F5.6 Hyper Wide ")</f>
        <v>Voigtlander 10mm F5.6 Hyper Wide </v>
      </c>
      <c r="B6" s="76">
        <v>375.0</v>
      </c>
      <c r="C6" s="122">
        <v>10.0</v>
      </c>
      <c r="D6" s="78">
        <v>5.6</v>
      </c>
      <c r="E6" s="388">
        <v>67.0</v>
      </c>
      <c r="F6" s="394" t="s">
        <v>23</v>
      </c>
      <c r="G6" s="345" t="s">
        <v>24</v>
      </c>
      <c r="H6" s="82" t="s">
        <v>25</v>
      </c>
      <c r="I6" s="81">
        <v>0.067</v>
      </c>
      <c r="J6" s="87">
        <v>1099.0</v>
      </c>
      <c r="K6" s="130" t="str">
        <f>HYPERLINK("https://amzn.to/2jJ8WxH","link*")</f>
        <v/>
      </c>
      <c r="L6" s="130" t="str">
        <f>HYPERLINK("https://www.bhphotovideo.com/c/product/1219550-REG/voigtlander_ba334b_heliar_hyper_wide_10mm_f_5_6.html/BI/19619/KBID/12129/DFF/d10-v21-t1-x732282/SID/EZ","link*")</f>
        <v/>
      </c>
      <c r="M6" s="130" t="str">
        <f>HYPERLINK("https://amzn.to/2jG72hr","link*")</f>
        <v/>
      </c>
      <c r="N6" s="130"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
      </c>
      <c r="O6" s="83">
        <v>30.0</v>
      </c>
      <c r="P6" s="84" t="s">
        <v>26</v>
      </c>
      <c r="Q6" s="81">
        <v>10.0</v>
      </c>
      <c r="R6" s="378" t="s">
        <v>27</v>
      </c>
      <c r="S6" s="81" t="s">
        <v>28</v>
      </c>
      <c r="T6" s="81" t="s">
        <v>237</v>
      </c>
      <c r="U6" s="68" t="s">
        <v>225</v>
      </c>
    </row>
    <row r="7" hidden="1">
      <c r="A7" s="395" t="s">
        <v>29</v>
      </c>
      <c r="B7" s="76">
        <v>565.0</v>
      </c>
      <c r="C7" s="122">
        <v>12.0</v>
      </c>
      <c r="D7" s="78">
        <v>4.0</v>
      </c>
      <c r="E7" s="79">
        <v>87.0</v>
      </c>
      <c r="F7" s="79">
        <v>117.0</v>
      </c>
      <c r="G7" s="84" t="s">
        <v>30</v>
      </c>
      <c r="H7" s="82" t="s">
        <v>25</v>
      </c>
      <c r="I7" s="81">
        <v>0.14</v>
      </c>
      <c r="J7" s="87">
        <v>1699.0</v>
      </c>
      <c r="K7" s="130" t="str">
        <f>HYPERLINK("https://amzn.to/2SSzKc4","link*")</f>
        <v/>
      </c>
      <c r="L7" s="130" t="str">
        <f>HYPERLINK("https://www.bhphotovideo.com/c/product/1338517-REG/sony_sel1224g_fe_12_24mm_f_4_g.html/BI/19619/KBID/12129/DFF/d10-v21-t1-x822838/SID/EZ","link*")</f>
        <v/>
      </c>
      <c r="M7" s="130" t="str">
        <f>HYPERLINK("https://amzn.to/2Kg94zb","link*")</f>
        <v/>
      </c>
      <c r="N7" s="130"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
      </c>
      <c r="O7" s="83">
        <v>24.0</v>
      </c>
      <c r="P7" s="84" t="s">
        <v>26</v>
      </c>
      <c r="Q7" s="81">
        <v>7.0</v>
      </c>
      <c r="R7" s="378" t="s">
        <v>31</v>
      </c>
      <c r="S7" s="81" t="s">
        <v>32</v>
      </c>
      <c r="T7" s="81" t="s">
        <v>238</v>
      </c>
    </row>
    <row r="8" hidden="1">
      <c r="A8" s="395"/>
      <c r="B8" s="76"/>
      <c r="C8" s="81"/>
      <c r="D8" s="78"/>
      <c r="E8" s="79"/>
      <c r="F8" s="79"/>
      <c r="G8" s="81"/>
      <c r="H8" s="82"/>
      <c r="I8" s="81"/>
      <c r="J8" s="81"/>
      <c r="K8" s="89"/>
      <c r="L8" s="89"/>
      <c r="M8" s="89"/>
      <c r="N8" s="89"/>
      <c r="O8" s="81"/>
      <c r="P8" s="84"/>
      <c r="Q8" s="81"/>
      <c r="R8" s="123"/>
      <c r="S8" s="81"/>
      <c r="T8" s="346"/>
    </row>
    <row r="9" hidden="1">
      <c r="A9" s="137"/>
      <c r="B9" s="76"/>
      <c r="C9" s="81"/>
      <c r="D9" s="78"/>
      <c r="E9" s="391"/>
      <c r="F9" s="396"/>
      <c r="G9" s="397"/>
      <c r="H9" s="82"/>
      <c r="I9" s="81"/>
      <c r="J9" s="81"/>
      <c r="K9" s="89"/>
      <c r="L9" s="89"/>
      <c r="M9" s="89"/>
      <c r="N9" s="89"/>
      <c r="O9" s="81"/>
      <c r="P9" s="84"/>
      <c r="Q9" s="81"/>
      <c r="R9" s="128"/>
      <c r="S9" s="81"/>
      <c r="T9" s="81"/>
    </row>
    <row r="10" hidden="1">
      <c r="A10" s="137"/>
      <c r="B10" s="76"/>
      <c r="C10" s="81"/>
      <c r="D10" s="78"/>
      <c r="E10" s="79"/>
      <c r="F10" s="79"/>
      <c r="G10" s="84"/>
      <c r="H10" s="82"/>
      <c r="I10" s="81"/>
      <c r="J10" s="81"/>
      <c r="K10" s="130"/>
      <c r="L10" s="130"/>
      <c r="M10" s="130"/>
      <c r="N10" s="130"/>
      <c r="O10" s="81"/>
      <c r="P10" s="154"/>
      <c r="Q10" s="81"/>
      <c r="R10" s="128"/>
      <c r="S10" s="81"/>
      <c r="T10" s="81"/>
    </row>
    <row r="11" hidden="1">
      <c r="A11" s="395"/>
      <c r="B11" s="76"/>
      <c r="C11" s="81"/>
      <c r="D11" s="78"/>
      <c r="E11" s="79"/>
      <c r="F11" s="79"/>
      <c r="G11" s="84"/>
      <c r="H11" s="82"/>
      <c r="I11" s="81"/>
      <c r="J11" s="81"/>
      <c r="K11" s="89"/>
      <c r="L11" s="89"/>
      <c r="M11" s="89"/>
      <c r="N11" s="89"/>
      <c r="O11" s="81"/>
      <c r="P11" s="84"/>
      <c r="Q11" s="81"/>
      <c r="R11" s="128"/>
      <c r="S11" s="81"/>
      <c r="T11" s="81"/>
    </row>
    <row r="12" hidden="1">
      <c r="A12" s="611"/>
      <c r="B12" s="76"/>
      <c r="C12" s="81"/>
      <c r="D12" s="78"/>
      <c r="E12" s="379"/>
      <c r="F12" s="79"/>
      <c r="G12" s="84"/>
      <c r="H12" s="82"/>
      <c r="I12" s="81"/>
      <c r="J12" s="643"/>
      <c r="K12" s="89"/>
      <c r="L12" s="89"/>
      <c r="M12" s="89"/>
      <c r="N12" s="89"/>
      <c r="O12" s="81"/>
      <c r="P12" s="84"/>
      <c r="Q12" s="81"/>
      <c r="R12" s="128"/>
      <c r="S12" s="81"/>
      <c r="T12" s="81"/>
    </row>
    <row r="13" hidden="1">
      <c r="A13" s="137"/>
      <c r="B13" s="76"/>
      <c r="C13" s="81"/>
      <c r="D13" s="78"/>
      <c r="E13" s="79"/>
      <c r="F13" s="79"/>
      <c r="G13" s="84"/>
      <c r="H13" s="82"/>
      <c r="I13" s="81"/>
      <c r="J13" s="81"/>
      <c r="K13" s="89"/>
      <c r="L13" s="89"/>
      <c r="M13" s="89"/>
      <c r="N13" s="89"/>
      <c r="O13" s="81"/>
      <c r="P13" s="84"/>
      <c r="Q13" s="81"/>
      <c r="R13" s="128"/>
      <c r="S13" s="81"/>
      <c r="T13" s="346"/>
    </row>
    <row r="14" hidden="1" customHeight="1">
      <c r="A14" s="137" t="str">
        <f>HYPERLINK("https://phillipreeve.net/blog/review-voigtlander-12mm-5-6-aspherical-ultra-wide-heliar/","Voigtlander 12mm F5.6 Ultra Wide-Heliar Aspherical")</f>
        <v/>
      </c>
      <c r="B14" s="76">
        <v>350.0</v>
      </c>
      <c r="C14" s="122">
        <v>12.0</v>
      </c>
      <c r="D14" s="78">
        <v>5.6</v>
      </c>
      <c r="E14" s="391">
        <v>67.0</v>
      </c>
      <c r="F14" s="396">
        <v>68.0</v>
      </c>
      <c r="G14" s="397" t="s">
        <v>24</v>
      </c>
      <c r="H14" s="82" t="s">
        <v>25</v>
      </c>
      <c r="I14" s="81"/>
      <c r="J14" s="87">
        <v>749.0</v>
      </c>
      <c r="K14" s="89"/>
      <c r="L14" s="89"/>
      <c r="M14" s="89"/>
      <c r="N14" s="130"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
      </c>
      <c r="O14" s="83">
        <v>30.0</v>
      </c>
      <c r="P14" s="84" t="s">
        <v>26</v>
      </c>
      <c r="Q14" s="81">
        <v>10.0</v>
      </c>
      <c r="R14" s="378" t="s">
        <v>38</v>
      </c>
      <c r="S14" s="81" t="s">
        <v>28</v>
      </c>
      <c r="T14" s="81" t="s">
        <v>239</v>
      </c>
      <c r="U14" s="68" t="s">
        <v>39</v>
      </c>
    </row>
    <row r="15" hidden="1">
      <c r="A15" s="395"/>
      <c r="B15" s="76"/>
      <c r="C15" s="81"/>
      <c r="D15" s="121"/>
      <c r="E15" s="79"/>
      <c r="F15" s="79"/>
      <c r="G15" s="400"/>
      <c r="H15" s="82"/>
      <c r="I15" s="81"/>
      <c r="J15" s="81"/>
      <c r="K15" s="89"/>
      <c r="L15" s="89"/>
      <c r="M15" s="89"/>
      <c r="N15" s="89"/>
      <c r="O15" s="81"/>
      <c r="P15" s="84"/>
      <c r="Q15" s="81"/>
      <c r="R15" s="123"/>
      <c r="S15" s="81"/>
      <c r="T15" s="346"/>
    </row>
    <row r="16" hidden="1">
      <c r="A16" s="137"/>
      <c r="B16" s="76"/>
      <c r="C16" s="81"/>
      <c r="D16" s="125"/>
      <c r="E16" s="391"/>
      <c r="F16" s="79"/>
      <c r="G16" s="397"/>
      <c r="H16" s="82"/>
      <c r="I16" s="81"/>
      <c r="J16" s="644"/>
      <c r="K16" s="130"/>
      <c r="L16" s="130"/>
      <c r="M16" s="130"/>
      <c r="N16" s="130"/>
      <c r="O16" s="81"/>
      <c r="P16" s="84"/>
      <c r="Q16" s="81"/>
      <c r="R16" s="128"/>
      <c r="S16" s="81"/>
      <c r="T16" s="346"/>
    </row>
    <row r="17" hidden="1">
      <c r="A17" s="395"/>
      <c r="B17" s="76"/>
      <c r="C17" s="81"/>
      <c r="D17" s="125"/>
      <c r="E17" s="379"/>
      <c r="F17" s="79"/>
      <c r="G17" s="84"/>
      <c r="H17" s="82"/>
      <c r="I17" s="81"/>
      <c r="J17" s="81"/>
      <c r="K17" s="89"/>
      <c r="L17" s="89"/>
      <c r="M17" s="89"/>
      <c r="N17" s="89"/>
      <c r="O17" s="81"/>
      <c r="P17" s="84"/>
      <c r="Q17" s="81"/>
      <c r="R17" s="128"/>
      <c r="S17" s="81"/>
      <c r="T17" s="346"/>
    </row>
    <row r="18" hidden="1">
      <c r="A18" s="611"/>
      <c r="B18" s="76"/>
      <c r="C18" s="81"/>
      <c r="D18" s="149"/>
      <c r="E18" s="379"/>
      <c r="F18" s="79"/>
      <c r="G18" s="84"/>
      <c r="H18" s="82"/>
      <c r="I18" s="81"/>
      <c r="J18" s="81"/>
      <c r="K18" s="89"/>
      <c r="L18" s="89"/>
      <c r="M18" s="89"/>
      <c r="N18" s="89"/>
      <c r="O18" s="81"/>
      <c r="P18" s="84"/>
      <c r="Q18" s="81"/>
      <c r="R18" s="128"/>
      <c r="S18" s="81"/>
      <c r="T18" s="81"/>
    </row>
    <row r="19" hidden="1">
      <c r="A19" s="137"/>
      <c r="B19" s="76"/>
      <c r="C19" s="81"/>
      <c r="D19" s="78"/>
      <c r="E19" s="391"/>
      <c r="F19" s="396"/>
      <c r="G19" s="397"/>
      <c r="H19" s="82"/>
      <c r="I19" s="346"/>
      <c r="J19" s="81"/>
      <c r="K19" s="89"/>
      <c r="L19" s="89"/>
      <c r="M19" s="89"/>
      <c r="N19" s="89"/>
      <c r="O19" s="81"/>
      <c r="P19" s="84"/>
      <c r="Q19" s="81"/>
      <c r="R19" s="128"/>
      <c r="S19" s="81"/>
      <c r="T19" s="346"/>
    </row>
    <row r="20" hidden="1">
      <c r="A20" s="137"/>
      <c r="B20" s="76"/>
      <c r="C20" s="81"/>
      <c r="D20" s="78"/>
      <c r="E20" s="79"/>
      <c r="F20" s="616"/>
      <c r="G20" s="397"/>
      <c r="H20" s="82"/>
      <c r="I20" s="346"/>
      <c r="J20" s="81"/>
      <c r="K20" s="130"/>
      <c r="L20" s="130"/>
      <c r="M20" s="89"/>
      <c r="N20" s="130"/>
      <c r="O20" s="81"/>
      <c r="P20" s="84"/>
      <c r="Q20" s="81"/>
      <c r="R20" s="128"/>
      <c r="S20" s="81"/>
      <c r="T20" s="81"/>
    </row>
    <row r="21" hidden="1">
      <c r="A21" s="137"/>
      <c r="B21" s="76"/>
      <c r="C21" s="81"/>
      <c r="D21" s="149"/>
      <c r="E21" s="79"/>
      <c r="F21" s="79"/>
      <c r="G21" s="84"/>
      <c r="H21" s="82"/>
      <c r="I21" s="81"/>
      <c r="J21" s="81"/>
      <c r="K21" s="89"/>
      <c r="L21" s="89"/>
      <c r="M21" s="89"/>
      <c r="N21" s="89"/>
      <c r="O21" s="81"/>
      <c r="P21" s="84"/>
      <c r="Q21" s="81"/>
      <c r="R21" s="128"/>
      <c r="S21" s="81"/>
      <c r="T21" s="81"/>
    </row>
    <row r="22" hidden="1">
      <c r="A22" s="152" t="str">
        <f>HYPERLINK("https://phillipreeve.net/blog/review-voigtlander-10mm-5-6-e-hyper-wide-heliar/","Voigtlander 10mm F5.6 Hyper Wide ")</f>
        <v>Voigtlander 10mm F5.6 Hyper Wide </v>
      </c>
      <c r="B22" s="76">
        <v>375.0</v>
      </c>
      <c r="C22" s="122">
        <v>10.0</v>
      </c>
      <c r="D22" s="78">
        <v>5.6</v>
      </c>
      <c r="E22" s="388">
        <v>67.0</v>
      </c>
      <c r="F22" s="394" t="s">
        <v>23</v>
      </c>
      <c r="G22" s="345" t="s">
        <v>24</v>
      </c>
      <c r="H22" s="82" t="s">
        <v>25</v>
      </c>
      <c r="I22" s="81">
        <v>0.067</v>
      </c>
      <c r="J22" s="87">
        <v>1099.0</v>
      </c>
      <c r="K22" s="88" t="str">
        <f>HYPERLINK("https://amzn.to/2jJ8WxH","link*")</f>
        <v>link*</v>
      </c>
      <c r="L22" s="88" t="str">
        <f>HYPERLINK("https://www.bhphotovideo.com/c/product/1219550-REG/voigtlander_ba334b_heliar_hyper_wide_10mm_f_5_6.html/BI/19619/KBID/12129/DFF/d10-v21-t1-x732282/SID/EZ","link*")</f>
        <v>link*</v>
      </c>
      <c r="M22" s="88" t="str">
        <f>HYPERLINK("https://amzn.to/2jG72hr","link*")</f>
        <v>link*</v>
      </c>
      <c r="N22" s="88"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22" s="83">
        <v>30.0</v>
      </c>
      <c r="P22" s="84" t="s">
        <v>26</v>
      </c>
      <c r="Q22" s="81">
        <v>10.0</v>
      </c>
      <c r="R22" s="378" t="s">
        <v>27</v>
      </c>
      <c r="S22" s="81" t="s">
        <v>28</v>
      </c>
      <c r="T22" s="81" t="s">
        <v>237</v>
      </c>
      <c r="U22" s="68" t="s">
        <v>225</v>
      </c>
    </row>
    <row r="23" hidden="1">
      <c r="A23" s="137"/>
      <c r="B23" s="76"/>
      <c r="C23" s="81"/>
      <c r="D23" s="78"/>
      <c r="E23" s="79"/>
      <c r="F23" s="79"/>
      <c r="G23" s="84"/>
      <c r="H23" s="82"/>
      <c r="I23" s="81"/>
      <c r="J23" s="644"/>
      <c r="K23" s="130"/>
      <c r="L23" s="130"/>
      <c r="M23" s="130"/>
      <c r="N23" s="89"/>
      <c r="O23" s="81"/>
      <c r="P23" s="84"/>
      <c r="Q23" s="81"/>
      <c r="R23" s="128"/>
      <c r="S23" s="81"/>
      <c r="T23" s="346"/>
    </row>
    <row r="24" hidden="1">
      <c r="A24" s="137"/>
      <c r="B24" s="76"/>
      <c r="C24" s="81"/>
      <c r="D24" s="78"/>
      <c r="E24" s="79"/>
      <c r="F24" s="79"/>
      <c r="G24" s="84"/>
      <c r="H24" s="82"/>
      <c r="I24" s="140"/>
      <c r="J24" s="81"/>
      <c r="K24" s="89"/>
      <c r="L24" s="89"/>
      <c r="M24" s="89"/>
      <c r="N24" s="89"/>
      <c r="O24" s="81"/>
      <c r="P24" s="84"/>
      <c r="Q24" s="81"/>
      <c r="R24" s="128"/>
      <c r="S24" s="81"/>
      <c r="T24" s="81"/>
    </row>
    <row r="25" hidden="1">
      <c r="A25" s="395"/>
      <c r="B25" s="76"/>
      <c r="C25" s="81"/>
      <c r="D25" s="78"/>
      <c r="E25" s="79"/>
      <c r="F25" s="79"/>
      <c r="G25" s="84"/>
      <c r="H25" s="82"/>
      <c r="I25" s="140"/>
      <c r="J25" s="81"/>
      <c r="K25" s="130"/>
      <c r="L25" s="89"/>
      <c r="M25" s="130"/>
      <c r="N25" s="130"/>
      <c r="O25" s="81"/>
      <c r="P25" s="154"/>
      <c r="Q25" s="81"/>
      <c r="R25" s="128"/>
      <c r="S25" s="81"/>
      <c r="T25" s="81"/>
    </row>
    <row r="26" hidden="1">
      <c r="A26" s="395"/>
      <c r="B26" s="76"/>
      <c r="C26" s="81"/>
      <c r="D26" s="78"/>
      <c r="E26" s="79"/>
      <c r="F26" s="79"/>
      <c r="G26" s="84"/>
      <c r="H26" s="82"/>
      <c r="I26" s="140"/>
      <c r="J26" s="81"/>
      <c r="K26" s="89"/>
      <c r="L26" s="89"/>
      <c r="M26" s="89"/>
      <c r="N26" s="89"/>
      <c r="O26" s="81"/>
      <c r="P26" s="154"/>
      <c r="Q26" s="81"/>
      <c r="R26" s="128"/>
      <c r="S26" s="81"/>
      <c r="T26" s="81"/>
    </row>
    <row r="27" hidden="1">
      <c r="A27" s="137"/>
      <c r="B27" s="76"/>
      <c r="C27" s="81"/>
      <c r="D27" s="78"/>
      <c r="E27" s="79"/>
      <c r="F27" s="79"/>
      <c r="G27" s="84"/>
      <c r="H27" s="82"/>
      <c r="I27" s="81"/>
      <c r="J27" s="81"/>
      <c r="K27" s="130"/>
      <c r="L27" s="89"/>
      <c r="M27" s="130"/>
      <c r="N27" s="130"/>
      <c r="O27" s="81"/>
      <c r="P27" s="154"/>
      <c r="Q27" s="81"/>
      <c r="R27" s="128"/>
      <c r="S27" s="81"/>
      <c r="T27" s="81"/>
    </row>
    <row r="28" hidden="1">
      <c r="A28" s="137"/>
      <c r="B28" s="76"/>
      <c r="C28" s="81"/>
      <c r="D28" s="78"/>
      <c r="E28" s="79"/>
      <c r="F28" s="79"/>
      <c r="G28" s="84"/>
      <c r="H28" s="82"/>
      <c r="I28" s="81"/>
      <c r="J28" s="81"/>
      <c r="K28" s="89"/>
      <c r="L28" s="89"/>
      <c r="M28" s="89"/>
      <c r="N28" s="89"/>
      <c r="O28" s="81"/>
      <c r="P28" s="84"/>
      <c r="Q28" s="81"/>
      <c r="R28" s="128"/>
      <c r="S28" s="81"/>
      <c r="T28" s="346"/>
    </row>
    <row r="29" hidden="1">
      <c r="A29" s="137"/>
      <c r="B29" s="76"/>
      <c r="C29" s="81"/>
      <c r="D29" s="78"/>
      <c r="E29" s="79"/>
      <c r="F29" s="79"/>
      <c r="G29" s="397"/>
      <c r="H29" s="82"/>
      <c r="I29" s="81"/>
      <c r="J29" s="81"/>
      <c r="K29" s="89"/>
      <c r="L29" s="89"/>
      <c r="M29" s="89"/>
      <c r="N29" s="89"/>
      <c r="O29" s="81"/>
      <c r="P29" s="84"/>
      <c r="Q29" s="81"/>
      <c r="R29" s="128"/>
      <c r="S29" s="81"/>
      <c r="T29" s="346"/>
    </row>
    <row r="30" hidden="1">
      <c r="A30" s="395"/>
      <c r="B30" s="76"/>
      <c r="C30" s="81"/>
      <c r="D30" s="78"/>
      <c r="E30" s="79"/>
      <c r="F30" s="79"/>
      <c r="G30" s="84"/>
      <c r="H30" s="82"/>
      <c r="I30" s="81"/>
      <c r="J30" s="643"/>
      <c r="K30" s="89"/>
      <c r="L30" s="89"/>
      <c r="M30" s="89"/>
      <c r="N30" s="89"/>
      <c r="O30" s="81"/>
      <c r="P30" s="84"/>
      <c r="Q30" s="81"/>
      <c r="R30" s="128"/>
      <c r="S30" s="81"/>
      <c r="T30" s="81"/>
    </row>
    <row r="31" hidden="1">
      <c r="A31" s="137"/>
      <c r="B31" s="76"/>
      <c r="C31" s="81"/>
      <c r="D31" s="78"/>
      <c r="E31" s="79"/>
      <c r="F31" s="79"/>
      <c r="G31" s="84"/>
      <c r="H31" s="82"/>
      <c r="I31" s="81"/>
      <c r="J31" s="643"/>
      <c r="K31" s="89"/>
      <c r="L31" s="89"/>
      <c r="M31" s="89"/>
      <c r="N31" s="89"/>
      <c r="O31" s="81"/>
      <c r="P31" s="84"/>
      <c r="Q31" s="81"/>
      <c r="R31" s="128"/>
      <c r="S31" s="81"/>
      <c r="T31" s="81"/>
    </row>
    <row r="32" hidden="1">
      <c r="A32" s="137"/>
      <c r="B32" s="76"/>
      <c r="C32" s="81"/>
      <c r="D32" s="78"/>
      <c r="E32" s="79"/>
      <c r="F32" s="79"/>
      <c r="G32" s="84"/>
      <c r="H32" s="82"/>
      <c r="I32" s="140"/>
      <c r="J32" s="643"/>
      <c r="K32" s="89"/>
      <c r="L32" s="89"/>
      <c r="M32" s="89"/>
      <c r="N32" s="89"/>
      <c r="O32" s="81"/>
      <c r="P32" s="84"/>
      <c r="Q32" s="81"/>
      <c r="R32" s="128"/>
      <c r="S32" s="81"/>
      <c r="T32" s="346"/>
    </row>
    <row r="33" hidden="1">
      <c r="A33" s="395"/>
      <c r="B33" s="76"/>
      <c r="C33" s="81"/>
      <c r="D33" s="78"/>
      <c r="E33" s="79"/>
      <c r="F33" s="79"/>
      <c r="G33" s="84"/>
      <c r="H33" s="82"/>
      <c r="I33" s="346"/>
      <c r="J33" s="81"/>
      <c r="K33" s="89"/>
      <c r="L33" s="89"/>
      <c r="M33" s="89"/>
      <c r="N33" s="89"/>
      <c r="O33" s="346"/>
      <c r="P33" s="154"/>
      <c r="Q33" s="346"/>
      <c r="R33" s="378"/>
      <c r="S33" s="81"/>
      <c r="T33" s="81"/>
    </row>
    <row r="34" hidden="1">
      <c r="A34" s="395"/>
      <c r="B34" s="76"/>
      <c r="C34" s="81"/>
      <c r="D34" s="78"/>
      <c r="E34" s="79"/>
      <c r="F34" s="79"/>
      <c r="G34" s="84"/>
      <c r="H34" s="382"/>
      <c r="I34" s="346"/>
      <c r="J34" s="81"/>
      <c r="K34" s="89"/>
      <c r="L34" s="89"/>
      <c r="M34" s="89"/>
      <c r="N34" s="89"/>
      <c r="O34" s="346"/>
      <c r="P34" s="154"/>
      <c r="Q34" s="346"/>
      <c r="R34" s="378"/>
      <c r="S34" s="81"/>
      <c r="T34" s="81"/>
    </row>
    <row r="35" hidden="1" customHeight="1">
      <c r="A35" s="395" t="s">
        <v>29</v>
      </c>
      <c r="B35" s="76">
        <v>565.0</v>
      </c>
      <c r="C35" s="122">
        <v>12.0</v>
      </c>
      <c r="D35" s="78">
        <v>4.0</v>
      </c>
      <c r="E35" s="79">
        <v>87.0</v>
      </c>
      <c r="F35" s="79">
        <v>117.0</v>
      </c>
      <c r="G35" s="84" t="s">
        <v>30</v>
      </c>
      <c r="H35" s="82" t="s">
        <v>25</v>
      </c>
      <c r="I35" s="81">
        <v>0.14</v>
      </c>
      <c r="J35" s="87">
        <v>1699.0</v>
      </c>
      <c r="K35" s="88" t="str">
        <f>HYPERLINK("https://amzn.to/2SSzKc4","link*")</f>
        <v>link*</v>
      </c>
      <c r="L35" s="88" t="str">
        <f>HYPERLINK("https://www.bhphotovideo.com/c/product/1338517-REG/sony_sel1224g_fe_12_24mm_f_4_g.html/BI/19619/KBID/12129/DFF/d10-v21-t1-x822838/SID/EZ","link*")</f>
        <v>link*</v>
      </c>
      <c r="M35" s="88" t="str">
        <f>HYPERLINK("https://amzn.to/2Kg94zb","link*")</f>
        <v>link*</v>
      </c>
      <c r="N35" s="88"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35" s="83">
        <v>24.0</v>
      </c>
      <c r="P35" s="84" t="s">
        <v>26</v>
      </c>
      <c r="Q35" s="81">
        <v>7.0</v>
      </c>
      <c r="R35" s="378" t="s">
        <v>31</v>
      </c>
      <c r="S35" s="81" t="s">
        <v>32</v>
      </c>
      <c r="T35" s="81" t="s">
        <v>238</v>
      </c>
    </row>
    <row r="36" hidden="1">
      <c r="A36" s="137"/>
      <c r="B36" s="76"/>
      <c r="C36" s="81"/>
      <c r="D36" s="78"/>
      <c r="E36" s="79"/>
      <c r="F36" s="79"/>
      <c r="G36" s="81"/>
      <c r="H36" s="82"/>
      <c r="I36" s="81"/>
      <c r="J36" s="81"/>
      <c r="K36" s="89"/>
      <c r="L36" s="89"/>
      <c r="M36" s="89"/>
      <c r="N36" s="89"/>
      <c r="O36" s="81"/>
      <c r="P36" s="84"/>
      <c r="Q36" s="81"/>
      <c r="R36" s="123"/>
      <c r="S36" s="81"/>
      <c r="T36" s="81"/>
    </row>
    <row r="37" hidden="1">
      <c r="A37" s="395"/>
      <c r="B37" s="76"/>
      <c r="C37" s="81"/>
      <c r="D37" s="78"/>
      <c r="E37" s="79"/>
      <c r="F37" s="79"/>
      <c r="G37" s="81"/>
      <c r="H37" s="82"/>
      <c r="I37" s="81"/>
      <c r="J37" s="81"/>
      <c r="K37" s="89"/>
      <c r="L37" s="89"/>
      <c r="M37" s="89"/>
      <c r="N37" s="89"/>
      <c r="O37" s="81"/>
      <c r="P37" s="84"/>
      <c r="Q37" s="81"/>
      <c r="R37" s="123"/>
      <c r="S37" s="81"/>
      <c r="T37" s="346"/>
    </row>
    <row r="38" hidden="1">
      <c r="A38" s="137"/>
      <c r="B38" s="76"/>
      <c r="C38" s="81"/>
      <c r="D38" s="78"/>
      <c r="E38" s="79"/>
      <c r="F38" s="79"/>
      <c r="G38" s="400"/>
      <c r="H38" s="82"/>
      <c r="I38" s="81"/>
      <c r="J38" s="81"/>
      <c r="K38" s="89"/>
      <c r="L38" s="89"/>
      <c r="M38" s="89"/>
      <c r="N38" s="89"/>
      <c r="O38" s="81"/>
      <c r="P38" s="84"/>
      <c r="Q38" s="81"/>
      <c r="R38" s="123"/>
      <c r="S38" s="81"/>
      <c r="T38" s="81"/>
    </row>
    <row r="39" hidden="1" customHeight="1">
      <c r="A39" s="395" t="s">
        <v>45</v>
      </c>
      <c r="B39" s="76">
        <v>505.0</v>
      </c>
      <c r="C39" s="122">
        <v>14.0</v>
      </c>
      <c r="D39" s="78">
        <v>2.8</v>
      </c>
      <c r="E39" s="79">
        <v>86.0</v>
      </c>
      <c r="F39" s="79">
        <v>98.0</v>
      </c>
      <c r="G39" s="81" t="s">
        <v>30</v>
      </c>
      <c r="H39" s="82" t="s">
        <v>25</v>
      </c>
      <c r="I39" s="81">
        <v>0.12</v>
      </c>
      <c r="J39" s="87">
        <v>799.0</v>
      </c>
      <c r="K39" s="88" t="str">
        <f>HYPERLINK("https://amzn.to/2SX2HUi","link*")</f>
        <v>link*</v>
      </c>
      <c r="L39" s="88" t="str">
        <f>HYPERLINK("https://www.bhphotovideo.com/c/product/1352863-REG/samyang_syio14af_e_14mm_f_2_8_f_f_wide.html/BI/19619/KBID/12129/DFF/d10-v21-t1-x837928/SID/EZ","link*")</f>
        <v>link*</v>
      </c>
      <c r="M39" s="88" t="str">
        <f>HYPERLINK("https://amzn.to/31hwSIL","link*")</f>
        <v>link*</v>
      </c>
      <c r="N39"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39" s="83">
        <v>20.0</v>
      </c>
      <c r="P39" s="84" t="s">
        <v>26</v>
      </c>
      <c r="Q39" s="81">
        <v>7.0</v>
      </c>
      <c r="R39" s="123">
        <v>43752.0</v>
      </c>
      <c r="S39" s="81" t="s">
        <v>46</v>
      </c>
      <c r="T39" s="346"/>
    </row>
    <row r="40" hidden="1">
      <c r="A40" s="395"/>
      <c r="B40" s="76"/>
      <c r="C40" s="81"/>
      <c r="D40" s="78"/>
      <c r="E40" s="79"/>
      <c r="F40" s="79"/>
      <c r="G40" s="81"/>
      <c r="H40" s="82"/>
      <c r="I40" s="185"/>
      <c r="J40" s="81"/>
      <c r="K40" s="89"/>
      <c r="L40" s="89"/>
      <c r="M40" s="89"/>
      <c r="N40" s="89"/>
      <c r="O40" s="81"/>
      <c r="P40" s="84"/>
      <c r="Q40" s="81"/>
      <c r="R40" s="123"/>
      <c r="S40" s="81"/>
      <c r="T40" s="81"/>
    </row>
    <row r="41" hidden="1">
      <c r="A41" s="137"/>
      <c r="B41" s="76"/>
      <c r="C41" s="81"/>
      <c r="D41" s="78"/>
      <c r="E41" s="79"/>
      <c r="F41" s="79"/>
      <c r="G41" s="400"/>
      <c r="H41" s="82"/>
      <c r="I41" s="81"/>
      <c r="J41" s="81"/>
      <c r="K41" s="89"/>
      <c r="L41" s="89"/>
      <c r="M41" s="89"/>
      <c r="N41" s="89"/>
      <c r="O41" s="81"/>
      <c r="P41" s="84"/>
      <c r="Q41" s="81"/>
      <c r="R41" s="123"/>
      <c r="S41" s="81"/>
      <c r="T41" s="346"/>
    </row>
    <row r="42" hidden="1">
      <c r="A42" s="137"/>
      <c r="B42" s="76"/>
      <c r="C42" s="81"/>
      <c r="D42" s="78"/>
      <c r="E42" s="79"/>
      <c r="F42" s="79"/>
      <c r="G42" s="81"/>
      <c r="H42" s="82"/>
      <c r="I42" s="81"/>
      <c r="J42" s="81"/>
      <c r="K42" s="89"/>
      <c r="L42" s="89"/>
      <c r="M42" s="89"/>
      <c r="N42" s="89"/>
      <c r="O42" s="81"/>
      <c r="P42" s="84"/>
      <c r="Q42" s="81"/>
      <c r="R42" s="123"/>
      <c r="S42" s="81"/>
      <c r="T42" s="81"/>
    </row>
    <row r="43" hidden="1">
      <c r="A43" s="395"/>
      <c r="B43" s="76"/>
      <c r="C43" s="81"/>
      <c r="D43" s="78"/>
      <c r="E43" s="79"/>
      <c r="F43" s="79"/>
      <c r="G43" s="81"/>
      <c r="H43" s="82"/>
      <c r="I43" s="81"/>
      <c r="J43" s="645"/>
      <c r="K43" s="89"/>
      <c r="L43" s="89"/>
      <c r="M43" s="89"/>
      <c r="N43" s="89"/>
      <c r="O43" s="81"/>
      <c r="P43" s="84"/>
      <c r="Q43" s="81"/>
      <c r="R43" s="123"/>
      <c r="S43" s="81"/>
      <c r="T43" s="81"/>
    </row>
    <row r="44" hidden="1">
      <c r="A44" s="395"/>
      <c r="B44" s="76"/>
      <c r="C44" s="81"/>
      <c r="D44" s="392"/>
      <c r="E44" s="79"/>
      <c r="F44" s="79"/>
      <c r="G44" s="400"/>
      <c r="H44" s="82"/>
      <c r="I44" s="81"/>
      <c r="J44" s="81"/>
      <c r="K44" s="89"/>
      <c r="L44" s="89"/>
      <c r="M44" s="89"/>
      <c r="N44" s="89"/>
      <c r="O44" s="81"/>
      <c r="P44" s="84"/>
      <c r="Q44" s="81"/>
      <c r="R44" s="123"/>
      <c r="S44" s="81"/>
      <c r="T44" s="81"/>
    </row>
    <row r="45" hidden="1">
      <c r="A45" s="152" t="str">
        <f>HYPERLINK("https://phillipreeve.net/blog/review-voigtlander-15mm-4-5-e-super-wide-heliar/","Voigtlander 15mm F4.5 Super Wide Heliar")</f>
        <v>Voigtlander 15mm F4.5 Super Wide Heliar</v>
      </c>
      <c r="B45" s="76">
        <v>298.0</v>
      </c>
      <c r="C45" s="122">
        <v>15.0</v>
      </c>
      <c r="D45" s="78">
        <v>4.5</v>
      </c>
      <c r="E45" s="391">
        <v>67.0</v>
      </c>
      <c r="F45" s="396">
        <v>62.0</v>
      </c>
      <c r="G45" s="397" t="s">
        <v>24</v>
      </c>
      <c r="H45" s="82" t="s">
        <v>47</v>
      </c>
      <c r="I45" s="81">
        <v>0.083</v>
      </c>
      <c r="J45" s="87">
        <v>799.0</v>
      </c>
      <c r="K45" s="88" t="str">
        <f>HYPERLINK("https://amzn.to/2YwplrQ","link*")</f>
        <v>link*</v>
      </c>
      <c r="L45" s="88" t="str">
        <f>HYPERLINK("https://www.bhphotovideo.com/c/product/1219549-REG/voigtlander_ba329b_super_wide_heliar_15mm_f_4_5.html/BI/19619/KBID/12129/DFF/d10-v21-t1-x618202/SID/EZ","link*")</f>
        <v>link*</v>
      </c>
      <c r="M45" s="88" t="str">
        <f>HYPERLINK("https://amzn.to/2ZpTKt5","link*")</f>
        <v>link*</v>
      </c>
      <c r="N45"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45" s="83">
        <v>30.0</v>
      </c>
      <c r="P45" s="84" t="s">
        <v>26</v>
      </c>
      <c r="Q45" s="81">
        <v>10.0</v>
      </c>
      <c r="R45" s="128" t="s">
        <v>38</v>
      </c>
      <c r="S45" s="81" t="s">
        <v>28</v>
      </c>
      <c r="T45" s="81" t="s">
        <v>241</v>
      </c>
    </row>
    <row r="46" hidden="1">
      <c r="A46" s="395"/>
      <c r="B46" s="76"/>
      <c r="C46" s="81"/>
      <c r="D46" s="78"/>
      <c r="E46" s="79"/>
      <c r="F46" s="79"/>
      <c r="G46" s="81"/>
      <c r="H46" s="82"/>
      <c r="I46" s="185"/>
      <c r="J46" s="81"/>
      <c r="K46" s="89"/>
      <c r="L46" s="89"/>
      <c r="M46" s="89"/>
      <c r="N46" s="89"/>
      <c r="O46" s="81"/>
      <c r="P46" s="84"/>
      <c r="Q46" s="81"/>
      <c r="R46" s="123"/>
      <c r="S46" s="81"/>
      <c r="T46" s="346"/>
    </row>
    <row r="47" hidden="1">
      <c r="A47" s="402"/>
      <c r="B47" s="76"/>
      <c r="C47" s="81"/>
      <c r="D47" s="78"/>
      <c r="E47" s="79"/>
      <c r="F47" s="79"/>
      <c r="G47" s="81"/>
      <c r="H47" s="82"/>
      <c r="I47" s="81"/>
      <c r="J47" s="644"/>
      <c r="K47" s="89"/>
      <c r="L47" s="89"/>
      <c r="M47" s="89"/>
      <c r="N47" s="89"/>
      <c r="O47" s="81"/>
      <c r="P47" s="84"/>
      <c r="Q47" s="81"/>
      <c r="R47" s="123"/>
      <c r="S47" s="81"/>
      <c r="T47" s="346"/>
    </row>
    <row r="48" hidden="1">
      <c r="A48" s="152" t="str">
        <f>HYPERLINK("https://phillipreeve.net/blog/sony-fe-16-35mm-f4-za-t-review/","Sony ZA 4/16-35 OSS ")</f>
        <v>Sony ZA 4/16-35 OSS </v>
      </c>
      <c r="B48" s="76">
        <v>523.0</v>
      </c>
      <c r="C48" s="122">
        <v>16.0</v>
      </c>
      <c r="D48" s="78">
        <v>4.0</v>
      </c>
      <c r="E48" s="79">
        <v>78.0</v>
      </c>
      <c r="F48" s="79">
        <v>98.0</v>
      </c>
      <c r="G48" s="84" t="s">
        <v>30</v>
      </c>
      <c r="H48" s="82" t="s">
        <v>48</v>
      </c>
      <c r="I48" s="81">
        <v>0.19</v>
      </c>
      <c r="J48" s="87">
        <v>1349.0</v>
      </c>
      <c r="K48" s="88" t="str">
        <f>HYPERLINK("http://amzn.to/2v2sY7q","link*")</f>
        <v>link*</v>
      </c>
      <c r="L48" s="88" t="str">
        <f>HYPERLINK("https://www.bhphotovideo.com/c/product/1380866-REG/sony_16_35mm_f_4_vario_tsr.html/BI/19619/KBID/12129/kw/SO16354F/DFF/d10-v2-t1-xSO16354F","link*")</f>
        <v>link*</v>
      </c>
      <c r="M48" s="88" t="str">
        <f>HYPERLINK("http://amzn.to/2wyMLuP","link*")</f>
        <v>link*</v>
      </c>
      <c r="N48"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48" s="83">
        <v>28.0</v>
      </c>
      <c r="P48" s="154" t="s">
        <v>49</v>
      </c>
      <c r="Q48" s="81">
        <v>7.0</v>
      </c>
      <c r="R48" s="128" t="s">
        <v>38</v>
      </c>
      <c r="S48" s="81" t="s">
        <v>32</v>
      </c>
      <c r="T48" s="81" t="s">
        <v>242</v>
      </c>
    </row>
    <row r="49" hidden="1">
      <c r="A49" s="137"/>
      <c r="B49" s="76"/>
      <c r="C49" s="81"/>
      <c r="D49" s="392"/>
      <c r="E49" s="79"/>
      <c r="F49" s="79"/>
      <c r="G49" s="400"/>
      <c r="H49" s="82"/>
      <c r="I49" s="346"/>
      <c r="J49" s="81"/>
      <c r="K49" s="89"/>
      <c r="L49" s="89"/>
      <c r="M49" s="89"/>
      <c r="N49" s="89"/>
      <c r="O49" s="81"/>
      <c r="P49" s="84"/>
      <c r="Q49" s="81"/>
      <c r="R49" s="123"/>
      <c r="S49" s="81"/>
      <c r="T49" s="81"/>
    </row>
    <row r="50" hidden="1">
      <c r="A50" s="395"/>
      <c r="B50" s="76"/>
      <c r="C50" s="81"/>
      <c r="D50" s="78"/>
      <c r="E50" s="79"/>
      <c r="F50" s="79"/>
      <c r="G50" s="81"/>
      <c r="H50" s="82"/>
      <c r="I50" s="81"/>
      <c r="J50" s="81"/>
      <c r="K50" s="89"/>
      <c r="L50" s="89"/>
      <c r="M50" s="89"/>
      <c r="N50" s="89"/>
      <c r="O50" s="81"/>
      <c r="P50" s="84"/>
      <c r="Q50" s="81"/>
      <c r="R50" s="123"/>
      <c r="S50" s="81"/>
      <c r="T50" s="346"/>
    </row>
    <row r="51" hidden="1">
      <c r="A51" s="395" t="s">
        <v>50</v>
      </c>
      <c r="B51" s="76">
        <v>680.0</v>
      </c>
      <c r="C51" s="122">
        <v>16.0</v>
      </c>
      <c r="D51" s="78">
        <v>2.8</v>
      </c>
      <c r="E51" s="79">
        <v>89.0</v>
      </c>
      <c r="F51" s="79">
        <v>122.0</v>
      </c>
      <c r="G51" s="84" t="s">
        <v>30</v>
      </c>
      <c r="H51" s="82" t="s">
        <v>51</v>
      </c>
      <c r="I51" s="81">
        <v>0.19</v>
      </c>
      <c r="J51" s="87">
        <v>2199.0</v>
      </c>
      <c r="K51" s="88" t="str">
        <f>HYPERLINK("https://amzn.to/2SR0IRl","link*")</f>
        <v>link*</v>
      </c>
      <c r="L51" s="88" t="str">
        <f>HYPERLINK("https://www.bhphotovideo.com/c/product/1338516-REG/sony_sel1635gm_fe_16_35mm_f_2_8_gm.html/BI/19619/KBID/12129/DFF/d10-v21-t1-x822837/SID/EZ","link*")</f>
        <v>link*</v>
      </c>
      <c r="M51" s="88" t="str">
        <f>HYPERLINK("https://amzn.to/2T1ZxOU","link*")</f>
        <v>link*</v>
      </c>
      <c r="N51"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51" s="83">
        <v>28.0</v>
      </c>
      <c r="P51" s="84" t="s">
        <v>26</v>
      </c>
      <c r="Q51" s="81">
        <v>11.0</v>
      </c>
      <c r="R51" s="128" t="s">
        <v>52</v>
      </c>
      <c r="S51" s="81" t="s">
        <v>32</v>
      </c>
      <c r="T51" s="81" t="s">
        <v>238</v>
      </c>
    </row>
    <row r="52" hidden="1">
      <c r="A52" s="395"/>
      <c r="B52" s="76"/>
      <c r="C52" s="81"/>
      <c r="D52" s="78"/>
      <c r="E52" s="79"/>
      <c r="F52" s="79"/>
      <c r="G52" s="81"/>
      <c r="H52" s="82"/>
      <c r="I52" s="81"/>
      <c r="J52" s="81"/>
      <c r="K52" s="89"/>
      <c r="L52" s="89"/>
      <c r="M52" s="89"/>
      <c r="N52" s="89"/>
      <c r="O52" s="81"/>
      <c r="P52" s="84"/>
      <c r="Q52" s="81"/>
      <c r="R52" s="123"/>
      <c r="S52" s="81"/>
      <c r="T52" s="346"/>
    </row>
    <row r="53" hidden="1">
      <c r="A53" s="137"/>
      <c r="B53" s="76"/>
      <c r="C53" s="81"/>
      <c r="D53" s="78"/>
      <c r="E53" s="79"/>
      <c r="F53" s="79"/>
      <c r="G53" s="81"/>
      <c r="H53" s="82"/>
      <c r="I53" s="81"/>
      <c r="J53" s="643"/>
      <c r="K53" s="89"/>
      <c r="L53" s="89"/>
      <c r="M53" s="89"/>
      <c r="N53" s="89"/>
      <c r="O53" s="81"/>
      <c r="P53" s="84"/>
      <c r="Q53" s="81"/>
      <c r="R53" s="123"/>
      <c r="S53" s="81"/>
      <c r="T53" s="81"/>
    </row>
    <row r="54" hidden="1">
      <c r="A54" s="137"/>
      <c r="B54" s="76"/>
      <c r="C54" s="81"/>
      <c r="D54" s="78"/>
      <c r="E54" s="79"/>
      <c r="F54" s="79"/>
      <c r="G54" s="400"/>
      <c r="H54" s="82"/>
      <c r="I54" s="81"/>
      <c r="J54" s="81"/>
      <c r="K54" s="89"/>
      <c r="L54" s="89"/>
      <c r="M54" s="89"/>
      <c r="N54" s="89"/>
      <c r="O54" s="81"/>
      <c r="P54" s="84"/>
      <c r="Q54" s="81"/>
      <c r="R54" s="123"/>
      <c r="S54" s="81"/>
      <c r="T54" s="346"/>
    </row>
    <row r="55" hidden="1">
      <c r="A55" s="137"/>
      <c r="B55" s="76"/>
      <c r="C55" s="81"/>
      <c r="D55" s="78"/>
      <c r="E55" s="79"/>
      <c r="F55" s="79"/>
      <c r="G55" s="81"/>
      <c r="H55" s="82"/>
      <c r="I55" s="259"/>
      <c r="J55" s="644"/>
      <c r="K55" s="89"/>
      <c r="L55" s="89"/>
      <c r="M55" s="89"/>
      <c r="N55" s="89"/>
      <c r="O55" s="81"/>
      <c r="P55" s="84"/>
      <c r="Q55" s="81"/>
      <c r="R55" s="123"/>
      <c r="S55" s="81"/>
      <c r="T55" s="81"/>
    </row>
    <row r="56" hidden="1">
      <c r="A56" s="137"/>
      <c r="B56" s="76"/>
      <c r="C56" s="81"/>
      <c r="D56" s="78"/>
      <c r="E56" s="79"/>
      <c r="F56" s="79"/>
      <c r="G56" s="81"/>
      <c r="H56" s="82"/>
      <c r="I56" s="81"/>
      <c r="J56" s="81"/>
      <c r="K56" s="89"/>
      <c r="L56" s="89"/>
      <c r="M56" s="89"/>
      <c r="N56" s="89"/>
      <c r="O56" s="81"/>
      <c r="P56" s="84"/>
      <c r="Q56" s="81"/>
      <c r="R56" s="123"/>
      <c r="S56" s="81"/>
      <c r="T56" s="81"/>
    </row>
    <row r="57" hidden="1">
      <c r="A57" s="137"/>
      <c r="B57" s="76"/>
      <c r="C57" s="81"/>
      <c r="D57" s="78"/>
      <c r="E57" s="79"/>
      <c r="F57" s="79"/>
      <c r="G57" s="400"/>
      <c r="H57" s="82"/>
      <c r="I57" s="393"/>
      <c r="J57" s="81"/>
      <c r="K57" s="89"/>
      <c r="L57" s="89"/>
      <c r="M57" s="89"/>
      <c r="N57" s="89"/>
      <c r="O57" s="81"/>
      <c r="P57" s="84"/>
      <c r="Q57" s="81"/>
      <c r="R57" s="123"/>
      <c r="S57" s="81"/>
    </row>
    <row r="58" hidden="1">
      <c r="A58" s="399" t="str">
        <f>HYPERLINK("https://phillipreeve.net/blog/review-tamron-17-28mm-f-2-8-di-iii-rxd/","Tamron 17-28mm f/2.8 Di III RXD")</f>
        <v>Tamron 17-28mm f/2.8 Di III RXD</v>
      </c>
      <c r="B58" s="76">
        <v>420.0</v>
      </c>
      <c r="C58" s="122">
        <v>17.0</v>
      </c>
      <c r="D58" s="78">
        <v>2.8</v>
      </c>
      <c r="E58" s="379">
        <v>73.0</v>
      </c>
      <c r="F58" s="79">
        <v>99.0</v>
      </c>
      <c r="G58" s="84" t="s">
        <v>30</v>
      </c>
      <c r="H58" s="82" t="s">
        <v>53</v>
      </c>
      <c r="I58" s="81">
        <v>0.19</v>
      </c>
      <c r="J58" s="153">
        <v>899.0</v>
      </c>
      <c r="K58" s="88" t="str">
        <f>HYPERLINK("https://amzn.to/2Hv3AyB","link*")</f>
        <v>link*</v>
      </c>
      <c r="L58" s="88" t="str">
        <f>HYPERLINK("https://www.bhphotovideo.com/c/product/1461529-REG/tamron_a046_17_28mm_f_2_8_di_iii.html/BI/19619/KBID/12129/DFF/d10-v21-t1-x946694/SID/EZ","link*")</f>
        <v>link*</v>
      </c>
      <c r="M58" s="88" t="str">
        <f>HYPERLINK("https://amzn.to/2YkrkQB","link*")</f>
        <v>link*</v>
      </c>
      <c r="N58"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58" s="83">
        <v>19.0</v>
      </c>
      <c r="P58" s="84" t="s">
        <v>26</v>
      </c>
      <c r="Q58" s="81">
        <v>9.0</v>
      </c>
      <c r="R58" s="128" t="s">
        <v>54</v>
      </c>
      <c r="S58" s="81" t="s">
        <v>55</v>
      </c>
      <c r="T58" s="81" t="s">
        <v>243</v>
      </c>
    </row>
    <row r="59" hidden="1">
      <c r="A59" s="395"/>
      <c r="B59" s="76"/>
      <c r="C59" s="81"/>
      <c r="D59" s="78"/>
      <c r="E59" s="79"/>
      <c r="F59" s="79"/>
      <c r="G59" s="81"/>
      <c r="H59" s="82"/>
      <c r="I59" s="185"/>
      <c r="J59" s="81"/>
      <c r="K59" s="89"/>
      <c r="L59" s="89"/>
      <c r="M59" s="89"/>
      <c r="N59" s="89"/>
      <c r="O59" s="81"/>
      <c r="P59" s="154"/>
      <c r="Q59" s="81"/>
      <c r="R59" s="85"/>
      <c r="S59" s="81"/>
      <c r="T59" s="81"/>
    </row>
    <row r="60" hidden="1">
      <c r="A60" s="395"/>
      <c r="B60" s="76"/>
      <c r="C60" s="81"/>
      <c r="D60" s="78"/>
      <c r="E60" s="79"/>
      <c r="F60" s="79"/>
      <c r="G60" s="81"/>
      <c r="H60" s="82"/>
      <c r="I60" s="140"/>
      <c r="J60" s="81"/>
      <c r="K60" s="89"/>
      <c r="L60" s="89"/>
      <c r="M60" s="89"/>
      <c r="N60" s="89"/>
      <c r="O60" s="81"/>
      <c r="P60" s="154"/>
      <c r="Q60" s="81"/>
      <c r="R60" s="403"/>
      <c r="S60" s="81"/>
      <c r="T60" s="81"/>
    </row>
    <row r="61" hidden="1">
      <c r="A61" s="137"/>
      <c r="B61" s="76"/>
      <c r="C61" s="81"/>
      <c r="D61" s="78"/>
      <c r="E61" s="79"/>
      <c r="F61" s="79"/>
      <c r="G61" s="81"/>
      <c r="H61" s="82"/>
      <c r="I61" s="346"/>
      <c r="J61" s="81"/>
      <c r="K61" s="89"/>
      <c r="L61" s="89"/>
      <c r="M61" s="89"/>
      <c r="N61" s="89"/>
      <c r="O61" s="81"/>
      <c r="P61" s="154"/>
      <c r="Q61" s="81"/>
      <c r="R61" s="85"/>
      <c r="S61" s="81"/>
      <c r="T61" s="81"/>
    </row>
    <row r="62" hidden="1">
      <c r="A62" s="137"/>
      <c r="B62" s="76"/>
      <c r="C62" s="81"/>
      <c r="D62" s="78"/>
      <c r="E62" s="79"/>
      <c r="F62" s="79"/>
      <c r="G62" s="81"/>
      <c r="H62" s="82"/>
      <c r="I62" s="81"/>
      <c r="J62" s="81"/>
      <c r="K62" s="89"/>
      <c r="L62" s="89"/>
      <c r="M62" s="89"/>
      <c r="N62" s="89"/>
      <c r="O62" s="81"/>
      <c r="P62" s="84"/>
      <c r="Q62" s="81"/>
      <c r="R62" s="123"/>
      <c r="S62" s="81"/>
      <c r="T62" s="81"/>
    </row>
    <row r="63" hidden="1">
      <c r="A63" s="152" t="str">
        <f>HYPERLINK("https://phillipreeve.net/blog/review-zeiss-batis-18mm-2-8/","Zeiss Batis 2.8/18")</f>
        <v>Zeiss Batis 2.8/18</v>
      </c>
      <c r="B63" s="76">
        <v>330.0</v>
      </c>
      <c r="C63" s="122">
        <v>18.0</v>
      </c>
      <c r="D63" s="78">
        <v>2.8</v>
      </c>
      <c r="E63" s="79">
        <v>100.0</v>
      </c>
      <c r="F63" s="79">
        <v>80.0</v>
      </c>
      <c r="G63" s="84" t="s">
        <v>30</v>
      </c>
      <c r="H63" s="82" t="s">
        <v>56</v>
      </c>
      <c r="I63" s="81">
        <v>0.1</v>
      </c>
      <c r="J63" s="87">
        <v>1499.0</v>
      </c>
      <c r="K63" s="88" t="str">
        <f>HYPERLINK("https://amzn.to/2SRFBhL","link*")</f>
        <v>link*</v>
      </c>
      <c r="L63" s="88" t="str">
        <f>HYPERLINK("https://www.bhphotovideo.com/c/product/1243591-REG/zeiss_2136_691_batis_18mm_f_2_8_lens.html/BI/19619/KBID/12129/DFF/d10-v21-t1-x727488/SID/EZ","link*")</f>
        <v>link*</v>
      </c>
      <c r="M63" s="88" t="str">
        <f>HYPERLINK("https://amzn.to/334PqNT","link*")</f>
        <v>link*</v>
      </c>
      <c r="N63"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63" s="83">
        <v>25.0</v>
      </c>
      <c r="P63" s="84" t="s">
        <v>26</v>
      </c>
      <c r="Q63" s="81">
        <v>9.0</v>
      </c>
      <c r="R63" s="128" t="s">
        <v>57</v>
      </c>
      <c r="S63" s="81" t="s">
        <v>58</v>
      </c>
      <c r="T63" s="346"/>
    </row>
    <row r="64" hidden="1">
      <c r="A64" s="395"/>
      <c r="B64" s="76"/>
      <c r="C64" s="81"/>
      <c r="D64" s="78"/>
      <c r="E64" s="79"/>
      <c r="F64" s="79"/>
      <c r="G64" s="81"/>
      <c r="H64" s="82"/>
      <c r="I64" s="81"/>
      <c r="J64" s="643"/>
      <c r="K64" s="89"/>
      <c r="L64" s="89"/>
      <c r="M64" s="89"/>
      <c r="N64" s="89"/>
      <c r="O64" s="81"/>
      <c r="P64" s="84"/>
      <c r="Q64" s="81"/>
      <c r="R64" s="123"/>
      <c r="S64" s="81"/>
      <c r="T64" s="346"/>
    </row>
    <row r="65" hidden="1">
      <c r="A65" s="137"/>
      <c r="B65" s="76"/>
      <c r="C65" s="81"/>
      <c r="D65" s="78"/>
      <c r="E65" s="79"/>
      <c r="F65" s="79"/>
      <c r="G65" s="81"/>
      <c r="H65" s="82"/>
      <c r="I65" s="81"/>
      <c r="J65" s="643"/>
      <c r="K65" s="89"/>
      <c r="L65" s="89"/>
      <c r="M65" s="89"/>
      <c r="N65" s="89"/>
      <c r="O65" s="81"/>
      <c r="P65" s="84"/>
      <c r="Q65" s="81"/>
      <c r="R65" s="123"/>
      <c r="S65" s="81"/>
      <c r="T65" s="81"/>
    </row>
    <row r="66" hidden="1">
      <c r="A66" s="625"/>
      <c r="B66" s="76"/>
      <c r="C66" s="81"/>
      <c r="D66" s="78"/>
      <c r="E66" s="79"/>
      <c r="F66" s="79"/>
      <c r="G66" s="81"/>
      <c r="H66" s="82"/>
      <c r="I66" s="81"/>
      <c r="J66" s="81"/>
      <c r="K66" s="89"/>
      <c r="L66" s="89"/>
      <c r="M66" s="89"/>
      <c r="N66" s="89"/>
      <c r="O66" s="81"/>
      <c r="P66" s="154"/>
      <c r="Q66" s="81"/>
      <c r="R66" s="123"/>
      <c r="S66" s="81"/>
      <c r="T66" s="346"/>
    </row>
    <row r="67" hidden="1">
      <c r="A67" s="395"/>
      <c r="B67" s="76"/>
      <c r="C67" s="81"/>
      <c r="D67" s="78"/>
      <c r="E67" s="622"/>
      <c r="F67" s="622"/>
      <c r="G67" s="400"/>
      <c r="H67" s="82"/>
      <c r="I67" s="81"/>
      <c r="J67" s="81"/>
      <c r="K67" s="89"/>
      <c r="L67" s="89"/>
      <c r="M67" s="89"/>
      <c r="N67" s="89"/>
      <c r="O67" s="81"/>
      <c r="P67" s="84"/>
      <c r="Q67" s="81"/>
      <c r="R67" s="123"/>
      <c r="S67" s="81"/>
      <c r="T67" s="346"/>
    </row>
    <row r="68" hidden="1">
      <c r="A68" s="395"/>
      <c r="B68" s="76"/>
      <c r="C68" s="81"/>
      <c r="D68" s="78"/>
      <c r="E68" s="622"/>
      <c r="F68" s="622"/>
      <c r="G68" s="81"/>
      <c r="H68" s="82"/>
      <c r="I68" s="81"/>
      <c r="J68" s="81"/>
      <c r="K68" s="89"/>
      <c r="L68" s="89"/>
      <c r="M68" s="89"/>
      <c r="N68" s="89"/>
      <c r="O68" s="81"/>
      <c r="P68" s="84"/>
      <c r="Q68" s="81"/>
      <c r="R68" s="123"/>
      <c r="S68" s="81"/>
      <c r="T68" s="346"/>
    </row>
    <row r="69" hidden="1">
      <c r="A69" s="137"/>
      <c r="B69" s="76"/>
      <c r="C69" s="81"/>
      <c r="D69" s="78"/>
      <c r="E69" s="79"/>
      <c r="F69" s="79"/>
      <c r="G69" s="400"/>
      <c r="H69" s="82"/>
      <c r="I69" s="81"/>
      <c r="J69" s="81"/>
      <c r="K69" s="89"/>
      <c r="L69" s="89"/>
      <c r="M69" s="89"/>
      <c r="N69" s="89"/>
      <c r="O69" s="81"/>
      <c r="P69" s="84"/>
      <c r="Q69" s="81"/>
      <c r="R69" s="123"/>
      <c r="S69" s="81"/>
      <c r="T69" s="346"/>
    </row>
    <row r="70" hidden="1">
      <c r="A70" s="137"/>
      <c r="B70" s="76"/>
      <c r="C70" s="81"/>
      <c r="D70" s="78"/>
      <c r="E70" s="79"/>
      <c r="F70" s="79"/>
      <c r="G70" s="81"/>
      <c r="H70" s="82"/>
      <c r="I70" s="259"/>
      <c r="J70" s="81"/>
      <c r="K70" s="89"/>
      <c r="L70" s="89"/>
      <c r="M70" s="89"/>
      <c r="N70" s="89"/>
      <c r="O70" s="81"/>
      <c r="P70" s="154"/>
      <c r="Q70" s="81"/>
      <c r="R70" s="123"/>
      <c r="S70" s="81"/>
      <c r="T70" s="81"/>
    </row>
    <row r="71" hidden="1">
      <c r="A71" s="395"/>
      <c r="B71" s="76"/>
      <c r="C71" s="81"/>
      <c r="D71" s="78"/>
      <c r="E71" s="79"/>
      <c r="F71" s="79"/>
      <c r="G71" s="81"/>
      <c r="H71" s="82"/>
      <c r="I71" s="185"/>
      <c r="J71" s="81"/>
      <c r="K71" s="89"/>
      <c r="L71" s="89"/>
      <c r="M71" s="89"/>
      <c r="N71" s="89"/>
      <c r="O71" s="81"/>
      <c r="P71" s="154"/>
      <c r="Q71" s="81"/>
      <c r="R71" s="123"/>
      <c r="S71" s="81"/>
      <c r="T71" s="81"/>
    </row>
    <row r="72" hidden="1">
      <c r="A72" s="395"/>
      <c r="B72" s="76"/>
      <c r="C72" s="81"/>
      <c r="D72" s="78"/>
      <c r="E72" s="79"/>
      <c r="F72" s="79"/>
      <c r="G72" s="81"/>
      <c r="H72" s="82"/>
      <c r="I72" s="259"/>
      <c r="J72" s="644"/>
      <c r="K72" s="89"/>
      <c r="L72" s="89"/>
      <c r="M72" s="89"/>
      <c r="N72" s="89"/>
      <c r="O72" s="81"/>
      <c r="P72" s="84"/>
      <c r="Q72" s="81"/>
      <c r="R72" s="123"/>
      <c r="S72" s="81"/>
      <c r="T72" s="81"/>
    </row>
    <row r="73" hidden="1">
      <c r="A73" s="395"/>
      <c r="B73" s="76"/>
      <c r="C73" s="81"/>
      <c r="D73" s="78"/>
      <c r="E73" s="79"/>
      <c r="F73" s="79"/>
      <c r="G73" s="81"/>
      <c r="H73" s="82"/>
      <c r="I73" s="185"/>
      <c r="J73" s="81"/>
      <c r="K73" s="89"/>
      <c r="L73" s="89"/>
      <c r="M73" s="89"/>
      <c r="N73" s="89"/>
      <c r="O73" s="81"/>
      <c r="P73" s="154"/>
      <c r="Q73" s="81"/>
      <c r="R73" s="85"/>
      <c r="S73" s="81"/>
      <c r="T73" s="81"/>
    </row>
    <row r="74" hidden="1" customHeight="1">
      <c r="A74" s="152" t="str">
        <f>HYPERLINK("https://phillipreeve.net/blog/review-voigtlander-12mm-5-6-aspherical-ultra-wide-heliar/","Voigtlander 12mm F5.6 Ultra Wide-Heliar Aspherical")</f>
        <v>Voigtlander 12mm F5.6 Ultra Wide-Heliar Aspherical</v>
      </c>
      <c r="B74" s="76">
        <v>350.0</v>
      </c>
      <c r="C74" s="122">
        <v>12.0</v>
      </c>
      <c r="D74" s="78">
        <v>5.6</v>
      </c>
      <c r="E74" s="391">
        <v>67.0</v>
      </c>
      <c r="F74" s="396">
        <v>68.0</v>
      </c>
      <c r="G74" s="397" t="s">
        <v>24</v>
      </c>
      <c r="H74" s="82" t="s">
        <v>25</v>
      </c>
      <c r="I74" s="81"/>
      <c r="J74" s="87">
        <v>749.0</v>
      </c>
      <c r="K74" s="89"/>
      <c r="L74" s="89"/>
      <c r="M74" s="89"/>
      <c r="N74" s="88"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74" s="83">
        <v>30.0</v>
      </c>
      <c r="P74" s="84" t="s">
        <v>26</v>
      </c>
      <c r="Q74" s="81">
        <v>10.0</v>
      </c>
      <c r="R74" s="378" t="s">
        <v>38</v>
      </c>
      <c r="S74" s="81" t="s">
        <v>28</v>
      </c>
      <c r="T74" s="81" t="s">
        <v>239</v>
      </c>
      <c r="U74" s="68" t="s">
        <v>39</v>
      </c>
    </row>
    <row r="75" hidden="1">
      <c r="A75" s="395"/>
      <c r="B75" s="76"/>
      <c r="C75" s="81"/>
      <c r="D75" s="78"/>
      <c r="E75" s="79"/>
      <c r="F75" s="79"/>
      <c r="G75" s="400"/>
      <c r="H75" s="82"/>
      <c r="I75" s="259"/>
      <c r="J75" s="81"/>
      <c r="K75" s="89"/>
      <c r="L75" s="89"/>
      <c r="M75" s="89"/>
      <c r="N75" s="89"/>
      <c r="O75" s="81"/>
      <c r="P75" s="84"/>
      <c r="Q75" s="81"/>
      <c r="R75" s="123"/>
      <c r="S75" s="81"/>
      <c r="T75" s="81"/>
    </row>
    <row r="76" hidden="1">
      <c r="A76" s="137"/>
      <c r="B76" s="76"/>
      <c r="C76" s="81"/>
      <c r="D76" s="78"/>
      <c r="E76" s="79"/>
      <c r="F76" s="79"/>
      <c r="G76" s="81"/>
      <c r="H76" s="270"/>
      <c r="I76" s="185"/>
      <c r="J76" s="81"/>
      <c r="K76" s="89"/>
      <c r="L76" s="89"/>
      <c r="M76" s="89"/>
      <c r="N76" s="89"/>
      <c r="O76" s="81"/>
      <c r="P76" s="84"/>
      <c r="Q76" s="81"/>
      <c r="R76" s="123"/>
      <c r="S76" s="81"/>
      <c r="T76" s="346"/>
    </row>
    <row r="77" hidden="1">
      <c r="A77" s="395" t="s">
        <v>62</v>
      </c>
      <c r="B77" s="76">
        <v>775.0</v>
      </c>
      <c r="C77" s="122">
        <v>20.0</v>
      </c>
      <c r="D77" s="121">
        <v>1.8</v>
      </c>
      <c r="E77" s="79">
        <v>77.0</v>
      </c>
      <c r="F77" s="79">
        <v>102.0</v>
      </c>
      <c r="G77" s="400" t="s">
        <v>24</v>
      </c>
      <c r="H77" s="82" t="s">
        <v>51</v>
      </c>
      <c r="I77" s="81">
        <v>0.12</v>
      </c>
      <c r="J77" s="87">
        <v>486.0</v>
      </c>
      <c r="K77" s="88" t="str">
        <f>HYPERLINK("https://amzn.to/2LRRbJ5","link*")</f>
        <v>link*</v>
      </c>
      <c r="L77" s="88" t="str">
        <f>HYPERLINK("https://www.bhphotovideo.com/c/product/1469187-REG/viltrox_pfu_rbmh_20mm_f1_8_asph_e_mount_20mm_f_1_8_for_sony.html/BI/19619/KBID/12129/DFF/d10-v21-t1-x954299/SID/EZ","link*")</f>
        <v>link*</v>
      </c>
      <c r="M77" s="88" t="str">
        <f>HYPERLINK("https://amzn.to/2GL8iYV","link*")</f>
        <v>link*</v>
      </c>
      <c r="N77"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77" s="83">
        <v>25.0</v>
      </c>
      <c r="P77" s="84" t="s">
        <v>26</v>
      </c>
      <c r="Q77" s="81">
        <v>14.0</v>
      </c>
      <c r="R77" s="123">
        <v>43720.0</v>
      </c>
      <c r="S77" s="81" t="s">
        <v>63</v>
      </c>
      <c r="T77" s="346"/>
    </row>
    <row r="78" hidden="1">
      <c r="A78" s="137"/>
      <c r="B78" s="76"/>
      <c r="C78" s="81"/>
      <c r="D78" s="78"/>
      <c r="E78" s="79"/>
      <c r="F78" s="79"/>
      <c r="G78" s="81"/>
      <c r="H78" s="82"/>
      <c r="I78" s="81"/>
      <c r="J78" s="81"/>
      <c r="K78" s="89"/>
      <c r="L78" s="89"/>
      <c r="M78" s="89"/>
      <c r="N78" s="89"/>
      <c r="O78" s="81"/>
      <c r="P78" s="154"/>
      <c r="Q78" s="81"/>
      <c r="R78" s="123"/>
      <c r="S78" s="81"/>
      <c r="T78" s="346"/>
    </row>
    <row r="79" hidden="1">
      <c r="A79" s="402"/>
      <c r="B79" s="76"/>
      <c r="C79" s="81"/>
      <c r="D79" s="78"/>
      <c r="E79" s="79"/>
      <c r="F79" s="79"/>
      <c r="G79" s="81"/>
      <c r="H79" s="198"/>
      <c r="I79" s="393"/>
      <c r="J79" s="81"/>
      <c r="K79" s="89"/>
      <c r="L79" s="89"/>
      <c r="M79" s="89"/>
      <c r="N79" s="89"/>
      <c r="O79" s="81"/>
      <c r="P79" s="154"/>
      <c r="Q79" s="81"/>
      <c r="R79" s="85"/>
      <c r="S79" s="81"/>
      <c r="T79" s="81"/>
    </row>
    <row r="80" hidden="1">
      <c r="A80" s="395"/>
      <c r="B80" s="76"/>
      <c r="C80" s="81"/>
      <c r="D80" s="78"/>
      <c r="E80" s="79"/>
      <c r="F80" s="79"/>
      <c r="G80" s="81"/>
      <c r="H80" s="82"/>
      <c r="I80" s="393"/>
      <c r="J80" s="81"/>
      <c r="K80" s="89"/>
      <c r="L80" s="89"/>
      <c r="M80" s="89"/>
      <c r="N80" s="89"/>
      <c r="O80" s="81"/>
      <c r="P80" s="154"/>
      <c r="Q80" s="81"/>
      <c r="R80" s="85"/>
      <c r="S80" s="81"/>
      <c r="T80" s="81"/>
    </row>
    <row r="81" hidden="1">
      <c r="A81" s="450"/>
      <c r="B81" s="213"/>
      <c r="C81" s="218"/>
      <c r="D81" s="215"/>
      <c r="E81" s="627"/>
      <c r="F81" s="627"/>
      <c r="G81" s="218"/>
      <c r="H81" s="219"/>
      <c r="I81" s="218"/>
      <c r="J81" s="218"/>
      <c r="K81" s="89"/>
      <c r="L81" s="89"/>
      <c r="M81" s="89"/>
      <c r="N81" s="89"/>
      <c r="O81" s="218"/>
      <c r="P81" s="154"/>
      <c r="Q81" s="218"/>
      <c r="R81" s="262"/>
      <c r="S81" s="218"/>
      <c r="T81" s="218"/>
    </row>
    <row r="82" hidden="1">
      <c r="A82" s="152" t="str">
        <f>HYPERLINK("https://phillipreeve.net/blog/tokina-firin-20mm-f2-fe-review-a-good-deal/","Tokina Firin 2/20")</f>
        <v>Tokina Firin 2/20</v>
      </c>
      <c r="B82" s="76">
        <v>492.0</v>
      </c>
      <c r="C82" s="122">
        <v>20.0</v>
      </c>
      <c r="D82" s="125">
        <v>2.0</v>
      </c>
      <c r="E82" s="132">
        <v>69.0</v>
      </c>
      <c r="F82" s="401">
        <v>82.0</v>
      </c>
      <c r="G82" s="397" t="s">
        <v>24</v>
      </c>
      <c r="H82" s="82" t="s">
        <v>66</v>
      </c>
      <c r="I82" s="81">
        <v>0.1</v>
      </c>
      <c r="J82" s="129">
        <v>799.0</v>
      </c>
      <c r="K82" s="88" t="str">
        <f>HYPERLINK("http://amzn.to/2vlG2Yq","link*")</f>
        <v>link*</v>
      </c>
      <c r="L82" s="88" t="str">
        <f>HYPERLINK("https://www.bhphotovideo.com/c/product/1281299-REG/tokina_firin_20mm_f_2_fe.html/BI/19619/KBID/12129/kw/TO202E/DFF/d10-v2-t1-xTO202E","link*")</f>
        <v>link*</v>
      </c>
      <c r="M82" s="88" t="str">
        <f>HYPERLINK("http://amzn.to/2vvtDkM","link*")</f>
        <v>link*</v>
      </c>
      <c r="N82"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82" s="83">
        <v>30.0</v>
      </c>
      <c r="P82" s="84" t="s">
        <v>26</v>
      </c>
      <c r="Q82" s="81">
        <v>9.0</v>
      </c>
      <c r="R82" s="128" t="s">
        <v>54</v>
      </c>
      <c r="S82" s="81" t="s">
        <v>67</v>
      </c>
      <c r="T82" s="346"/>
    </row>
    <row r="83" hidden="1">
      <c r="A83" s="395" t="s">
        <v>68</v>
      </c>
      <c r="B83" s="76">
        <v>464.0</v>
      </c>
      <c r="C83" s="122">
        <v>20.0</v>
      </c>
      <c r="D83" s="125">
        <v>2.0</v>
      </c>
      <c r="E83" s="381">
        <v>73.0</v>
      </c>
      <c r="F83" s="374">
        <v>82.0</v>
      </c>
      <c r="G83" s="84" t="s">
        <v>30</v>
      </c>
      <c r="H83" s="82" t="s">
        <v>66</v>
      </c>
      <c r="I83" s="81">
        <v>0.1</v>
      </c>
      <c r="J83" s="87">
        <v>949.0</v>
      </c>
      <c r="K83" s="88" t="str">
        <f>HYPERLINK("https://amzn.to/2GDurZb","link*")</f>
        <v>link*</v>
      </c>
      <c r="L83" s="88" t="str">
        <f>HYPERLINK("https://www.bhphotovideo.com/c/product/1393327-REG/tokina_firin_20mm_f_2_fe.html/BI/19619/KBID/12129/DFF/d10-v21-t1-x880327/SID/EZ","link*")</f>
        <v>link*</v>
      </c>
      <c r="M83" s="88" t="str">
        <f>HYPERLINK("https://amzn.to/2GJYCxw","link*")</f>
        <v>link*</v>
      </c>
      <c r="N83"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83" s="83">
        <v>30.0</v>
      </c>
      <c r="P83" s="84" t="s">
        <v>26</v>
      </c>
      <c r="Q83" s="81">
        <v>9.0</v>
      </c>
      <c r="R83" s="128" t="s">
        <v>54</v>
      </c>
      <c r="S83" s="81" t="s">
        <v>67</v>
      </c>
      <c r="T83" s="346"/>
    </row>
    <row r="84" hidden="1">
      <c r="A84" s="399" t="str">
        <f>HYPERLINK("https://phillipreeve.net/blog/review_voigtlander_21mm_f14_e/","Voigtlander 21mm F1.4 Nokton")</f>
        <v>Voigtlander 21mm F1.4 Nokton</v>
      </c>
      <c r="B84" s="76">
        <v>540.0</v>
      </c>
      <c r="C84" s="122">
        <v>21.0</v>
      </c>
      <c r="D84" s="149">
        <v>1.4</v>
      </c>
      <c r="E84" s="144">
        <v>70.0</v>
      </c>
      <c r="F84" s="373">
        <v>80.0</v>
      </c>
      <c r="G84" s="397" t="s">
        <v>24</v>
      </c>
      <c r="H84" s="82" t="s">
        <v>66</v>
      </c>
      <c r="I84" s="81"/>
      <c r="J84" s="87">
        <v>1199.0</v>
      </c>
      <c r="K84" s="88" t="str">
        <f>HYPERLINK("https://amzn.to/2K7gHrC","link*")</f>
        <v>link*</v>
      </c>
      <c r="L84" s="88" t="str">
        <f>HYPERLINK("https://www.bhphotovideo.com/c/product/1480269-REG/voigtlander_ba352a_nokton_21mm_f_1_4_aspherical.html/BI/19619/KBID/12129/DFF/d10-v21-t1-x963269/SID/EZ","link*")</f>
        <v>link*</v>
      </c>
      <c r="M84" s="89"/>
      <c r="N84"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84" s="83">
        <v>25.0</v>
      </c>
      <c r="P84" s="84" t="s">
        <v>26</v>
      </c>
      <c r="Q84" s="81">
        <v>12.0</v>
      </c>
      <c r="R84" s="128" t="s">
        <v>54</v>
      </c>
      <c r="S84" s="81" t="s">
        <v>28</v>
      </c>
      <c r="T84" s="81" t="s">
        <v>244</v>
      </c>
    </row>
    <row r="85" hidden="1">
      <c r="A85" s="152" t="str">
        <f>HYPERLINK("https://phillipreeve.net/blog/rolling-review-zeiss-loxia-distagon-2-821mm-t/https://phillipreeve.net/blog/rolling-review-zeiss-loxia-distagon-2-821mm-t/","Zeiss Loxia 2.8/21 Distagon T*")</f>
        <v>Zeiss Loxia 2.8/21 Distagon T*</v>
      </c>
      <c r="B85" s="76">
        <v>394.0</v>
      </c>
      <c r="C85" s="122">
        <v>21.0</v>
      </c>
      <c r="D85" s="78">
        <v>2.8</v>
      </c>
      <c r="E85" s="144">
        <v>62.0</v>
      </c>
      <c r="F85" s="373">
        <v>72.0</v>
      </c>
      <c r="G85" s="397" t="s">
        <v>24</v>
      </c>
      <c r="H85" s="82" t="s">
        <v>71</v>
      </c>
      <c r="I85" s="81">
        <v>0.13</v>
      </c>
      <c r="J85" s="87">
        <v>1499.0</v>
      </c>
      <c r="K85" s="88" t="str">
        <f>HYPERLINK("https://amzn.to/2yspzBm","link*")</f>
        <v>link*</v>
      </c>
      <c r="L85" s="88" t="str">
        <f>HYPERLINK("https://www.bhphotovideo.com/c/product/1189220-REG/zeiss_2131_999_loxia_21mm_f_2_8_lens.html/BI/19619/KBID/12129/DFF/d10-v21-t1-x677077/SID/EZ","link*")</f>
        <v>link*</v>
      </c>
      <c r="M85" s="88" t="str">
        <f>HYPERLINK("https://amzn.to/2GHSOoA","link*")</f>
        <v>link*</v>
      </c>
      <c r="N85"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85" s="83">
        <v>25.0</v>
      </c>
      <c r="P85" s="84" t="s">
        <v>26</v>
      </c>
      <c r="Q85" s="81">
        <v>10.0</v>
      </c>
      <c r="R85" s="128"/>
      <c r="S85" s="81" t="s">
        <v>58</v>
      </c>
      <c r="T85" s="346"/>
    </row>
    <row r="86" hidden="1">
      <c r="A86" s="152" t="str">
        <f>HYPERLINK("https://phillipreeve.net/blog/voigtlander-21mm-f35-review/","Voigtlander 21mm F3.5 Color-Skopar")</f>
        <v>Voigtlander 21mm F3.5 Color-Skopar</v>
      </c>
      <c r="B86" s="76">
        <v>230.0</v>
      </c>
      <c r="C86" s="122">
        <v>21.0</v>
      </c>
      <c r="D86" s="78">
        <v>3.5</v>
      </c>
      <c r="E86" s="144">
        <v>63.0</v>
      </c>
      <c r="F86" s="374">
        <v>40.0</v>
      </c>
      <c r="G86" s="397" t="s">
        <v>24</v>
      </c>
      <c r="H86" s="82" t="s">
        <v>71</v>
      </c>
      <c r="I86" s="346"/>
      <c r="J86" s="87">
        <v>699.0</v>
      </c>
      <c r="K86" s="88" t="str">
        <f>HYPERLINK("https://amzn.to/2JCie75","link*")</f>
        <v>link*</v>
      </c>
      <c r="L86" s="88" t="str">
        <f>HYPERLINK("https://www.bhphotovideo.com/c/product/1437613-REG/voigtlander_color_skopar_21mm_f_3_5_aspherical.html/BI/19619/KBID/12129/kw/VO2135E/DFF/d10-v2-t1-xVO2135E","link*")</f>
        <v>link*</v>
      </c>
      <c r="M86" s="88" t="str">
        <f>HYPERLINK("https://amzn.to/2ZoERan","link*")</f>
        <v>link*</v>
      </c>
      <c r="N86"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86" s="83">
        <v>20.0</v>
      </c>
      <c r="P86" s="84" t="s">
        <v>26</v>
      </c>
      <c r="Q86" s="81">
        <v>10.0</v>
      </c>
      <c r="R86" s="128" t="s">
        <v>60</v>
      </c>
      <c r="S86" s="81" t="s">
        <v>28</v>
      </c>
      <c r="T86" s="81" t="s">
        <v>245</v>
      </c>
    </row>
    <row r="87" hidden="1">
      <c r="A87" s="152" t="str">
        <f>HYPERLINK("https://phillipreeve.net/blog/review-sony-fe-24mm-1-4-gm/","Sony GM 1.4/24")</f>
        <v>Sony GM 1.4/24</v>
      </c>
      <c r="B87" s="76">
        <v>445.0</v>
      </c>
      <c r="C87" s="122">
        <v>24.0</v>
      </c>
      <c r="D87" s="149">
        <v>1.4</v>
      </c>
      <c r="E87" s="144">
        <v>75.0</v>
      </c>
      <c r="F87" s="373">
        <v>92.0</v>
      </c>
      <c r="G87" s="84" t="s">
        <v>30</v>
      </c>
      <c r="H87" s="82" t="s">
        <v>53</v>
      </c>
      <c r="I87" s="81">
        <v>0.17</v>
      </c>
      <c r="J87" s="87">
        <v>1399.0</v>
      </c>
      <c r="K87" s="88" t="str">
        <f>HYPERLINK("https://amzn.to/2ywcbw1","link*")</f>
        <v>link*</v>
      </c>
      <c r="L87" s="88" t="str">
        <f>HYPERLINK("https://www.bhphotovideo.com/c/product/1435887-REG/sony_fe_24mm_f_1_4_gm.html/BI/19619/KBID/12129/DFF/d10-v21-t1-x915647/SID/EZ","link*")</f>
        <v>link*</v>
      </c>
      <c r="M87" s="88" t="str">
        <f>HYPERLINK("https://amzn.to/2L2tV9y","link*")</f>
        <v>link*</v>
      </c>
      <c r="N87" s="88" t="str">
        <f>HYPERLINK("https://amzn.to/338yg28","link*")</f>
        <v>link*</v>
      </c>
      <c r="O87" s="83">
        <v>25.0</v>
      </c>
      <c r="P87" s="84" t="s">
        <v>26</v>
      </c>
      <c r="Q87" s="81">
        <v>11.0</v>
      </c>
      <c r="R87" s="128" t="s">
        <v>27</v>
      </c>
      <c r="S87" s="81" t="s">
        <v>32</v>
      </c>
      <c r="T87" s="81" t="s">
        <v>245</v>
      </c>
    </row>
    <row r="88" hidden="1">
      <c r="A88" s="234" t="str">
        <f>HYPERLINK("https://phillipreeve.net/blog/review-voigtlander-10mm-5-6-e-hyper-wide-heliar/","Voigtlander 10mm F5.6 Hyper Wide ")</f>
        <v>Voigtlander 10mm F5.6 Hyper Wide </v>
      </c>
      <c r="B88" s="187">
        <v>375.0</v>
      </c>
      <c r="C88" s="404">
        <v>10.0</v>
      </c>
      <c r="D88" s="405">
        <v>5.6</v>
      </c>
      <c r="E88" s="406">
        <v>67.0</v>
      </c>
      <c r="F88" s="407" t="s">
        <v>23</v>
      </c>
      <c r="G88" s="408" t="s">
        <v>24</v>
      </c>
      <c r="H88" s="164" t="s">
        <v>25</v>
      </c>
      <c r="I88" s="164">
        <v>0.067</v>
      </c>
      <c r="J88" s="239">
        <v>1099.0</v>
      </c>
      <c r="K88" s="172" t="str">
        <f>HYPERLINK("https://amzn.to/2jJ8WxH","link*")</f>
        <v>link*</v>
      </c>
      <c r="L88" s="172" t="str">
        <f>HYPERLINK("https://www.bhphotovideo.com/c/product/1219550-REG/voigtlander_ba334b_heliar_hyper_wide_10mm_f_5_6.html/BI/19619/KBID/12129/DFF/d10-v21-t1-x732282/SID/EZ","link*")</f>
        <v>link*</v>
      </c>
      <c r="M88" s="172" t="str">
        <f>HYPERLINK("https://amzn.to/2jG72hr","link*")</f>
        <v>link*</v>
      </c>
      <c r="N88" s="172"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O88" s="166">
        <v>30.0</v>
      </c>
      <c r="P88" s="163" t="s">
        <v>26</v>
      </c>
      <c r="Q88" s="164">
        <v>10.0</v>
      </c>
      <c r="R88" s="409" t="s">
        <v>27</v>
      </c>
      <c r="S88" s="168" t="s">
        <v>28</v>
      </c>
      <c r="T88" s="410">
        <v>42552.0</v>
      </c>
      <c r="U88" s="411" t="s">
        <v>225</v>
      </c>
    </row>
    <row r="89" hidden="1">
      <c r="A89" s="152" t="str">
        <f>HYPERLINK("https://phillipreeve.net/blog/review-samyang-af-2-4-28-fe-at-least-its-small/","Samyang AF 24mm F/2.8")</f>
        <v>Samyang AF 24mm F/2.8</v>
      </c>
      <c r="B89" s="76">
        <v>93.0</v>
      </c>
      <c r="C89" s="122">
        <v>24.0</v>
      </c>
      <c r="D89" s="78">
        <v>2.8</v>
      </c>
      <c r="E89" s="144">
        <v>61.0</v>
      </c>
      <c r="F89" s="374">
        <v>37.0</v>
      </c>
      <c r="G89" s="84" t="s">
        <v>30</v>
      </c>
      <c r="H89" s="82" t="s">
        <v>74</v>
      </c>
      <c r="I89" s="81">
        <v>0.15</v>
      </c>
      <c r="J89" s="129">
        <v>279.0</v>
      </c>
      <c r="K89" s="88" t="str">
        <f>HYPERLINK("https://amzn.to/2NEHZ7c","link*")</f>
        <v>link*</v>
      </c>
      <c r="L89" s="88" t="str">
        <f>HYPERLINK("https://www.bhphotovideo.com/c/product/1413350-REG/samyang_syio24af_e_af_24mm_f_2_8_fe.html/BI/19619/KBID/12129/kw/SASYIO24AFE/DFF/d10-v2-t1-xSASYIO24AFE","link*")</f>
        <v>link*</v>
      </c>
      <c r="M89" s="88" t="str">
        <f>HYPERLINK("https://amzn.to/2Onv1QE","link*")</f>
        <v>link*</v>
      </c>
      <c r="N89"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89" s="83">
        <v>20.0</v>
      </c>
      <c r="P89" s="84" t="s">
        <v>26</v>
      </c>
      <c r="Q89" s="81">
        <v>9.0</v>
      </c>
      <c r="R89" s="128" t="s">
        <v>75</v>
      </c>
      <c r="S89" s="81" t="s">
        <v>46</v>
      </c>
      <c r="T89" s="346"/>
    </row>
    <row r="90" hidden="1">
      <c r="A90" s="152" t="str">
        <f>HYPERLINK("https://phillipreeve.net/blog/review-sony-fe-2-824-70mm-gm/","Sony GM 2.8/24-70")</f>
        <v>Sony GM 2.8/24-70</v>
      </c>
      <c r="B90" s="76">
        <v>886.0</v>
      </c>
      <c r="C90" s="122">
        <v>24.0</v>
      </c>
      <c r="D90" s="78">
        <v>2.8</v>
      </c>
      <c r="E90" s="144">
        <v>88.0</v>
      </c>
      <c r="F90" s="374">
        <v>136.0</v>
      </c>
      <c r="G90" s="84" t="s">
        <v>30</v>
      </c>
      <c r="H90" s="82" t="s">
        <v>51</v>
      </c>
      <c r="I90" s="140">
        <v>0.25</v>
      </c>
      <c r="J90" s="87">
        <v>2199.0</v>
      </c>
      <c r="K90" s="88" t="str">
        <f>HYPERLINK("https://amzn.to/2STHavK","link*")</f>
        <v>link*</v>
      </c>
      <c r="L90" s="88" t="str">
        <f>HYPERLINK("https://www.bhphotovideo.com/c/search?Ntt=gm%2024-70&amp;N=0&amp;InitialSearch=yes&amp;sts=ma&amp;Top+Nav-Search=&amp;BI=19619&amp;KBID=12129&amp;KWID=EZ","link*")</f>
        <v>link*</v>
      </c>
      <c r="M90" s="88" t="str">
        <f>HYPERLINK("https://amzn.to/2ZwoyU7","link*")</f>
        <v>link*</v>
      </c>
      <c r="N90"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90" s="83">
        <v>38.0</v>
      </c>
      <c r="P90" s="84" t="s">
        <v>26</v>
      </c>
      <c r="Q90" s="81">
        <v>11.0</v>
      </c>
      <c r="R90" s="128" t="s">
        <v>44</v>
      </c>
      <c r="S90" s="81" t="s">
        <v>32</v>
      </c>
      <c r="T90" s="81" t="s">
        <v>241</v>
      </c>
    </row>
    <row r="91" hidden="1">
      <c r="A91" s="395" t="s">
        <v>79</v>
      </c>
      <c r="B91" s="76">
        <v>780.0</v>
      </c>
      <c r="C91" s="122">
        <v>24.0</v>
      </c>
      <c r="D91" s="78" t="s">
        <v>80</v>
      </c>
      <c r="E91" s="144">
        <v>80.0</v>
      </c>
      <c r="F91" s="374">
        <v>119.0</v>
      </c>
      <c r="G91" s="84" t="s">
        <v>30</v>
      </c>
      <c r="H91" s="82" t="s">
        <v>48</v>
      </c>
      <c r="I91" s="140">
        <v>0.27</v>
      </c>
      <c r="J91" s="87">
        <v>998.0</v>
      </c>
      <c r="K91" s="88" t="str">
        <f>HYPERLINK("http://amzn.to/2fbX5FU","link*")</f>
        <v>link*</v>
      </c>
      <c r="L91" s="88" t="str">
        <f>HYPERLINK("https://www.bhphotovideo.com/c/search?Ntt=sony%2024-240&amp;N=0&amp;InitialSearch=yes&amp;sts=ma&amp;Top+Nav-Search=&amp;BI=19619&amp;KBID=12129&amp;KWID=EZ","link*")</f>
        <v>link*</v>
      </c>
      <c r="M91" s="88" t="str">
        <f>HYPERLINK("http://amzn.to/2wyrL7A","link*")</f>
        <v>link*</v>
      </c>
      <c r="N91"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91" s="83">
        <v>50.0</v>
      </c>
      <c r="P91" s="154" t="s">
        <v>49</v>
      </c>
      <c r="Q91" s="81">
        <v>7.0</v>
      </c>
      <c r="R91" s="128" t="s">
        <v>81</v>
      </c>
      <c r="S91" s="81" t="s">
        <v>32</v>
      </c>
      <c r="T91" s="81" t="s">
        <v>246</v>
      </c>
    </row>
    <row r="92" hidden="1">
      <c r="A92" s="395" t="s">
        <v>82</v>
      </c>
      <c r="B92" s="76">
        <v>663.0</v>
      </c>
      <c r="C92" s="122">
        <v>24.0</v>
      </c>
      <c r="D92" s="78">
        <v>4.0</v>
      </c>
      <c r="E92" s="144">
        <v>83.0</v>
      </c>
      <c r="F92" s="373">
        <v>113.0</v>
      </c>
      <c r="G92" s="84" t="s">
        <v>30</v>
      </c>
      <c r="H92" s="82" t="s">
        <v>56</v>
      </c>
      <c r="I92" s="140">
        <v>0.31</v>
      </c>
      <c r="J92" s="87">
        <v>1398.0</v>
      </c>
      <c r="K92" s="88" t="str">
        <f>HYPERLINK("https://amzn.to/2K7LwMR","link*")</f>
        <v>link*</v>
      </c>
      <c r="L92" s="88" t="str">
        <f>HYPERLINK("https://www.bhphotovideo.com/c/search?Ntt=sony%2024-105&amp;N=0&amp;InitialSearch=yes&amp;sts=ma&amp;Top+Nav-Search=&amp;BI=19619&amp;KBID=12129&amp;KWID=EZ","link*")</f>
        <v>link*</v>
      </c>
      <c r="M92" s="88" t="str">
        <f>HYPERLINK("https://amzn.to/2Ld8hOS","link*")</f>
        <v>link*</v>
      </c>
      <c r="N92"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92" s="83">
        <v>38.0</v>
      </c>
      <c r="P92" s="154" t="s">
        <v>49</v>
      </c>
      <c r="Q92" s="81">
        <v>9.0</v>
      </c>
      <c r="R92" s="128" t="s">
        <v>35</v>
      </c>
      <c r="S92" s="81" t="s">
        <v>32</v>
      </c>
      <c r="T92" s="81" t="s">
        <v>247</v>
      </c>
    </row>
    <row r="93" hidden="1">
      <c r="A93" s="152" t="str">
        <f>HYPERLINK("https://phillipreeve.net/blog/rolling-review-carl-zeiss-vario-tessar-t-fe-424-70-za/","Sony ZA 4/24-70 OSS")</f>
        <v>Sony ZA 4/24-70 OSS</v>
      </c>
      <c r="B93" s="76">
        <v>426.0</v>
      </c>
      <c r="C93" s="122">
        <v>24.0</v>
      </c>
      <c r="D93" s="78">
        <v>4.0</v>
      </c>
      <c r="E93" s="144">
        <v>73.0</v>
      </c>
      <c r="F93" s="373">
        <v>95.0</v>
      </c>
      <c r="G93" s="84" t="s">
        <v>30</v>
      </c>
      <c r="H93" s="82" t="s">
        <v>53</v>
      </c>
      <c r="I93" s="81">
        <v>0.2</v>
      </c>
      <c r="J93" s="87">
        <v>898.0</v>
      </c>
      <c r="K93" s="88" t="str">
        <f>HYPERLINK("http://amzn.to/2vlG2Yq","link*")</f>
        <v>link*</v>
      </c>
      <c r="L93" s="88" t="str">
        <f>HYPERLINK("https://www.bhphotovideo.com/c/product/1008126-REG/sony_sel2470z_vario_tessar_t_fe_24_70mm.html/BI/19619/KBID/12129/DFF/d10-v21-t1-x466842/SID/EZ","link*")</f>
        <v>link*</v>
      </c>
      <c r="M93" s="88" t="str">
        <f>HYPERLINK("http://amzn.to/2fl1XZk","link*")</f>
        <v>link*</v>
      </c>
      <c r="N93"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93" s="83">
        <v>40.0</v>
      </c>
      <c r="P93" s="154" t="s">
        <v>49</v>
      </c>
      <c r="Q93" s="81">
        <v>7.0</v>
      </c>
      <c r="R93" s="128" t="s">
        <v>38</v>
      </c>
      <c r="S93" s="81" t="s">
        <v>32</v>
      </c>
      <c r="T93" s="81" t="s">
        <v>248</v>
      </c>
    </row>
    <row r="94" hidden="1">
      <c r="A94" s="152" t="str">
        <f>HYPERLINK("https://phillipreeve.net/blog/review-zeiss-batis-distagon-t-25mm-f2/","Zeiss Batis 2/25")</f>
        <v>Zeiss Batis 2/25</v>
      </c>
      <c r="B94" s="76">
        <v>335.0</v>
      </c>
      <c r="C94" s="122">
        <v>25.0</v>
      </c>
      <c r="D94" s="78">
        <v>2.0</v>
      </c>
      <c r="E94" s="144">
        <v>92.0</v>
      </c>
      <c r="F94" s="373">
        <v>78.0</v>
      </c>
      <c r="G94" s="84" t="s">
        <v>30</v>
      </c>
      <c r="H94" s="82" t="s">
        <v>53</v>
      </c>
      <c r="I94" s="81">
        <v>0.19</v>
      </c>
      <c r="J94" s="87">
        <v>1299.0</v>
      </c>
      <c r="K94" s="88" t="str">
        <f>HYPERLINK("https://amzn.to/2ypHQiT","link*")</f>
        <v>link*</v>
      </c>
      <c r="L94" s="88" t="str">
        <f>HYPERLINK("https://www.bhphotovideo.com/c/product/1140832-REG/zeiss_2103_750_25mm_f_2_0_batis_wide.html/BI/19619/KBID/12129/DFF/d10-v21-t1-x627141/SID/EZ","link*")</f>
        <v>link*</v>
      </c>
      <c r="M94" s="88" t="str">
        <f>HYPERLINK("https://amzn.to/2L20DIj","link*")</f>
        <v>link*</v>
      </c>
      <c r="N94"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94" s="83">
        <v>20.0</v>
      </c>
      <c r="P94" s="84" t="s">
        <v>26</v>
      </c>
      <c r="Q94" s="81">
        <v>9.0</v>
      </c>
      <c r="R94" s="128" t="s">
        <v>83</v>
      </c>
      <c r="S94" s="81" t="s">
        <v>58</v>
      </c>
      <c r="T94" s="346"/>
    </row>
    <row r="95" hidden="1">
      <c r="A95" s="152" t="str">
        <f>HYPERLINK("https://phillipreeve.net/blog/review-zeiss-loxia-2-4-25mm-distagon/","Zeiss Loxia 2.4/25")</f>
        <v>Zeiss Loxia 2.4/25</v>
      </c>
      <c r="B95" s="76">
        <v>393.0</v>
      </c>
      <c r="C95" s="122">
        <v>25.0</v>
      </c>
      <c r="D95" s="78">
        <v>2.4</v>
      </c>
      <c r="E95" s="144">
        <v>62.0</v>
      </c>
      <c r="F95" s="373">
        <v>75.0</v>
      </c>
      <c r="G95" s="397" t="s">
        <v>24</v>
      </c>
      <c r="H95" s="82" t="s">
        <v>71</v>
      </c>
      <c r="I95" s="81">
        <v>0.16</v>
      </c>
      <c r="J95" s="87">
        <v>1299.0</v>
      </c>
      <c r="K95" s="88" t="str">
        <f>HYPERLINK("https://amzn.to/2OlyeAf","link*")</f>
        <v>link*</v>
      </c>
      <c r="L95" s="88" t="str">
        <f>HYPERLINK("https://www.bhphotovideo.com/c/product/1389169-REG/zeiss_000000_2218_783_loxia_25mm_f_2_4_lens.html/BI/19619/KBID/12129/kw/ZE2524L/DFF/d10-v2-t1-xZE2524L","link*")</f>
        <v>link*</v>
      </c>
      <c r="M95" s="88" t="str">
        <f>HYPERLINK("https://amzn.to/2OlyeAf","link*")</f>
        <v>link*</v>
      </c>
      <c r="N95"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95" s="83">
        <v>25.0</v>
      </c>
      <c r="P95" s="84" t="s">
        <v>26</v>
      </c>
      <c r="Q95" s="81">
        <v>10.0</v>
      </c>
      <c r="R95" s="128" t="s">
        <v>83</v>
      </c>
      <c r="S95" s="81" t="s">
        <v>58</v>
      </c>
      <c r="T95" s="346"/>
    </row>
    <row r="96" hidden="1">
      <c r="A96" s="412" t="s">
        <v>29</v>
      </c>
      <c r="B96" s="413">
        <v>565.0</v>
      </c>
      <c r="C96" s="414">
        <v>12.0</v>
      </c>
      <c r="D96" s="415">
        <v>4.0</v>
      </c>
      <c r="E96" s="416">
        <v>87.0</v>
      </c>
      <c r="F96" s="417">
        <v>117.0</v>
      </c>
      <c r="G96" s="418" t="s">
        <v>30</v>
      </c>
      <c r="H96" s="419" t="s">
        <v>25</v>
      </c>
      <c r="I96" s="419">
        <v>0.14</v>
      </c>
      <c r="J96" s="420">
        <v>1699.0</v>
      </c>
      <c r="K96" s="421" t="str">
        <f>HYPERLINK("https://amzn.to/2SSzKc4","link*")</f>
        <v>link*</v>
      </c>
      <c r="L96" s="421" t="str">
        <f>HYPERLINK("https://www.bhphotovideo.com/c/product/1338517-REG/sony_sel1224g_fe_12_24mm_f_4_g.html/BI/19619/KBID/12129/DFF/d10-v21-t1-x822838/SID/EZ","link*")</f>
        <v>link*</v>
      </c>
      <c r="M96" s="421" t="str">
        <f>HYPERLINK("https://amzn.to/2Kg94zb","link*")</f>
        <v>link*</v>
      </c>
      <c r="N96" s="421"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c r="O96" s="422">
        <v>24.0</v>
      </c>
      <c r="P96" s="418" t="s">
        <v>26</v>
      </c>
      <c r="Q96" s="419">
        <v>7.0</v>
      </c>
      <c r="R96" s="423" t="s">
        <v>31</v>
      </c>
      <c r="S96" s="424" t="s">
        <v>32</v>
      </c>
      <c r="T96" s="425">
        <v>42856.0</v>
      </c>
      <c r="U96" s="173"/>
    </row>
    <row r="97" hidden="1">
      <c r="A97" s="152" t="str">
        <f>HYPERLINK("https://www.systemkamera-forum.de/blog/2015/05/sony-fe-28mm-f2-test-und-erfahrungsbericht/","Sony FE 2/28")</f>
        <v>Sony FE 2/28</v>
      </c>
      <c r="B97" s="76">
        <v>200.0</v>
      </c>
      <c r="C97" s="122">
        <v>28.0</v>
      </c>
      <c r="D97" s="78">
        <v>2.0</v>
      </c>
      <c r="E97" s="144">
        <v>60.0</v>
      </c>
      <c r="F97" s="373">
        <v>60.0</v>
      </c>
      <c r="G97" s="84" t="s">
        <v>30</v>
      </c>
      <c r="H97" s="82" t="s">
        <v>74</v>
      </c>
      <c r="I97" s="81">
        <v>0.13</v>
      </c>
      <c r="J97" s="153">
        <v>448.0</v>
      </c>
      <c r="K97" s="88" t="str">
        <f>HYPERLINK("https://amzn.to/2GXJWdo","link*")</f>
        <v>link*</v>
      </c>
      <c r="L97" s="88" t="str">
        <f>HYPERLINK("https://www.bhphotovideo.com/c/product/1402637-REG/sony_fe_28mm_f_2_lens.html/BI/19619/KBID/12129/kw/SO2820F/DFF/d10-v2-t1-xSO2820F","link*")</f>
        <v>link*</v>
      </c>
      <c r="M97" s="88" t="str">
        <f>HYPERLINK("http://amzn.to/2wyLOCO","link*")</f>
        <v>link*</v>
      </c>
      <c r="N97"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97" s="83">
        <v>29.0</v>
      </c>
      <c r="P97" s="84" t="s">
        <v>26</v>
      </c>
      <c r="Q97" s="81">
        <v>9.0</v>
      </c>
      <c r="R97" s="128" t="s">
        <v>60</v>
      </c>
      <c r="S97" s="81" t="s">
        <v>32</v>
      </c>
      <c r="T97" s="81" t="s">
        <v>246</v>
      </c>
    </row>
    <row r="98" hidden="1">
      <c r="A98" s="152" t="str">
        <f>HYPERLINK("https://phillipreeve.net/blog/review-tamron-28-75mm-f-2-8-di-iii-rxd-sony-e-mount/","Tamron 2.8/28-75")</f>
        <v>Tamron 2.8/28-75</v>
      </c>
      <c r="B98" s="76">
        <v>550.0</v>
      </c>
      <c r="C98" s="122">
        <v>28.0</v>
      </c>
      <c r="D98" s="78">
        <v>2.8</v>
      </c>
      <c r="E98" s="144">
        <v>73.0</v>
      </c>
      <c r="F98" s="373">
        <v>118.0</v>
      </c>
      <c r="G98" s="84" t="s">
        <v>30</v>
      </c>
      <c r="H98" s="82" t="s">
        <v>53</v>
      </c>
      <c r="I98" s="140">
        <v>0.34</v>
      </c>
      <c r="J98" s="153">
        <v>879.0</v>
      </c>
      <c r="K98" s="88" t="str">
        <f>HYPERLINK("https://amzn.to/2ST5uxq","link*")</f>
        <v>link*</v>
      </c>
      <c r="L98" s="88" t="str">
        <f>HYPERLINK("https://www.bhphotovideo.com/c/product/1393332-REG/tamron_a036_28_75mm_f_2_8_di_iii.html/BI/19619/KBID/12129/DFF/d10-v21-t1-x892059/SID/EZ","link*")</f>
        <v>link*</v>
      </c>
      <c r="M98" s="88" t="str">
        <f>HYPERLINK("https://amzn.to/2ZmSzdU","link*")</f>
        <v>link*</v>
      </c>
      <c r="N98"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98" s="83">
        <v>19.0</v>
      </c>
      <c r="P98" s="84" t="s">
        <v>26</v>
      </c>
      <c r="Q98" s="81">
        <v>9.0</v>
      </c>
      <c r="R98" s="128" t="s">
        <v>85</v>
      </c>
      <c r="S98" s="81" t="s">
        <v>55</v>
      </c>
      <c r="T98" s="346"/>
    </row>
    <row r="99" hidden="1">
      <c r="A99" s="395" t="s">
        <v>88</v>
      </c>
      <c r="B99" s="76">
        <v>295.0</v>
      </c>
      <c r="C99" s="122">
        <v>28.0</v>
      </c>
      <c r="D99" s="78" t="s">
        <v>89</v>
      </c>
      <c r="E99" s="144">
        <v>73.0</v>
      </c>
      <c r="F99" s="373">
        <v>83.0</v>
      </c>
      <c r="G99" s="84" t="s">
        <v>30</v>
      </c>
      <c r="H99" s="82" t="s">
        <v>90</v>
      </c>
      <c r="I99" s="81">
        <v>0.19</v>
      </c>
      <c r="J99" s="87">
        <v>398.0</v>
      </c>
      <c r="K99" s="88" t="str">
        <f>HYPERLINK("https://www.amazon.com/gp/product/B00FYOFADE/ref=as_li_tl?ie=UTF8&amp;tag=wwwphillipree-20&amp;camp=1789&amp;creative=9325&amp;linkCode=as2&amp;creativeASIN=B00FYOFADE&amp;linkId=96720b245156eae53bb1a672d4453d3f","link*")</f>
        <v>link*</v>
      </c>
      <c r="L99" s="88" t="str">
        <f>HYPERLINK("https://www.bhphotovideo.com/c/product/1015472-REG/sony_sel2870_fe_28_70mm_f_3_5_5_6_oss.html/BI/19619/KBID/12129/DFF/d10-v21-t1-x473993/SID/EZ","link*")</f>
        <v>link*</v>
      </c>
      <c r="M99" s="88" t="str">
        <f>HYPERLINK("https://www.amazon.de/gp/product/B00HSHFPD0/ref=as_li_tl?ie=UTF8&amp;tag=wwwphillipree-21&amp;camp=1638&amp;creative=6742&amp;linkCode=as2&amp;creativeASIN=B00HSHFPD0&amp;linkId=6701f30673f8a4071232ca85e1953506","link*")</f>
        <v>link*</v>
      </c>
      <c r="N99"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99" s="83">
        <v>30.0</v>
      </c>
      <c r="P99" s="154" t="s">
        <v>49</v>
      </c>
      <c r="Q99" s="81">
        <v>7.0</v>
      </c>
      <c r="R99" s="128" t="s">
        <v>60</v>
      </c>
      <c r="S99" s="81" t="s">
        <v>32</v>
      </c>
      <c r="T99" s="81" t="s">
        <v>249</v>
      </c>
    </row>
    <row r="100" hidden="1">
      <c r="A100" s="395" t="s">
        <v>91</v>
      </c>
      <c r="B100" s="76">
        <v>1215.0</v>
      </c>
      <c r="C100" s="122">
        <v>28.0</v>
      </c>
      <c r="D100" s="78">
        <v>4.0</v>
      </c>
      <c r="E100" s="144">
        <v>105.0</v>
      </c>
      <c r="F100" s="373">
        <v>165.0</v>
      </c>
      <c r="G100" s="84" t="s">
        <v>30</v>
      </c>
      <c r="H100" s="382" t="s">
        <v>92</v>
      </c>
      <c r="I100" s="346"/>
      <c r="J100" s="87">
        <v>249.0</v>
      </c>
      <c r="K100" s="88" t="str">
        <f>HYPERLINK("http://amzn.to/2v2kiy9","link*")</f>
        <v>link*</v>
      </c>
      <c r="L100" s="88" t="str">
        <f>HYPERLINK("https://www.bhphotovideo.com/c/product/1082051-REG/sony_selp28135g_e_pz_28_135mm_f_4.html/BI/19619/KBID/12129/DFF/d10-v21-t1-x556056/SID/EZ","link*")</f>
        <v>link*</v>
      </c>
      <c r="M100" s="88" t="str">
        <f>HYPERLINK("http://amzn.to/2wlpg9b","link*")</f>
        <v>link*</v>
      </c>
      <c r="N100"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100" s="83">
        <v>40.0</v>
      </c>
      <c r="P100" s="154" t="s">
        <v>49</v>
      </c>
      <c r="Q100" s="81">
        <v>9.0</v>
      </c>
      <c r="R100" s="128" t="s">
        <v>93</v>
      </c>
      <c r="S100" s="81" t="s">
        <v>32</v>
      </c>
      <c r="T100" s="81" t="s">
        <v>250</v>
      </c>
      <c r="U100" s="68" t="s">
        <v>94</v>
      </c>
    </row>
    <row r="101" hidden="1">
      <c r="A101" s="395" t="s">
        <v>45</v>
      </c>
      <c r="B101" s="76">
        <v>505.0</v>
      </c>
      <c r="C101" s="122">
        <v>14.0</v>
      </c>
      <c r="D101" s="78">
        <v>2.8</v>
      </c>
      <c r="E101" s="79">
        <v>86.0</v>
      </c>
      <c r="F101" s="79">
        <v>98.0</v>
      </c>
      <c r="G101" s="81" t="s">
        <v>30</v>
      </c>
      <c r="H101" s="82" t="s">
        <v>25</v>
      </c>
      <c r="I101" s="81">
        <v>0.12</v>
      </c>
      <c r="J101" s="87">
        <v>799.0</v>
      </c>
      <c r="K101" s="88" t="str">
        <f>HYPERLINK("https://amzn.to/2SX2HUi","link*")</f>
        <v>link*</v>
      </c>
      <c r="L101" s="88" t="str">
        <f>HYPERLINK("https://www.bhphotovideo.com/c/product/1352863-REG/samyang_syio14af_e_14mm_f_2_8_f_f_wide.html/BI/19619/KBID/12129/DFF/d10-v21-t1-x837928/SID/EZ","link*")</f>
        <v>link*</v>
      </c>
      <c r="M101" s="88" t="str">
        <f>HYPERLINK("https://amzn.to/31hwSIL","link*")</f>
        <v>link*</v>
      </c>
      <c r="N101" s="88"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101" s="83">
        <v>20.0</v>
      </c>
      <c r="P101" s="84" t="s">
        <v>26</v>
      </c>
      <c r="Q101" s="81">
        <v>7.0</v>
      </c>
      <c r="R101" s="123">
        <v>43752.0</v>
      </c>
      <c r="S101" s="81" t="s">
        <v>46</v>
      </c>
      <c r="T101" s="346"/>
    </row>
    <row r="102" hidden="1">
      <c r="A102" s="152" t="str">
        <f>HYPERLINK("https://phillipreeve.net/blog/review-sony-fe-35mm-1-4-za/","Sony ZA 1.4/35")</f>
        <v>Sony ZA 1.4/35</v>
      </c>
      <c r="B102" s="76">
        <v>630.0</v>
      </c>
      <c r="C102" s="122">
        <v>35.0</v>
      </c>
      <c r="D102" s="78">
        <v>1.4</v>
      </c>
      <c r="E102" s="144">
        <v>79.0</v>
      </c>
      <c r="F102" s="373">
        <v>112.0</v>
      </c>
      <c r="G102" s="81" t="s">
        <v>30</v>
      </c>
      <c r="H102" s="82" t="s">
        <v>48</v>
      </c>
      <c r="I102" s="81">
        <v>0.18</v>
      </c>
      <c r="J102" s="87">
        <v>1599.0</v>
      </c>
      <c r="K102" s="88" t="str">
        <f>HYPERLINK("https://amzn.to/2LRSMOS","link*")</f>
        <v>link*</v>
      </c>
      <c r="L102" s="88" t="str">
        <f>HYPERLINK("https://www.bhphotovideo.com/c/product/1126137-REG/sony_sel35f14z_distagon_t_fe_35mm.html/BI/19619/KBID/12129/DFF/d10-v21-t1-x612725/SID/EZ","link*")</f>
        <v>link*</v>
      </c>
      <c r="M102" s="88" t="str">
        <f>HYPERLINK("https://amzn.to/2ZmfSnX","link*")</f>
        <v>link*</v>
      </c>
      <c r="N102"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102" s="83">
        <v>30.0</v>
      </c>
      <c r="P102" s="84" t="s">
        <v>26</v>
      </c>
      <c r="Q102" s="81">
        <v>9.0</v>
      </c>
      <c r="R102" s="123">
        <v>43689.0</v>
      </c>
      <c r="S102" s="81" t="s">
        <v>32</v>
      </c>
      <c r="T102" s="81" t="s">
        <v>246</v>
      </c>
    </row>
    <row r="103" hidden="1">
      <c r="A103" s="395" t="s">
        <v>226</v>
      </c>
      <c r="B103" s="76">
        <v>645.0</v>
      </c>
      <c r="C103" s="122">
        <v>35.0</v>
      </c>
      <c r="D103" s="78">
        <v>1.4</v>
      </c>
      <c r="E103" s="144">
        <v>76.0</v>
      </c>
      <c r="F103" s="374">
        <v>115.0</v>
      </c>
      <c r="G103" s="81" t="s">
        <v>30</v>
      </c>
      <c r="H103" s="82" t="s">
        <v>53</v>
      </c>
      <c r="I103" s="81">
        <v>0.17</v>
      </c>
      <c r="J103" s="87">
        <v>799.0</v>
      </c>
      <c r="K103" s="88" t="str">
        <f>HYPERLINK("https://amzn.to/2K8DDXH","link*")</f>
        <v>link*</v>
      </c>
      <c r="L103" s="88" t="str">
        <f t="shared" ref="L103:L104" si="1">HYPERLINK("https://www.bhphotovideo.com/c/product/1381712-REG/voigtlander_nokton_classic_35mm_f_1_4.html/BI/19619/KBID/12129/DFF/d10-v21-t1-x877353/SID/EZ","link*")</f>
        <v>link*</v>
      </c>
      <c r="M103" s="88" t="str">
        <f>HYPERLINK("https://amzn.to/2Zhl3FI","link*")</f>
        <v>link*</v>
      </c>
      <c r="N103"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103" s="83">
        <v>30.0</v>
      </c>
      <c r="P103" s="84" t="s">
        <v>26</v>
      </c>
      <c r="Q103" s="81">
        <v>9.0</v>
      </c>
      <c r="R103" s="123">
        <v>43719.0</v>
      </c>
      <c r="S103" s="81" t="s">
        <v>46</v>
      </c>
      <c r="T103" s="346"/>
      <c r="U103" s="68" t="s">
        <v>99</v>
      </c>
    </row>
    <row r="104" hidden="1">
      <c r="A104" s="152" t="str">
        <f>HYPERLINK("https://phillipreeve.net/blog/review-voigtlander-35mm-1-4-nokton-e-classic/","Voigtlander 35mm F1.4 Nokton Classic")</f>
        <v>Voigtlander 35mm F1.4 Nokton Classic</v>
      </c>
      <c r="B104" s="76">
        <v>262.0</v>
      </c>
      <c r="C104" s="122">
        <v>35.0</v>
      </c>
      <c r="D104" s="78">
        <v>1.4</v>
      </c>
      <c r="E104" s="144">
        <v>67.0</v>
      </c>
      <c r="F104" s="374">
        <v>40.0</v>
      </c>
      <c r="G104" s="400" t="s">
        <v>24</v>
      </c>
      <c r="H104" s="82" t="s">
        <v>47</v>
      </c>
      <c r="I104" s="81">
        <v>0.16</v>
      </c>
      <c r="J104" s="87">
        <v>799.0</v>
      </c>
      <c r="K104" s="88" t="str">
        <f>HYPERLINK("https://amzn.to/2M1M8WH","link*")</f>
        <v>link*</v>
      </c>
      <c r="L104" s="88" t="str">
        <f t="shared" si="1"/>
        <v>link*</v>
      </c>
      <c r="M104" s="88" t="str">
        <f>HYPERLINK("https://amzn.to/2ZswTZ3","link*")</f>
        <v>link*</v>
      </c>
      <c r="N104"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104" s="83">
        <v>30.0</v>
      </c>
      <c r="P104" s="84" t="s">
        <v>26</v>
      </c>
      <c r="Q104" s="81">
        <v>10.0</v>
      </c>
      <c r="R104" s="123">
        <v>43624.0</v>
      </c>
      <c r="S104" s="81" t="s">
        <v>28</v>
      </c>
      <c r="T104" s="81" t="s">
        <v>251</v>
      </c>
    </row>
    <row r="105" hidden="1">
      <c r="A105" s="152" t="str">
        <f>HYPERLINK("https://phillipreeve.net/blog/review-voigtlander-15mm-4-5-e-super-wide-heliar/","Voigtlander 15mm F4.5 Super Wide Heliar")</f>
        <v>Voigtlander 15mm F4.5 Super Wide Heliar</v>
      </c>
      <c r="B105" s="76">
        <v>298.0</v>
      </c>
      <c r="C105" s="122">
        <v>15.0</v>
      </c>
      <c r="D105" s="78">
        <v>4.5</v>
      </c>
      <c r="E105" s="391">
        <v>67.0</v>
      </c>
      <c r="F105" s="396">
        <v>62.0</v>
      </c>
      <c r="G105" s="397" t="s">
        <v>24</v>
      </c>
      <c r="H105" s="82" t="s">
        <v>47</v>
      </c>
      <c r="I105" s="81">
        <v>0.083</v>
      </c>
      <c r="J105" s="87">
        <v>799.0</v>
      </c>
      <c r="K105" s="88" t="str">
        <f>HYPERLINK("https://amzn.to/2YwplrQ","link*")</f>
        <v>link*</v>
      </c>
      <c r="L105" s="88" t="str">
        <f>HYPERLINK("https://www.bhphotovideo.com/c/product/1219549-REG/voigtlander_ba329b_super_wide_heliar_15mm_f_4_5.html/BI/19619/KBID/12129/DFF/d10-v21-t1-x618202/SID/EZ","link*")</f>
        <v>link*</v>
      </c>
      <c r="M105" s="88" t="str">
        <f>HYPERLINK("https://amzn.to/2ZpTKt5","link*")</f>
        <v>link*</v>
      </c>
      <c r="N105" s="8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105" s="83">
        <v>30.0</v>
      </c>
      <c r="P105" s="84" t="s">
        <v>26</v>
      </c>
      <c r="Q105" s="81">
        <v>10.0</v>
      </c>
      <c r="R105" s="128" t="s">
        <v>38</v>
      </c>
      <c r="S105" s="81" t="s">
        <v>28</v>
      </c>
      <c r="T105" s="81" t="s">
        <v>241</v>
      </c>
    </row>
    <row r="106" hidden="1">
      <c r="A106" s="402" t="s">
        <v>227</v>
      </c>
      <c r="B106" s="76">
        <v>280.0</v>
      </c>
      <c r="C106" s="122">
        <v>35.0</v>
      </c>
      <c r="D106" s="78">
        <v>1.8</v>
      </c>
      <c r="E106" s="144">
        <v>66.0</v>
      </c>
      <c r="F106" s="374">
        <v>73.0</v>
      </c>
      <c r="G106" s="81" t="s">
        <v>30</v>
      </c>
      <c r="H106" s="82" t="s">
        <v>90</v>
      </c>
      <c r="I106" s="185">
        <v>0.24</v>
      </c>
      <c r="J106" s="87">
        <v>749.0</v>
      </c>
      <c r="K106" s="89"/>
      <c r="L106" s="88" t="str">
        <f>HYPERLINK("https://www.bhphotovideo.com/c/product/1492866-REG/sony_sel35f18f_35mm_f_1_8_fe_lens.html/BI/19619/KBID/12129/DFF/d10-v21-t1-x975763/SID/EZ","link*")</f>
        <v>link*</v>
      </c>
      <c r="M106" s="88" t="str">
        <f>HYPERLINK("https://amzn.to/2PiATLC","link*")</f>
        <v>link*</v>
      </c>
      <c r="N106"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106" s="83">
        <v>22.0</v>
      </c>
      <c r="P106" s="84" t="s">
        <v>26</v>
      </c>
      <c r="Q106" s="81">
        <v>9.0</v>
      </c>
      <c r="R106" s="123">
        <v>43719.0</v>
      </c>
      <c r="S106" s="81" t="s">
        <v>32</v>
      </c>
      <c r="T106" s="81" t="s">
        <v>243</v>
      </c>
    </row>
    <row r="107" hidden="1">
      <c r="A107" s="152" t="str">
        <f>HYPERLINK("https://phillipreeve.net/blog/review-zeiss-loxia-35mm-2-0/","Zeiss Loxia 2/35 Biogon T*")</f>
        <v>Zeiss Loxia 2/35 Biogon T*</v>
      </c>
      <c r="B107" s="76">
        <v>340.0</v>
      </c>
      <c r="C107" s="122">
        <v>35.0</v>
      </c>
      <c r="D107" s="78">
        <v>2.0</v>
      </c>
      <c r="E107" s="144">
        <v>62.0</v>
      </c>
      <c r="F107" s="373">
        <v>66.0</v>
      </c>
      <c r="G107" s="400" t="s">
        <v>24</v>
      </c>
      <c r="H107" s="82" t="s">
        <v>71</v>
      </c>
      <c r="I107" s="81">
        <v>0.17</v>
      </c>
      <c r="J107" s="87">
        <v>1299.0</v>
      </c>
      <c r="K107" s="88" t="str">
        <f>HYPERLINK("https://amzn.to/2T2sJWe","link*")</f>
        <v>link*</v>
      </c>
      <c r="L107" s="88" t="str">
        <f>HYPERLINK("https://www.bhphotovideo.com/c/product/1080388-REG/zeiss_2103_749_loxia_35mm_f_2_biogon.html/BI/19619/KBID/12129/DFF/d10-v21-t1-x553792/SID/EZ","link*")</f>
        <v>link*</v>
      </c>
      <c r="M107" s="89" t="s">
        <v>33</v>
      </c>
      <c r="N107"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107" s="83">
        <v>30.0</v>
      </c>
      <c r="P107" s="84" t="s">
        <v>26</v>
      </c>
      <c r="Q107" s="81">
        <v>10.0</v>
      </c>
      <c r="R107" s="123">
        <v>43625.0</v>
      </c>
      <c r="S107" s="81" t="s">
        <v>58</v>
      </c>
      <c r="T107" s="346"/>
      <c r="U107" s="68" t="s">
        <v>101</v>
      </c>
    </row>
    <row r="108" hidden="1">
      <c r="A108" s="152" t="str">
        <f>HYPERLINK("http://www.photozone.de/sonyalphaff/865-zeiss35f28ff","Sony ZA 2.8/35")</f>
        <v>Sony ZA 2.8/35</v>
      </c>
      <c r="B108" s="76">
        <v>120.0</v>
      </c>
      <c r="C108" s="122">
        <v>35.0</v>
      </c>
      <c r="D108" s="78">
        <v>2.8</v>
      </c>
      <c r="E108" s="144">
        <v>62.0</v>
      </c>
      <c r="F108" s="373">
        <v>37.0</v>
      </c>
      <c r="G108" s="81" t="s">
        <v>30</v>
      </c>
      <c r="H108" s="82" t="s">
        <v>74</v>
      </c>
      <c r="I108" s="81">
        <v>0.12</v>
      </c>
      <c r="J108" s="87">
        <v>798.0</v>
      </c>
      <c r="K108" s="88" t="str">
        <f>HYPERLINK("https://amzn.to/2yvhL24","link*")</f>
        <v>link*</v>
      </c>
      <c r="L108" s="88" t="str">
        <f>HYPERLINK("https://www.bhphotovideo.com/c/product/1008123-REG/sony_sel35f28z_sonnar_t_fe_35mm.html/BI/19619/KBID/12129/DFF/d10-v21-t1-x466840/SID/EZ","link*")</f>
        <v>link*</v>
      </c>
      <c r="M108" s="89" t="s">
        <v>33</v>
      </c>
      <c r="N108"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108" s="83">
        <v>35.0</v>
      </c>
      <c r="P108" s="84" t="s">
        <v>26</v>
      </c>
      <c r="Q108" s="81">
        <v>9.0</v>
      </c>
      <c r="R108" s="123">
        <v>43592.0</v>
      </c>
      <c r="S108" s="81" t="s">
        <v>32</v>
      </c>
      <c r="T108" s="81" t="s">
        <v>252</v>
      </c>
    </row>
    <row r="109" hidden="1">
      <c r="A109" s="395" t="s">
        <v>102</v>
      </c>
      <c r="B109" s="76">
        <v>86.0</v>
      </c>
      <c r="C109" s="122">
        <v>35.0</v>
      </c>
      <c r="D109" s="78">
        <v>2.8</v>
      </c>
      <c r="E109" s="144">
        <v>62.0</v>
      </c>
      <c r="F109" s="373">
        <v>33.0</v>
      </c>
      <c r="G109" s="81" t="s">
        <v>30</v>
      </c>
      <c r="H109" s="82" t="s">
        <v>74</v>
      </c>
      <c r="I109" s="81">
        <v>0.12</v>
      </c>
      <c r="J109" s="211">
        <v>399.0</v>
      </c>
      <c r="K109" s="88" t="str">
        <f t="shared" ref="K109:K110" si="2">HYPERLINK("https://amzn.to/2MGKrxp","link*")</f>
        <v>link*</v>
      </c>
      <c r="L109" s="88" t="str">
        <f>HYPERLINK("https://www.bhphotovideo.com/c/product/1348365-REG/samyang_syio35af_e_35mm_f2_8_compact_wide.html/BI/19619/KBID/12129/DFF/d10-v21-t1-x832776/SID/EZ","link*")</f>
        <v>link*</v>
      </c>
      <c r="M109" s="89" t="s">
        <v>33</v>
      </c>
      <c r="N109"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109" s="83">
        <v>35.0</v>
      </c>
      <c r="P109" s="84" t="s">
        <v>26</v>
      </c>
      <c r="Q109" s="81">
        <v>9.0</v>
      </c>
      <c r="R109" s="123">
        <v>43623.0</v>
      </c>
      <c r="S109" s="81" t="s">
        <v>46</v>
      </c>
      <c r="T109" s="81" t="s">
        <v>253</v>
      </c>
    </row>
    <row r="110" hidden="1">
      <c r="A110" s="152" t="str">
        <f>HYPERLINK("https://phillipreeve.net/blog/voigtlander-40mm-f1-2-nokton-aspherical-rolling-review/","Voigtlander 40mm F1.2 Nokton")</f>
        <v>Voigtlander 40mm F1.2 Nokton</v>
      </c>
      <c r="B110" s="76">
        <v>420.0</v>
      </c>
      <c r="C110" s="122">
        <v>40.0</v>
      </c>
      <c r="D110" s="392">
        <v>1.2</v>
      </c>
      <c r="E110" s="144">
        <v>70.0</v>
      </c>
      <c r="F110" s="373">
        <v>59.0</v>
      </c>
      <c r="G110" s="400" t="s">
        <v>24</v>
      </c>
      <c r="H110" s="82" t="s">
        <v>47</v>
      </c>
      <c r="I110" s="81">
        <v>0.16</v>
      </c>
      <c r="J110" s="87">
        <v>1099.0</v>
      </c>
      <c r="K110" s="88" t="str">
        <f t="shared" si="2"/>
        <v>link*</v>
      </c>
      <c r="L110" s="88" t="str">
        <f>HYPERLINK("https://www.bhphotovideo.com/c/product/1362557-REG/voigtlander_nokton_40mm_f_1_2_aspherical.html/BI/19619/KBID/12129/DFF/d10-v21-t1-x851241/SID/EZ","link*")</f>
        <v>link*</v>
      </c>
      <c r="M110" s="89" t="s">
        <v>33</v>
      </c>
      <c r="N110"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110" s="83">
        <v>35.0</v>
      </c>
      <c r="P110" s="84" t="s">
        <v>26</v>
      </c>
      <c r="Q110" s="81">
        <v>10.0</v>
      </c>
      <c r="R110" s="123">
        <v>43624.0</v>
      </c>
      <c r="S110" s="81" t="s">
        <v>28</v>
      </c>
      <c r="T110" s="81" t="s">
        <v>254</v>
      </c>
    </row>
    <row r="111" hidden="1">
      <c r="A111" s="152" t="str">
        <f>HYPERLINK("https://phillipreeve.net/blog/sony-fe-16-35mm-f4-za-t-review/","Sony ZA 4/16-35 OSS ")</f>
        <v>Sony ZA 4/16-35 OSS </v>
      </c>
      <c r="B111" s="76">
        <v>523.0</v>
      </c>
      <c r="C111" s="122">
        <v>16.0</v>
      </c>
      <c r="D111" s="78">
        <v>4.0</v>
      </c>
      <c r="E111" s="79">
        <v>78.0</v>
      </c>
      <c r="F111" s="79">
        <v>98.0</v>
      </c>
      <c r="G111" s="84" t="s">
        <v>30</v>
      </c>
      <c r="H111" s="82" t="s">
        <v>48</v>
      </c>
      <c r="I111" s="81">
        <v>0.19</v>
      </c>
      <c r="J111" s="87">
        <v>1349.0</v>
      </c>
      <c r="K111" s="88" t="str">
        <f>HYPERLINK("http://amzn.to/2v2sY7q","link*")</f>
        <v>link*</v>
      </c>
      <c r="L111" s="88" t="str">
        <f>HYPERLINK("https://www.bhphotovideo.com/c/product/1380866-REG/sony_16_35mm_f_4_vario_tsr.html/BI/19619/KBID/12129/kw/SO16354F/DFF/d10-v2-t1-xSO16354F","link*")</f>
        <v>link*</v>
      </c>
      <c r="M111" s="88" t="str">
        <f>HYPERLINK("http://amzn.to/2wyMLuP","link*")</f>
        <v>link*</v>
      </c>
      <c r="N111" s="88"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111" s="83">
        <v>28.0</v>
      </c>
      <c r="P111" s="154" t="s">
        <v>49</v>
      </c>
      <c r="Q111" s="81">
        <v>7.0</v>
      </c>
      <c r="R111" s="128" t="s">
        <v>38</v>
      </c>
      <c r="S111" s="81" t="s">
        <v>32</v>
      </c>
      <c r="T111" s="81" t="s">
        <v>242</v>
      </c>
    </row>
    <row r="112" hidden="1">
      <c r="A112" s="152" t="str">
        <f>HYPERLINK("https://phillipreeve.net/blog/review-zeiss-batis-2-40-cf/","Zeiss Batis 2/40 CF T*")</f>
        <v>Zeiss Batis 2/40 CF T*</v>
      </c>
      <c r="B112" s="76">
        <v>361.0</v>
      </c>
      <c r="C112" s="122">
        <v>40.0</v>
      </c>
      <c r="D112" s="78">
        <v>2.0</v>
      </c>
      <c r="E112" s="144">
        <v>91.0</v>
      </c>
      <c r="F112" s="374">
        <v>93.0</v>
      </c>
      <c r="G112" s="81" t="s">
        <v>30</v>
      </c>
      <c r="H112" s="82" t="s">
        <v>53</v>
      </c>
      <c r="I112" s="185">
        <v>0.3</v>
      </c>
      <c r="J112" s="87">
        <v>1299.0</v>
      </c>
      <c r="K112" s="88" t="str">
        <f>HYPERLINK("https://amzn.to/2LUN0MF","link*")</f>
        <v>link*</v>
      </c>
      <c r="L112" s="88" t="str">
        <f>HYPERLINK("https://www.bhphotovideo.com/c/product/1436738-REG/zeiss_000000_2239_137_batis_40mm_f_2_cf.html/BI/19619/KBID/12129/DFF/d10-v21-t1-x915694/SID/EZ","link*")</f>
        <v>link*</v>
      </c>
      <c r="M112" s="89" t="s">
        <v>33</v>
      </c>
      <c r="N112"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112" s="83">
        <v>24.0</v>
      </c>
      <c r="P112" s="84" t="s">
        <v>26</v>
      </c>
      <c r="Q112" s="81">
        <v>9.0</v>
      </c>
      <c r="R112" s="123">
        <v>43686.0</v>
      </c>
      <c r="S112" s="81" t="s">
        <v>58</v>
      </c>
      <c r="T112" s="346"/>
      <c r="U112" s="68" t="s">
        <v>228</v>
      </c>
    </row>
    <row r="113" hidden="1">
      <c r="A113" s="402" t="s">
        <v>106</v>
      </c>
      <c r="B113" s="76">
        <v>162.0</v>
      </c>
      <c r="C113" s="122">
        <v>45.0</v>
      </c>
      <c r="D113" s="78">
        <v>1.8</v>
      </c>
      <c r="E113" s="144">
        <v>62.0</v>
      </c>
      <c r="F113" s="374">
        <v>56.0</v>
      </c>
      <c r="G113" s="81" t="s">
        <v>30</v>
      </c>
      <c r="H113" s="82" t="s">
        <v>74</v>
      </c>
      <c r="I113" s="81">
        <v>0.12</v>
      </c>
      <c r="J113" s="129">
        <v>399.0</v>
      </c>
      <c r="K113" s="88" t="str">
        <f>HYPERLINK("https://amzn.to/2YC6MST","link*")</f>
        <v>link*</v>
      </c>
      <c r="L113" s="88" t="str">
        <f>HYPERLINK("https://www.bhphotovideo.com/c/product/1478738-REG/samyang_af_45mm_f_1_8_fe.html/BI/19619/KBID/12129/DFF/d10-v21-t1-x964329/SID/EZ","link*")</f>
        <v>link*</v>
      </c>
      <c r="M113" s="89" t="s">
        <v>33</v>
      </c>
      <c r="N113"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113" s="83">
        <v>45.0</v>
      </c>
      <c r="P113" s="84" t="s">
        <v>26</v>
      </c>
      <c r="Q113" s="81">
        <v>9.0</v>
      </c>
      <c r="R113" s="123">
        <v>43623.0</v>
      </c>
      <c r="S113" s="81" t="s">
        <v>46</v>
      </c>
      <c r="T113" s="346"/>
    </row>
    <row r="114" hidden="1">
      <c r="A114" s="395" t="s">
        <v>50</v>
      </c>
      <c r="B114" s="76">
        <v>680.0</v>
      </c>
      <c r="C114" s="122">
        <v>16.0</v>
      </c>
      <c r="D114" s="78">
        <v>2.8</v>
      </c>
      <c r="E114" s="79">
        <v>89.0</v>
      </c>
      <c r="F114" s="79">
        <v>122.0</v>
      </c>
      <c r="G114" s="84" t="s">
        <v>30</v>
      </c>
      <c r="H114" s="82" t="s">
        <v>51</v>
      </c>
      <c r="I114" s="81">
        <v>0.19</v>
      </c>
      <c r="J114" s="87">
        <v>2199.0</v>
      </c>
      <c r="K114" s="88" t="str">
        <f>HYPERLINK("https://amzn.to/2SR0IRl","link*")</f>
        <v>link*</v>
      </c>
      <c r="L114" s="88" t="str">
        <f>HYPERLINK("https://www.bhphotovideo.com/c/product/1338516-REG/sony_sel1635gm_fe_16_35mm_f_2_8_gm.html/BI/19619/KBID/12129/DFF/d10-v21-t1-x822837/SID/EZ","link*")</f>
        <v>link*</v>
      </c>
      <c r="M114" s="88" t="str">
        <f>HYPERLINK("https://amzn.to/2T1ZxOU","link*")</f>
        <v>link*</v>
      </c>
      <c r="N114" s="88"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114" s="83">
        <v>28.0</v>
      </c>
      <c r="P114" s="84" t="s">
        <v>26</v>
      </c>
      <c r="Q114" s="81">
        <v>11.0</v>
      </c>
      <c r="R114" s="128" t="s">
        <v>52</v>
      </c>
      <c r="S114" s="81" t="s">
        <v>32</v>
      </c>
      <c r="T114" s="81" t="s">
        <v>238</v>
      </c>
    </row>
    <row r="115" hidden="1">
      <c r="A115" s="152" t="str">
        <f>HYPERLINK("https://phillipreeve.net/blog/review-voigtlander-50mm-1-2-nokton-e/","Voigtlander 50mm F1.2 Nokton")</f>
        <v>Voigtlander 50mm F1.2 Nokton</v>
      </c>
      <c r="B115" s="76">
        <v>440.0</v>
      </c>
      <c r="C115" s="122">
        <v>50.0</v>
      </c>
      <c r="D115" s="392">
        <v>1.2</v>
      </c>
      <c r="E115" s="144">
        <v>70.0</v>
      </c>
      <c r="F115" s="373">
        <v>58.0</v>
      </c>
      <c r="G115" s="400" t="s">
        <v>24</v>
      </c>
      <c r="H115" s="82" t="s">
        <v>47</v>
      </c>
      <c r="I115" s="346"/>
      <c r="J115" s="87">
        <v>1099.0</v>
      </c>
      <c r="K115" s="88" t="str">
        <f>HYPERLINK("https://amzn.to/2OAfE7N","link*")</f>
        <v>link*</v>
      </c>
      <c r="L115" s="88" t="str">
        <f>HYPERLINK("https://www.bhphotovideo.com/c/product/1433349-REG/voigtlander_ba348a_nokton_50mm_f_1_2_aspherical.html/BI/19619/KBID/12129/DFF/d10-v21-t1-x915623/SID/EZ","link*")</f>
        <v>link*</v>
      </c>
      <c r="M115" s="89" t="s">
        <v>33</v>
      </c>
      <c r="N115"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115" s="83">
        <v>45.0</v>
      </c>
      <c r="P115" s="84" t="s">
        <v>26</v>
      </c>
      <c r="Q115" s="81">
        <v>12.0</v>
      </c>
      <c r="R115" s="123">
        <v>43624.0</v>
      </c>
      <c r="S115" s="81" t="s">
        <v>28</v>
      </c>
      <c r="T115" s="81" t="s">
        <v>255</v>
      </c>
    </row>
    <row r="116" hidden="1">
      <c r="A116" s="395" t="s">
        <v>109</v>
      </c>
      <c r="B116" s="76">
        <v>778.0</v>
      </c>
      <c r="C116" s="122">
        <v>50.0</v>
      </c>
      <c r="D116" s="78">
        <v>1.4</v>
      </c>
      <c r="E116" s="144">
        <v>84.0</v>
      </c>
      <c r="F116" s="373">
        <v>108.0</v>
      </c>
      <c r="G116" s="81" t="s">
        <v>30</v>
      </c>
      <c r="H116" s="82" t="s">
        <v>48</v>
      </c>
      <c r="I116" s="81">
        <v>0.15</v>
      </c>
      <c r="J116" s="87">
        <v>1499.0</v>
      </c>
      <c r="K116" s="88" t="str">
        <f>HYPERLINK("https://amzn.to/2K88EL7","link*")</f>
        <v>link*</v>
      </c>
      <c r="L116" s="89" t="s">
        <v>33</v>
      </c>
      <c r="M116" s="89" t="s">
        <v>33</v>
      </c>
      <c r="N116"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116" s="83">
        <v>45.0</v>
      </c>
      <c r="P116" s="84" t="s">
        <v>26</v>
      </c>
      <c r="Q116" s="81">
        <v>11.0</v>
      </c>
      <c r="R116" s="123">
        <v>43720.0</v>
      </c>
      <c r="S116" s="81" t="s">
        <v>32</v>
      </c>
      <c r="T116" s="346"/>
    </row>
    <row r="117" hidden="1">
      <c r="A117" s="399" t="str">
        <f>HYPERLINK("https://phillipreeve.net/blog/review-tamron-17-28mm-f-2-8-di-iii-rxd/","Tamron 17-28mm f/2.8 Di III RXD")</f>
        <v>Tamron 17-28mm f/2.8 Di III RXD</v>
      </c>
      <c r="B117" s="76">
        <v>420.0</v>
      </c>
      <c r="C117" s="122">
        <v>17.0</v>
      </c>
      <c r="D117" s="78">
        <v>2.8</v>
      </c>
      <c r="E117" s="379">
        <v>73.0</v>
      </c>
      <c r="F117" s="79">
        <v>99.0</v>
      </c>
      <c r="G117" s="84" t="s">
        <v>30</v>
      </c>
      <c r="H117" s="82" t="s">
        <v>53</v>
      </c>
      <c r="I117" s="81">
        <v>0.19</v>
      </c>
      <c r="J117" s="153">
        <v>899.0</v>
      </c>
      <c r="K117" s="88" t="str">
        <f>HYPERLINK("https://amzn.to/2Hv3AyB","link*")</f>
        <v>link*</v>
      </c>
      <c r="L117" s="88" t="str">
        <f>HYPERLINK("https://www.bhphotovideo.com/c/product/1461529-REG/tamron_a046_17_28mm_f_2_8_di_iii.html/BI/19619/KBID/12129/DFF/d10-v21-t1-x946694/SID/EZ","link*")</f>
        <v>link*</v>
      </c>
      <c r="M117" s="88" t="str">
        <f>HYPERLINK("https://amzn.to/2YkrkQB","link*")</f>
        <v>link*</v>
      </c>
      <c r="N117" s="8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117" s="83">
        <v>19.0</v>
      </c>
      <c r="P117" s="84" t="s">
        <v>26</v>
      </c>
      <c r="Q117" s="81">
        <v>9.0</v>
      </c>
      <c r="R117" s="128" t="s">
        <v>54</v>
      </c>
      <c r="S117" s="81" t="s">
        <v>55</v>
      </c>
      <c r="T117" s="81" t="s">
        <v>243</v>
      </c>
    </row>
    <row r="118" hidden="1">
      <c r="A118" s="395" t="s">
        <v>111</v>
      </c>
      <c r="B118" s="76">
        <v>585.0</v>
      </c>
      <c r="C118" s="122">
        <v>50.0</v>
      </c>
      <c r="D118" s="78">
        <v>1.4</v>
      </c>
      <c r="E118" s="144">
        <v>74.0</v>
      </c>
      <c r="F118" s="373">
        <v>98.0</v>
      </c>
      <c r="G118" s="81" t="s">
        <v>30</v>
      </c>
      <c r="H118" s="82" t="s">
        <v>53</v>
      </c>
      <c r="I118" s="81">
        <v>0.15</v>
      </c>
      <c r="J118" s="87">
        <v>699.0</v>
      </c>
      <c r="K118" s="88" t="str">
        <f>HYPERLINK("https://amzn.to/2SY1Pyr","link*")</f>
        <v>link*</v>
      </c>
      <c r="L118" s="88" t="str">
        <f>HYPERLINK("https://www.bhphotovideo.com/c/product/1352862-REG/samyang_syio50af_e_50mm_f_1_4_auto_focus.html/BI/19619/KBID/12129/DFF/d10-v21-t1-x837927/SID/EZ","link*")</f>
        <v>link*</v>
      </c>
      <c r="M118" s="89" t="s">
        <v>33</v>
      </c>
      <c r="N118"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118" s="83">
        <v>45.0</v>
      </c>
      <c r="P118" s="84" t="s">
        <v>26</v>
      </c>
      <c r="Q118" s="81">
        <v>9.0</v>
      </c>
      <c r="R118" s="123">
        <v>43686.0</v>
      </c>
      <c r="S118" s="81" t="s">
        <v>46</v>
      </c>
      <c r="T118" s="346"/>
    </row>
    <row r="119" hidden="1">
      <c r="A119" s="152" t="str">
        <f>HYPERLINK("https://phillipreeve.net/blog/review-sony-fe-1-850/","Sony 50mm F1.8")</f>
        <v>Sony 50mm F1.8</v>
      </c>
      <c r="B119" s="76">
        <v>186.0</v>
      </c>
      <c r="C119" s="122">
        <v>50.0</v>
      </c>
      <c r="D119" s="78">
        <v>1.8</v>
      </c>
      <c r="E119" s="144">
        <v>69.0</v>
      </c>
      <c r="F119" s="373">
        <v>60.0</v>
      </c>
      <c r="G119" s="81" t="s">
        <v>30</v>
      </c>
      <c r="H119" s="82" t="s">
        <v>74</v>
      </c>
      <c r="I119" s="81">
        <v>0.14</v>
      </c>
      <c r="J119" s="153">
        <v>249.0</v>
      </c>
      <c r="K119" s="88" t="str">
        <f>HYPERLINK("http://amzn.to/2v2F5Se","link*")</f>
        <v>link*</v>
      </c>
      <c r="L119" s="88" t="str">
        <f>HYPERLINK("https://www.bhphotovideo.com/c/product/1242613-REG/sony_sel50f18f_fe_50mm_f_1_8_lens.html/BI/19619/KBID/12129/kw/SO5018F/DFF/d10-v2-t1-xSO5018F","link*")</f>
        <v>link*</v>
      </c>
      <c r="M119" s="88" t="str">
        <f>HYPERLINK("http://amzn.to/2wyHB25","link*")</f>
        <v>link*</v>
      </c>
      <c r="N119"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119" s="83">
        <v>45.0</v>
      </c>
      <c r="P119" s="84" t="s">
        <v>26</v>
      </c>
      <c r="Q119" s="81">
        <v>7.0</v>
      </c>
      <c r="R119" s="123">
        <v>43591.0</v>
      </c>
      <c r="S119" s="81" t="s">
        <v>32</v>
      </c>
      <c r="T119" s="81" t="s">
        <v>256</v>
      </c>
    </row>
    <row r="120" hidden="1">
      <c r="A120" s="152" t="str">
        <f>HYPERLINK("https://phillipreeve.net/blog/review-zeiss-loxia-planar-250-t/","Zeiss Loxia 50mm F2")</f>
        <v>Zeiss Loxia 50mm F2</v>
      </c>
      <c r="B120" s="76">
        <v>320.0</v>
      </c>
      <c r="C120" s="122">
        <v>50.0</v>
      </c>
      <c r="D120" s="78">
        <v>2.0</v>
      </c>
      <c r="E120" s="144">
        <v>62.0</v>
      </c>
      <c r="F120" s="373">
        <v>60.0</v>
      </c>
      <c r="G120" s="400" t="s">
        <v>24</v>
      </c>
      <c r="H120" s="82" t="s">
        <v>71</v>
      </c>
      <c r="I120" s="81">
        <v>0.15</v>
      </c>
      <c r="J120" s="87">
        <v>949.0</v>
      </c>
      <c r="K120" s="88" t="str">
        <f>HYPERLINK("http://amzn.to/2faVsIu","link*")</f>
        <v>link*</v>
      </c>
      <c r="L120" s="88" t="str">
        <f>HYPERLINK("https://www.bhphotovideo.com/c/product/1080387-REG/zeiss_2103_748_loxia_50mm_f_2_planar.html/BI/19619/KBID/12129/kw/ZE502LFE/DFF/d10-v2-t1-xZE502LFE","link*")</f>
        <v>link*</v>
      </c>
      <c r="M120" s="88" t="str">
        <f>HYPERLINK("http://amzn.to/2wyJAU4","link*")</f>
        <v>link*</v>
      </c>
      <c r="N120"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120" s="83">
        <v>45.0</v>
      </c>
      <c r="P120" s="84" t="s">
        <v>26</v>
      </c>
      <c r="Q120" s="81">
        <v>10.0</v>
      </c>
      <c r="R120" s="123">
        <v>43561.0</v>
      </c>
      <c r="S120" s="81" t="s">
        <v>58</v>
      </c>
      <c r="T120" s="346"/>
      <c r="U120" s="68" t="s">
        <v>101</v>
      </c>
    </row>
    <row r="121" hidden="1">
      <c r="A121" s="152" t="str">
        <f>HYPERLINK("https://phillipreeve.net/blog/rolling-review-sony-fe-2-850-macro/","Sony 50mm F/2.8 Macro")</f>
        <v>Sony 50mm F/2.8 Macro</v>
      </c>
      <c r="B121" s="76">
        <v>236.0</v>
      </c>
      <c r="C121" s="122">
        <v>50.0</v>
      </c>
      <c r="D121" s="78">
        <v>1.8</v>
      </c>
      <c r="E121" s="144">
        <v>72.0</v>
      </c>
      <c r="F121" s="373">
        <v>71.0</v>
      </c>
      <c r="G121" s="81" t="s">
        <v>30</v>
      </c>
      <c r="H121" s="82" t="s">
        <v>90</v>
      </c>
      <c r="I121" s="259">
        <v>1.0</v>
      </c>
      <c r="J121" s="129">
        <v>499.0</v>
      </c>
      <c r="K121" s="88" t="str">
        <f>HYPERLINK("http://amzn.to/2v2g0qz","link*")</f>
        <v>link*</v>
      </c>
      <c r="L121" s="88" t="str">
        <f>HYPERLINK("https://www.bhphotovideo.com/c/product/1277527-REG/sony_sel50m28_fe_50mm_f_2_8_macro.html/BI/19619/KBID/12129/kw/SO5028FF/DFF/d10-v2-t1-xSO5028FF","link*")</f>
        <v>link*</v>
      </c>
      <c r="M121" s="88" t="str">
        <f>HYPERLINK("http://amzn.to/2vbknRN","link*")</f>
        <v>link*</v>
      </c>
      <c r="N121"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121" s="83">
        <v>16.0</v>
      </c>
      <c r="P121" s="84" t="s">
        <v>26</v>
      </c>
      <c r="Q121" s="81">
        <v>7.0</v>
      </c>
      <c r="R121" s="123">
        <v>43654.0</v>
      </c>
      <c r="S121" s="81" t="s">
        <v>32</v>
      </c>
      <c r="T121" s="81" t="s">
        <v>314</v>
      </c>
    </row>
    <row r="122" hidden="1">
      <c r="A122" s="152" t="str">
        <f>HYPERLINK("https://phillipreeve.net/blog/sony-fe-1-855-za-sonnar-t-review/","Sony ZA 55mm F1.8 Sonnar")</f>
        <v>Sony ZA 55mm F1.8 Sonnar</v>
      </c>
      <c r="B122" s="76">
        <v>281.0</v>
      </c>
      <c r="C122" s="122">
        <v>55.0</v>
      </c>
      <c r="D122" s="78">
        <v>1.8</v>
      </c>
      <c r="E122" s="144">
        <v>64.0</v>
      </c>
      <c r="F122" s="373">
        <v>71.0</v>
      </c>
      <c r="G122" s="81" t="s">
        <v>30</v>
      </c>
      <c r="H122" s="82" t="s">
        <v>74</v>
      </c>
      <c r="I122" s="81">
        <v>0.14</v>
      </c>
      <c r="J122" s="87">
        <v>999.0</v>
      </c>
      <c r="K122" s="88" t="str">
        <f>HYPERLINK("https://amzn.to/2ywdgEk","link*")</f>
        <v>link*</v>
      </c>
      <c r="L122" s="88" t="str">
        <f>HYPERLINK("https://www.bhphotovideo.com/c/product/1008124-REG/sony_sel55f18z_sonnar_t_fe_55mm.html/BI/19619/KBID/12129/DFF/d10-v21-t1-x466841/SID/EZ","link*")</f>
        <v>link*</v>
      </c>
      <c r="M122" s="89" t="s">
        <v>33</v>
      </c>
      <c r="N122"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122" s="83">
        <v>50.0</v>
      </c>
      <c r="P122" s="84" t="s">
        <v>26</v>
      </c>
      <c r="Q122" s="81">
        <v>9.0</v>
      </c>
      <c r="R122" s="123">
        <v>43592.0</v>
      </c>
      <c r="S122" s="81" t="s">
        <v>32</v>
      </c>
      <c r="T122" s="81" t="s">
        <v>249</v>
      </c>
    </row>
    <row r="123" hidden="1">
      <c r="A123" s="152" t="str">
        <f>HYPERLINK("https://phillipreeve.net/blog/voigtlander-65-f2-apo-macro-review/","Voigtlander Macro 65mm F2 Apo Lanthar")</f>
        <v>Voigtlander Macro 65mm F2 Apo Lanthar</v>
      </c>
      <c r="B123" s="76">
        <v>635.0</v>
      </c>
      <c r="C123" s="122">
        <v>65.0</v>
      </c>
      <c r="D123" s="78">
        <v>2.0</v>
      </c>
      <c r="E123" s="144">
        <v>78.0</v>
      </c>
      <c r="F123" s="373">
        <v>91.0</v>
      </c>
      <c r="G123" s="400" t="s">
        <v>24</v>
      </c>
      <c r="H123" s="82" t="s">
        <v>53</v>
      </c>
      <c r="I123" s="393">
        <v>0.5</v>
      </c>
      <c r="J123" s="87">
        <v>999.0</v>
      </c>
      <c r="K123" s="88" t="str">
        <f>HYPERLINK("https://amzn.to/2LU48SI","link*")</f>
        <v>link*</v>
      </c>
      <c r="L123" s="88" t="str">
        <f>HYPERLINK("https://www.bhphotovideo.com/c/product/1350400-REG/voigtlander_macro_apo_lanthar_65mm_f2.html/BI/19619/KBID/12129/DFF/d10-v21-t1-x835677/SID/EZ","link*")</f>
        <v>link*</v>
      </c>
      <c r="M123" s="89" t="s">
        <v>33</v>
      </c>
      <c r="N123"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123" s="83">
        <v>31.0</v>
      </c>
      <c r="P123" s="84" t="s">
        <v>26</v>
      </c>
      <c r="Q123" s="81">
        <v>10.0</v>
      </c>
      <c r="R123" s="123">
        <v>43687.0</v>
      </c>
      <c r="S123" s="81" t="s">
        <v>28</v>
      </c>
      <c r="T123" s="68" t="s">
        <v>315</v>
      </c>
    </row>
    <row r="124" hidden="1">
      <c r="A124" s="152" t="str">
        <f>HYPERLINK("https://phillipreeve.net/blog/review-zeiss-batis-18mm-2-8/","Zeiss Batis 2.8/18")</f>
        <v>Zeiss Batis 2.8/18</v>
      </c>
      <c r="B124" s="76">
        <v>330.0</v>
      </c>
      <c r="C124" s="122">
        <v>18.0</v>
      </c>
      <c r="D124" s="78">
        <v>2.8</v>
      </c>
      <c r="E124" s="79">
        <v>100.0</v>
      </c>
      <c r="F124" s="79">
        <v>80.0</v>
      </c>
      <c r="G124" s="84" t="s">
        <v>30</v>
      </c>
      <c r="H124" s="82" t="s">
        <v>56</v>
      </c>
      <c r="I124" s="81">
        <v>0.1</v>
      </c>
      <c r="J124" s="87">
        <v>1499.0</v>
      </c>
      <c r="K124" s="88" t="str">
        <f>HYPERLINK("https://amzn.to/2SRFBhL","link*")</f>
        <v>link*</v>
      </c>
      <c r="L124" s="88" t="str">
        <f>HYPERLINK("https://www.bhphotovideo.com/c/product/1243591-REG/zeiss_2136_691_batis_18mm_f_2_8_lens.html/BI/19619/KBID/12129/DFF/d10-v21-t1-x727488/SID/EZ","link*")</f>
        <v>link*</v>
      </c>
      <c r="M124" s="88" t="str">
        <f>HYPERLINK("https://amzn.to/334PqNT","link*")</f>
        <v>link*</v>
      </c>
      <c r="N124" s="88"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124" s="83">
        <v>25.0</v>
      </c>
      <c r="P124" s="84" t="s">
        <v>26</v>
      </c>
      <c r="Q124" s="81">
        <v>9.0</v>
      </c>
      <c r="R124" s="128" t="s">
        <v>57</v>
      </c>
      <c r="S124" s="81" t="s">
        <v>58</v>
      </c>
      <c r="T124" s="346"/>
    </row>
    <row r="125" hidden="1">
      <c r="A125" s="395" t="s">
        <v>113</v>
      </c>
      <c r="B125" s="76">
        <v>1480.0</v>
      </c>
      <c r="C125" s="122">
        <v>70.0</v>
      </c>
      <c r="D125" s="78">
        <v>2.8</v>
      </c>
      <c r="E125" s="144">
        <v>88.0</v>
      </c>
      <c r="F125" s="373">
        <v>200.0</v>
      </c>
      <c r="G125" s="81" t="s">
        <v>30</v>
      </c>
      <c r="H125" s="82" t="s">
        <v>56</v>
      </c>
      <c r="I125" s="185">
        <v>0.25</v>
      </c>
      <c r="J125" s="87">
        <v>2599.0</v>
      </c>
      <c r="K125" s="88" t="str">
        <f>HYPERLINK("https://amzn.to/2KbaJGn","link*")</f>
        <v>link*</v>
      </c>
      <c r="L125" s="88" t="str">
        <f>HYPERLINK("https://www.bhphotovideo.com/c/product/1222776-REG/sony_sel70200gm_fe_70_200mm_f_2_8_gm.html/BI/19619/KBID/12129/DFF/d10-v21-t1-x746807/SID/EZ","link*")</f>
        <v>link*</v>
      </c>
      <c r="M125" s="89" t="s">
        <v>33</v>
      </c>
      <c r="N125"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125" s="83">
        <v>96.0</v>
      </c>
      <c r="P125" s="154" t="s">
        <v>49</v>
      </c>
      <c r="Q125" s="81">
        <v>11.0</v>
      </c>
      <c r="R125" s="85" t="s">
        <v>114</v>
      </c>
      <c r="S125" s="81" t="s">
        <v>32</v>
      </c>
      <c r="T125" s="81" t="s">
        <v>257</v>
      </c>
    </row>
    <row r="126" hidden="1">
      <c r="A126" s="395" t="s">
        <v>117</v>
      </c>
      <c r="B126" s="76">
        <v>854.0</v>
      </c>
      <c r="C126" s="122">
        <v>70.0</v>
      </c>
      <c r="D126" s="78" t="s">
        <v>118</v>
      </c>
      <c r="E126" s="144">
        <v>84.0</v>
      </c>
      <c r="F126" s="373">
        <v>144.0</v>
      </c>
      <c r="G126" s="81" t="s">
        <v>30</v>
      </c>
      <c r="H126" s="82" t="s">
        <v>48</v>
      </c>
      <c r="I126" s="140">
        <v>0.31</v>
      </c>
      <c r="J126" s="87">
        <v>1198.0</v>
      </c>
      <c r="K126" s="88" t="str">
        <f>HYPERLINK("https://amzn.to/2SVN1Ao","link*")</f>
        <v>link*</v>
      </c>
      <c r="L126" s="88" t="str">
        <f>HYPERLINK("https://www.bhphotovideo.com/c/product/1242614-REG/sony_sel70300g_fe_70_300mm_f_4_5_5_6_g.html/BI/19619/KBID/12129/DFF/d10-v21-t1-x722726/SID/EZ","link*")</f>
        <v>link*</v>
      </c>
      <c r="M126" s="89" t="s">
        <v>33</v>
      </c>
      <c r="N126"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126" s="83">
        <v>90.0</v>
      </c>
      <c r="P126" s="154" t="s">
        <v>49</v>
      </c>
      <c r="Q126" s="81">
        <v>9.0</v>
      </c>
      <c r="R126" s="403"/>
      <c r="S126" s="81" t="s">
        <v>32</v>
      </c>
      <c r="T126" s="81" t="s">
        <v>241</v>
      </c>
    </row>
    <row r="127" hidden="1">
      <c r="A127" s="152" t="str">
        <f>HYPERLINK("https://phillipreeve.net/blog/review-sony-fe-470-200-g-oss/https://phillipreeve.net/blog/review-sony-fe-470-200-g-oss/","Sony G 4/70-200 OSS")</f>
        <v>Sony G 4/70-200 OSS</v>
      </c>
      <c r="B127" s="76">
        <v>840.0</v>
      </c>
      <c r="C127" s="122">
        <v>70.0</v>
      </c>
      <c r="D127" s="78">
        <v>4.0</v>
      </c>
      <c r="E127" s="144">
        <v>80.0</v>
      </c>
      <c r="F127" s="373">
        <v>175.0</v>
      </c>
      <c r="G127" s="81" t="s">
        <v>30</v>
      </c>
      <c r="H127" s="82" t="s">
        <v>48</v>
      </c>
      <c r="I127" s="81">
        <v>0.18</v>
      </c>
      <c r="J127" s="87">
        <v>1498.0</v>
      </c>
      <c r="K127" s="88" t="str">
        <f>HYPERLINK("http://amzn.to/2fbeX3x","link*")</f>
        <v>link*</v>
      </c>
      <c r="L127" s="88" t="str">
        <f>HYPERLINK("https://www.bhphotovideo.com/c/product/1380865-REG/sony_fe_70_200mm_f_4_g.html/BI/19619/KBID/12129/kw/SO702004F/DFF/d10-v2-t1-xSO702004F","link*")</f>
        <v>link*</v>
      </c>
      <c r="M127" s="88" t="str">
        <f>HYPERLINK("http://amzn.to/2vbFQKj","link*")</f>
        <v>link*</v>
      </c>
      <c r="N127"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127" s="83">
        <v>100.0</v>
      </c>
      <c r="P127" s="154" t="s">
        <v>49</v>
      </c>
      <c r="Q127" s="81">
        <v>9.0</v>
      </c>
      <c r="R127" s="85" t="s">
        <v>121</v>
      </c>
      <c r="S127" s="81" t="s">
        <v>32</v>
      </c>
      <c r="T127" s="81" t="s">
        <v>253</v>
      </c>
    </row>
    <row r="128" hidden="1">
      <c r="A128" s="152" t="str">
        <f>HYPERLINK("https://phillipreeve.net/blog/review-sony-fe-85mm-1-4-gm/","Sony GM 1.4/85")</f>
        <v>Sony GM 1.4/85</v>
      </c>
      <c r="B128" s="76">
        <v>854.0</v>
      </c>
      <c r="C128" s="122">
        <v>85.0</v>
      </c>
      <c r="D128" s="78">
        <v>1.4</v>
      </c>
      <c r="E128" s="144">
        <v>84.0</v>
      </c>
      <c r="F128" s="373">
        <v>108.0</v>
      </c>
      <c r="G128" s="81" t="s">
        <v>30</v>
      </c>
      <c r="H128" s="82" t="s">
        <v>56</v>
      </c>
      <c r="I128" s="81">
        <v>0.12</v>
      </c>
      <c r="J128" s="87">
        <v>1799.0</v>
      </c>
      <c r="K128" s="88" t="str">
        <f>HYPERLINK("https://amzn.to/2SZeKAh","link*")</f>
        <v>link*</v>
      </c>
      <c r="L128" s="88" t="str">
        <f>HYPERLINK("https://www.bhphotovideo.com/c/product/1222775-REG/sony_sel85f14gm_fe_85mm_f_1_4_gm.html/BI/19619/KBID/12129/DFF/d10-v21-t1-x707644/SID/EZ","link*")</f>
        <v>link*</v>
      </c>
      <c r="M128" s="89" t="s">
        <v>33</v>
      </c>
      <c r="N128"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128" s="83">
        <v>80.0</v>
      </c>
      <c r="P128" s="84" t="s">
        <v>26</v>
      </c>
      <c r="Q128" s="81">
        <v>11.0</v>
      </c>
      <c r="R128" s="123">
        <v>43688.0</v>
      </c>
      <c r="S128" s="81" t="s">
        <v>32</v>
      </c>
      <c r="T128" s="81" t="s">
        <v>253</v>
      </c>
    </row>
    <row r="129" hidden="1">
      <c r="A129" s="426" t="str">
        <f>HYPERLINK("https://phillipreeve.net/blog/review-voigtlander-12mm-5-6-aspherical-ultra-wide-heliar/","Voigtlander 12mm F5.6 Ultra Wide-Heliar Aspherical")</f>
        <v>Voigtlander 12mm F5.6 Ultra Wide-Heliar Aspherical</v>
      </c>
      <c r="B129" s="427">
        <v>350.0</v>
      </c>
      <c r="C129" s="414">
        <v>12.0</v>
      </c>
      <c r="D129" s="415">
        <v>5.6</v>
      </c>
      <c r="E129" s="428">
        <v>67.0</v>
      </c>
      <c r="F129" s="429">
        <v>68.0</v>
      </c>
      <c r="G129" s="430" t="s">
        <v>24</v>
      </c>
      <c r="H129" s="419" t="s">
        <v>25</v>
      </c>
      <c r="I129" s="424"/>
      <c r="J129" s="420">
        <v>749.0</v>
      </c>
      <c r="K129" s="424"/>
      <c r="L129" s="424"/>
      <c r="M129" s="424"/>
      <c r="N129" s="421"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O129" s="422">
        <v>30.0</v>
      </c>
      <c r="P129" s="418" t="s">
        <v>26</v>
      </c>
      <c r="Q129" s="419">
        <v>10.0</v>
      </c>
      <c r="R129" s="423" t="s">
        <v>38</v>
      </c>
      <c r="S129" s="424" t="s">
        <v>28</v>
      </c>
      <c r="T129" s="425">
        <v>42583.0</v>
      </c>
      <c r="U129" s="173" t="s">
        <v>39</v>
      </c>
    </row>
    <row r="130" hidden="1">
      <c r="A130" s="395" t="s">
        <v>125</v>
      </c>
      <c r="B130" s="76">
        <v>568.0</v>
      </c>
      <c r="C130" s="122">
        <v>85.0</v>
      </c>
      <c r="D130" s="78">
        <v>1.4</v>
      </c>
      <c r="E130" s="144">
        <v>88.0</v>
      </c>
      <c r="F130" s="373">
        <v>100.0</v>
      </c>
      <c r="G130" s="81" t="s">
        <v>30</v>
      </c>
      <c r="H130" s="82" t="s">
        <v>56</v>
      </c>
      <c r="I130" s="81">
        <v>0.11</v>
      </c>
      <c r="J130" s="153">
        <v>699.0</v>
      </c>
      <c r="K130" s="88" t="str">
        <f>HYPERLINK("https://amzn.to/2T0yJ1A","link*")</f>
        <v>link*</v>
      </c>
      <c r="L130" s="88" t="str">
        <f>HYPERLINK("https://www.bhphotovideo.com/c/product/1470654-REG/samyang_syio85af_e_af_85mm_f_1_4_lens.html/BI/19619/KBID/12129/DFF/d10-v21-t1-x955078/SID/EZ","link*")</f>
        <v>link*</v>
      </c>
      <c r="M130" s="89" t="s">
        <v>33</v>
      </c>
      <c r="N130"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130" s="83">
        <v>90.0</v>
      </c>
      <c r="P130" s="84" t="s">
        <v>26</v>
      </c>
      <c r="Q130" s="81">
        <v>9.0</v>
      </c>
      <c r="R130" s="123">
        <v>43688.0</v>
      </c>
      <c r="S130" s="81" t="s">
        <v>32</v>
      </c>
      <c r="T130" s="346"/>
    </row>
    <row r="131" hidden="1">
      <c r="A131" s="152" t="str">
        <f>HYPERLINK("https://phillipreeve.net/blog/review-sony-fe-85-mm-1-8/","Sony FE 85mm f/1.8")</f>
        <v>Sony FE 85mm f/1.8</v>
      </c>
      <c r="B131" s="76">
        <v>371.0</v>
      </c>
      <c r="C131" s="122">
        <v>85.0</v>
      </c>
      <c r="D131" s="78">
        <v>1.8</v>
      </c>
      <c r="E131" s="144">
        <v>77.0</v>
      </c>
      <c r="F131" s="373">
        <v>82.0</v>
      </c>
      <c r="G131" s="81" t="s">
        <v>30</v>
      </c>
      <c r="H131" s="82" t="s">
        <v>53</v>
      </c>
      <c r="I131" s="81">
        <v>0.13</v>
      </c>
      <c r="J131" s="153">
        <v>599.0</v>
      </c>
      <c r="K131" s="88" t="str">
        <f>HYPERLINK("https://amzn.to/2YB4RxU","link*")</f>
        <v>link*</v>
      </c>
      <c r="L131" s="88" t="str">
        <f t="shared" ref="L131:L132" si="3">HYPERLINK("https://www.bhphotovideo.com/c/product/1140833-REG/zeiss_2103_751_85mm_f_1_8_batis_short.html/BI/19619/KBID/12129/DFF/d10-v21-t1-x627139/SID/EZ","link*")</f>
        <v>link*</v>
      </c>
      <c r="M131" s="89" t="s">
        <v>33</v>
      </c>
      <c r="N131"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131" s="83">
        <v>80.0</v>
      </c>
      <c r="P131" s="84" t="s">
        <v>26</v>
      </c>
      <c r="Q131" s="81">
        <v>9.0</v>
      </c>
      <c r="R131" s="123">
        <v>43686.0</v>
      </c>
      <c r="S131" s="81" t="s">
        <v>32</v>
      </c>
      <c r="T131" s="81" t="s">
        <v>258</v>
      </c>
    </row>
    <row r="132" hidden="1">
      <c r="A132" s="152" t="str">
        <f>HYPERLINK("https://phillipreeve.net/blog/zeiss-batis-sonnar-t-85mm-f1-8-a-review/","Zeiss Batis 1.8/85")</f>
        <v>Zeiss Batis 1.8/85</v>
      </c>
      <c r="B132" s="76">
        <v>475.0</v>
      </c>
      <c r="C132" s="122">
        <v>85.0</v>
      </c>
      <c r="D132" s="78">
        <v>1.8</v>
      </c>
      <c r="E132" s="144">
        <v>92.0</v>
      </c>
      <c r="F132" s="373">
        <v>81.0</v>
      </c>
      <c r="G132" s="81" t="s">
        <v>30</v>
      </c>
      <c r="H132" s="82" t="s">
        <v>53</v>
      </c>
      <c r="I132" s="81">
        <v>0.13</v>
      </c>
      <c r="J132" s="87">
        <v>1199.0</v>
      </c>
      <c r="K132" s="88" t="str">
        <f>HYPERLINK("https://amzn.to/2T8oWqt","link*")</f>
        <v>link*</v>
      </c>
      <c r="L132" s="88" t="str">
        <f t="shared" si="3"/>
        <v>link*</v>
      </c>
      <c r="M132" s="89" t="s">
        <v>33</v>
      </c>
      <c r="N132"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132" s="83">
        <v>80.0</v>
      </c>
      <c r="P132" s="154" t="s">
        <v>49</v>
      </c>
      <c r="Q132" s="81">
        <v>9.0</v>
      </c>
      <c r="R132" s="123">
        <v>43688.0</v>
      </c>
      <c r="S132" s="81" t="s">
        <v>58</v>
      </c>
      <c r="T132" s="346"/>
    </row>
    <row r="133" hidden="1">
      <c r="A133" s="395" t="s">
        <v>129</v>
      </c>
      <c r="B133" s="76">
        <v>665.0</v>
      </c>
      <c r="C133" s="122">
        <v>85.0</v>
      </c>
      <c r="D133" s="78">
        <v>1.8</v>
      </c>
      <c r="E133" s="144">
        <v>79.0</v>
      </c>
      <c r="F133" s="373">
        <v>92.0</v>
      </c>
      <c r="G133" s="400" t="s">
        <v>24</v>
      </c>
      <c r="H133" s="82" t="s">
        <v>48</v>
      </c>
      <c r="I133" s="81">
        <v>0.13</v>
      </c>
      <c r="J133" s="87">
        <v>299.0</v>
      </c>
      <c r="K133" s="88" t="str">
        <f>HYPERLINK("https://amzn.to/2LVVOBV","link*")</f>
        <v>link*</v>
      </c>
      <c r="L133" s="88" t="str">
        <f>HYPERLINK("https://www.bhphotovideo.com/c/product/1469189-REG/viltrox_pfu_rbmh_85mm_f1_8_e_mount_85mm_f_1_8_for_sony.html/BI/19619/KBID/12129/DFF/d10-v21-t1-x954301/SID/EZ","link*")</f>
        <v>link*</v>
      </c>
      <c r="M133" s="89" t="s">
        <v>33</v>
      </c>
      <c r="N133"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133" s="83">
        <v>80.0</v>
      </c>
      <c r="P133" s="84" t="s">
        <v>26</v>
      </c>
      <c r="Q133" s="81">
        <v>9.0</v>
      </c>
      <c r="R133" s="123">
        <v>43656.0</v>
      </c>
      <c r="S133" s="81" t="s">
        <v>63</v>
      </c>
      <c r="T133" s="346"/>
      <c r="U133" s="68" t="s">
        <v>236</v>
      </c>
    </row>
    <row r="134" hidden="1">
      <c r="A134" s="395" t="s">
        <v>229</v>
      </c>
      <c r="B134" s="76">
        <v>636.0</v>
      </c>
      <c r="C134" s="122">
        <v>85.0</v>
      </c>
      <c r="D134" s="78">
        <v>1.8</v>
      </c>
      <c r="E134" s="144">
        <v>79.0</v>
      </c>
      <c r="F134" s="373">
        <v>92.0</v>
      </c>
      <c r="G134" s="81" t="s">
        <v>30</v>
      </c>
      <c r="H134" s="82" t="s">
        <v>48</v>
      </c>
      <c r="I134" s="81">
        <v>0.13</v>
      </c>
      <c r="J134" s="87">
        <v>379.0</v>
      </c>
      <c r="K134" s="88" t="str">
        <f>HYPERLINK("https://amzn.to/2SZfd5v","link*")</f>
        <v>link*</v>
      </c>
      <c r="L134" s="88" t="str">
        <f>HYPERLINK("https://www.bhphotovideo.com/c/product/1470585-REG/viltrox_pfu_rbmh_85mm_f1_8_stm_e_mount_85mm_f_1_8_lens_for.html/BI/19619/KBID/12129/DFF/d10-v21-t1-x955239/SID/EZ","link*")</f>
        <v>link*</v>
      </c>
      <c r="M134" s="89" t="s">
        <v>33</v>
      </c>
      <c r="N134"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134" s="83">
        <v>80.0</v>
      </c>
      <c r="P134" s="84" t="s">
        <v>26</v>
      </c>
      <c r="Q134" s="81">
        <v>9.0</v>
      </c>
      <c r="R134" s="123">
        <v>43656.0</v>
      </c>
      <c r="S134" s="81" t="s">
        <v>63</v>
      </c>
      <c r="T134" s="346"/>
    </row>
    <row r="135" hidden="1">
      <c r="A135" s="152" t="str">
        <f>HYPERLINK("https://phillipreeve.net/blog/rolling-review-zeiss-loxia-85mm-2-4/","Zeiss Loxia 2.4/85")</f>
        <v>Zeiss Loxia 2.4/85</v>
      </c>
      <c r="B135" s="76">
        <v>594.0</v>
      </c>
      <c r="C135" s="122">
        <v>85.0</v>
      </c>
      <c r="D135" s="78">
        <v>2.4</v>
      </c>
      <c r="E135" s="144">
        <v>63.0</v>
      </c>
      <c r="F135" s="373">
        <v>95.0</v>
      </c>
      <c r="G135" s="400" t="s">
        <v>24</v>
      </c>
      <c r="H135" s="82" t="s">
        <v>71</v>
      </c>
      <c r="I135" s="81">
        <v>0.14</v>
      </c>
      <c r="J135" s="87">
        <v>1399.0</v>
      </c>
      <c r="K135" s="88" t="str">
        <f>HYPERLINK("https://amzn.to/2SY4PLd","link*")</f>
        <v>link*</v>
      </c>
      <c r="L135" s="88" t="str">
        <f>HYPERLINK("https://www.bhphotovideo.com/c/product/1282150-REG/zeiss_2162_636_loxia_85mm_f_2_4_lens.html/BI/19619/KBID/12129/DFF/d10-v21-t1-x762761/SID/EZ","link*")</f>
        <v>link*</v>
      </c>
      <c r="M135" s="89" t="s">
        <v>33</v>
      </c>
      <c r="N135"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135" s="83">
        <v>80.0</v>
      </c>
      <c r="P135" s="84" t="s">
        <v>26</v>
      </c>
      <c r="Q135" s="81">
        <v>10.0</v>
      </c>
      <c r="R135" s="123">
        <v>43653.0</v>
      </c>
      <c r="S135" s="81" t="s">
        <v>58</v>
      </c>
      <c r="T135" s="346"/>
    </row>
    <row r="136" hidden="1">
      <c r="A136" s="152" t="str">
        <f>HYPERLINK("https://phillipreeve.net/blog/review-sony-fe-90mm-f2-8-macro-oss-one-of-sonys-finest/","Sony 2.8/90 G OSS")</f>
        <v>Sony 2.8/90 G OSS</v>
      </c>
      <c r="B136" s="76">
        <v>602.0</v>
      </c>
      <c r="C136" s="122">
        <v>90.0</v>
      </c>
      <c r="D136" s="78">
        <v>2.8</v>
      </c>
      <c r="E136" s="144">
        <v>79.0</v>
      </c>
      <c r="F136" s="373">
        <v>131.0</v>
      </c>
      <c r="G136" s="81" t="s">
        <v>30</v>
      </c>
      <c r="H136" s="82" t="s">
        <v>66</v>
      </c>
      <c r="I136" s="259">
        <v>1.0</v>
      </c>
      <c r="J136" s="87">
        <v>1099.0</v>
      </c>
      <c r="K136" s="88" t="str">
        <f>HYPERLINK("http://amzn.to/2fbeX3x","link*")</f>
        <v>link*</v>
      </c>
      <c r="L136" s="88" t="str">
        <f>HYPERLINK("https://www.bhphotovideo.com/c/product/1380868-REG/sony_fe_90mm_f_2_8_macro.html/BI/19619/KBID/12129/kw/SO9028F/DFF/d10-v2-t1-xSO9028F","link*")</f>
        <v>link*</v>
      </c>
      <c r="M136" s="88" t="str">
        <f>HYPERLINK("http://amzn.to/2vvvHcw","link*")</f>
        <v>link*</v>
      </c>
      <c r="N136"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36" s="83">
        <v>28.0</v>
      </c>
      <c r="P136" s="154" t="s">
        <v>49</v>
      </c>
      <c r="Q136" s="81">
        <v>9.0</v>
      </c>
      <c r="R136" s="123">
        <v>43784.0</v>
      </c>
      <c r="S136" s="81" t="s">
        <v>32</v>
      </c>
      <c r="T136" s="81" t="s">
        <v>246</v>
      </c>
    </row>
    <row r="137" hidden="1">
      <c r="A137" s="152" t="str">
        <f>HYPERLINK("https://phillipreeve.net/blog/review-sony-fe-100-f-2-8-stf-gm-oss-lens/","Sony GM 2.8/100 STF OSS")</f>
        <v>Sony GM 2.8/100 STF OSS</v>
      </c>
      <c r="B137" s="76">
        <v>700.0</v>
      </c>
      <c r="C137" s="122">
        <v>100.0</v>
      </c>
      <c r="D137" s="78">
        <v>2.8</v>
      </c>
      <c r="E137" s="144">
        <v>85.0</v>
      </c>
      <c r="F137" s="373">
        <v>118.0</v>
      </c>
      <c r="G137" s="81" t="s">
        <v>30</v>
      </c>
      <c r="H137" s="82" t="s">
        <v>48</v>
      </c>
      <c r="I137" s="185">
        <v>0.25</v>
      </c>
      <c r="J137" s="87">
        <v>1499.0</v>
      </c>
      <c r="K137" s="88" t="str">
        <f>HYPERLINK("https://amzn.to/2YD8rn4","link*")</f>
        <v>link*</v>
      </c>
      <c r="L137" s="88" t="str">
        <f>HYPERLINK("https://www.bhphotovideo.com/c/product/1317561-REG/sony_sel100f28gm_fe_100mm_f_2_8_stf.html/BI/19619/KBID/12129/DFF/d10-v21-t1-x795192/SID/EZ","link*")</f>
        <v>link*</v>
      </c>
      <c r="M137" s="89" t="s">
        <v>33</v>
      </c>
      <c r="N137"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137" s="83">
        <v>57.0</v>
      </c>
      <c r="P137" s="154" t="s">
        <v>49</v>
      </c>
      <c r="Q137" s="81">
        <v>11.0</v>
      </c>
      <c r="R137" s="123">
        <v>43752.0</v>
      </c>
      <c r="S137" s="81" t="s">
        <v>32</v>
      </c>
      <c r="T137" s="81" t="s">
        <v>258</v>
      </c>
      <c r="U137" s="68" t="s">
        <v>132</v>
      </c>
    </row>
    <row r="138" hidden="1">
      <c r="A138" s="152" t="str">
        <f>HYPERLINK("https://phillipreeve.net/blog/review-tokina-firin-100mm-f2-8-fe-macro/","Tokina Firin 2.8/100 Macro")</f>
        <v>Tokina Firin 2.8/100 Macro</v>
      </c>
      <c r="B138" s="76">
        <v>570.0</v>
      </c>
      <c r="C138" s="122">
        <v>100.0</v>
      </c>
      <c r="D138" s="78">
        <v>2.8</v>
      </c>
      <c r="E138" s="144">
        <v>74.0</v>
      </c>
      <c r="F138" s="374">
        <v>123.0</v>
      </c>
      <c r="G138" s="81" t="s">
        <v>30</v>
      </c>
      <c r="H138" s="82" t="s">
        <v>90</v>
      </c>
      <c r="I138" s="259">
        <v>1.0</v>
      </c>
      <c r="J138" s="129">
        <v>599.0</v>
      </c>
      <c r="K138" s="88" t="str">
        <f>HYPERLINK("http://amzn.to/2fbeX3x","link*")</f>
        <v>link*</v>
      </c>
      <c r="L138" s="88" t="str">
        <f>HYPERLINK("https://www.bhphotovideo.com/c/product/1473390-REG/tokina_frn_afm100fxse_firin_100mm_f_2_8_fe.html/BI/19619/KBID/12129/kw/TO100AF/DFF/d10-v2-t1-xTO100AF","link*")</f>
        <v>link*</v>
      </c>
      <c r="M138"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138"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138" s="83">
        <v>30.0</v>
      </c>
      <c r="P138" s="84" t="s">
        <v>26</v>
      </c>
      <c r="Q138" s="81">
        <v>9.0</v>
      </c>
      <c r="R138" s="123">
        <v>43686.0</v>
      </c>
      <c r="S138" s="81" t="s">
        <v>67</v>
      </c>
      <c r="T138" s="81" t="s">
        <v>244</v>
      </c>
      <c r="U138" s="68" t="s">
        <v>42</v>
      </c>
    </row>
    <row r="139" hidden="1">
      <c r="A139" s="395" t="s">
        <v>135</v>
      </c>
      <c r="B139" s="76">
        <v>1395.0</v>
      </c>
      <c r="C139" s="122">
        <v>100.0</v>
      </c>
      <c r="D139" s="78" t="s">
        <v>118</v>
      </c>
      <c r="E139" s="144">
        <v>94.0</v>
      </c>
      <c r="F139" s="374">
        <v>205.0</v>
      </c>
      <c r="G139" s="81" t="s">
        <v>30</v>
      </c>
      <c r="H139" s="82" t="s">
        <v>56</v>
      </c>
      <c r="I139" s="185">
        <v>0.35</v>
      </c>
      <c r="J139" s="87">
        <v>2499.0</v>
      </c>
      <c r="K139" s="88" t="str">
        <f>HYPERLINK("https://amzn.to/2SZ0aZO","link*")</f>
        <v>link*</v>
      </c>
      <c r="L139" s="88" t="str">
        <f>HYPERLINK("https://www.bhphotovideo.com/c/product/1333230-REG/sony_sel100400gm_fe_100_400mm_f_4_5_5_6_gm.html/BI/19619/KBID/12129/DFF/d10-v21-t1-x817745/SID/EZ","link*")</f>
        <v>link*</v>
      </c>
      <c r="M139" s="89" t="s">
        <v>33</v>
      </c>
      <c r="N139"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139" s="83">
        <v>98.0</v>
      </c>
      <c r="P139" s="154" t="s">
        <v>49</v>
      </c>
      <c r="Q139" s="81">
        <v>11.0</v>
      </c>
      <c r="R139" s="85" t="s">
        <v>134</v>
      </c>
      <c r="S139" s="81" t="s">
        <v>32</v>
      </c>
      <c r="T139" s="81" t="s">
        <v>259</v>
      </c>
    </row>
    <row r="140" hidden="1">
      <c r="A140" s="395" t="s">
        <v>62</v>
      </c>
      <c r="B140" s="76">
        <v>775.0</v>
      </c>
      <c r="C140" s="122">
        <v>20.0</v>
      </c>
      <c r="D140" s="121">
        <v>1.8</v>
      </c>
      <c r="E140" s="79">
        <v>77.0</v>
      </c>
      <c r="F140" s="79">
        <v>102.0</v>
      </c>
      <c r="G140" s="400" t="s">
        <v>24</v>
      </c>
      <c r="H140" s="82" t="s">
        <v>51</v>
      </c>
      <c r="I140" s="81">
        <v>0.12</v>
      </c>
      <c r="J140" s="87">
        <v>486.0</v>
      </c>
      <c r="K140" s="88" t="str">
        <f>HYPERLINK("https://amzn.to/2LRRbJ5","link*")</f>
        <v>link*</v>
      </c>
      <c r="L140" s="88" t="str">
        <f>HYPERLINK("https://www.bhphotovideo.com/c/product/1469187-REG/viltrox_pfu_rbmh_20mm_f1_8_asph_e_mount_20mm_f_1_8_for_sony.html/BI/19619/KBID/12129/DFF/d10-v21-t1-x954299/SID/EZ","link*")</f>
        <v>link*</v>
      </c>
      <c r="M140" s="88" t="str">
        <f>HYPERLINK("https://amzn.to/2GL8iYV","link*")</f>
        <v>link*</v>
      </c>
      <c r="N140"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140" s="83">
        <v>25.0</v>
      </c>
      <c r="P140" s="84" t="s">
        <v>26</v>
      </c>
      <c r="Q140" s="81">
        <v>14.0</v>
      </c>
      <c r="R140" s="123">
        <v>43720.0</v>
      </c>
      <c r="S140" s="81" t="s">
        <v>63</v>
      </c>
      <c r="T140" s="346"/>
    </row>
    <row r="141" hidden="1">
      <c r="A141" s="152" t="str">
        <f>HYPERLINK("https://phillipreeve.net/blog/voigtlander-110mm-f2-5-apo-review/","Voigtlander 110mm F2.5 APO Macro")</f>
        <v>Voigtlander 110mm F2.5 APO Macro</v>
      </c>
      <c r="B141" s="76">
        <v>771.0</v>
      </c>
      <c r="C141" s="122">
        <v>110.0</v>
      </c>
      <c r="D141" s="78">
        <v>2.5</v>
      </c>
      <c r="E141" s="144">
        <v>78.0</v>
      </c>
      <c r="F141" s="373">
        <v>100.0</v>
      </c>
      <c r="G141" s="400" t="s">
        <v>24</v>
      </c>
      <c r="H141" s="82" t="s">
        <v>47</v>
      </c>
      <c r="I141" s="259">
        <v>1.0</v>
      </c>
      <c r="J141" s="87">
        <v>1099.0</v>
      </c>
      <c r="K141" s="88" t="str">
        <f>HYPERLINK("https://amzn.to/2SXYsrm","link*")</f>
        <v>link*</v>
      </c>
      <c r="L141" s="88" t="str">
        <f>HYPERLINK("https://www.bhphotovideo.com/c/product/1418780-REG/voigtlander_ba349a_macro_apo_lanthar_110mm_f_2_5.html/BI/19619/KBID/12129/kw/VO11025/DFF/d10-v2-t1-xVO11025","link*")</f>
        <v>link*</v>
      </c>
      <c r="M141" s="89" t="s">
        <v>33</v>
      </c>
      <c r="N141"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141" s="83">
        <v>35.0</v>
      </c>
      <c r="P141" s="84" t="s">
        <v>26</v>
      </c>
      <c r="Q141" s="81">
        <v>10.0</v>
      </c>
      <c r="R141" s="123">
        <v>43813.0</v>
      </c>
      <c r="S141" s="81" t="s">
        <v>28</v>
      </c>
      <c r="T141" s="81" t="s">
        <v>316</v>
      </c>
    </row>
    <row r="142" hidden="1">
      <c r="A142" s="152" t="str">
        <f>HYPERLINK("https://phillipreeve.net/blog/review-sony-fe-135mm-f1-8-gm/","Sony 1.8/135 GM")</f>
        <v>Sony 1.8/135 GM</v>
      </c>
      <c r="B142" s="76">
        <v>950.0</v>
      </c>
      <c r="C142" s="122">
        <v>135.0</v>
      </c>
      <c r="D142" s="78">
        <v>1.8</v>
      </c>
      <c r="E142" s="144">
        <v>90.0</v>
      </c>
      <c r="F142" s="373">
        <v>127.0</v>
      </c>
      <c r="G142" s="81" t="s">
        <v>30</v>
      </c>
      <c r="H142" s="270" t="s">
        <v>51</v>
      </c>
      <c r="I142" s="185">
        <v>0.25</v>
      </c>
      <c r="J142" s="87">
        <v>1899.0</v>
      </c>
      <c r="K142" s="88" t="str">
        <f>HYPERLINK("https://amzn.to/2WtonMJ","link*")</f>
        <v>link*</v>
      </c>
      <c r="L142" s="88" t="str">
        <f>HYPERLINK("https://www.bhphotovideo.com/c/product/1393495-REG/sigma_135mm_f_1_8_dg_hsm.html/BI/19619/KBID/12129/kw/SI13518SO/DFF/d10-v2-t1-xSI13518SO","link*")</f>
        <v>link*</v>
      </c>
      <c r="M142" s="88" t="str">
        <f>HYPERLINK("https://amzn.to/2Z9KKDE","link*")</f>
        <v>link*</v>
      </c>
      <c r="N142"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142" s="83">
        <v>70.0</v>
      </c>
      <c r="P142" s="84" t="s">
        <v>26</v>
      </c>
      <c r="Q142" s="81">
        <v>11.0</v>
      </c>
      <c r="R142" s="123">
        <v>43751.0</v>
      </c>
      <c r="S142" s="81" t="s">
        <v>32</v>
      </c>
      <c r="T142" s="346"/>
    </row>
    <row r="143" hidden="1">
      <c r="A143" s="152" t="str">
        <f>HYPERLINK("https://phillipreeve.net/blog/tokina-firin-20mm-f2-fe-review-a-good-deal/","Tokina Firin 2/20")</f>
        <v>Tokina Firin 2/20</v>
      </c>
      <c r="B143" s="76">
        <v>492.0</v>
      </c>
      <c r="C143" s="122">
        <v>20.0</v>
      </c>
      <c r="D143" s="125">
        <v>2.0</v>
      </c>
      <c r="E143" s="132">
        <v>69.0</v>
      </c>
      <c r="F143" s="401">
        <v>82.0</v>
      </c>
      <c r="G143" s="397" t="s">
        <v>24</v>
      </c>
      <c r="H143" s="82" t="s">
        <v>66</v>
      </c>
      <c r="I143" s="81">
        <v>0.1</v>
      </c>
      <c r="J143" s="129">
        <v>799.0</v>
      </c>
      <c r="K143" s="88" t="str">
        <f>HYPERLINK("http://amzn.to/2vlG2Yq","link*")</f>
        <v>link*</v>
      </c>
      <c r="L143" s="88" t="str">
        <f>HYPERLINK("https://www.bhphotovideo.com/c/product/1281299-REG/tokina_firin_20mm_f_2_fe.html/BI/19619/KBID/12129/kw/TO202E/DFF/d10-v2-t1-xTO202E","link*")</f>
        <v>link*</v>
      </c>
      <c r="M143" s="88" t="str">
        <f>HYPERLINK("http://amzn.to/2vvtDkM","link*")</f>
        <v>link*</v>
      </c>
      <c r="N143"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143" s="83">
        <v>30.0</v>
      </c>
      <c r="P143" s="84" t="s">
        <v>26</v>
      </c>
      <c r="Q143" s="81">
        <v>9.0</v>
      </c>
      <c r="R143" s="128" t="s">
        <v>54</v>
      </c>
      <c r="S143" s="81" t="s">
        <v>67</v>
      </c>
      <c r="T143" s="346"/>
    </row>
    <row r="144" hidden="1">
      <c r="A144" s="152" t="str">
        <f>HYPERLINK("https://phillipreeve.net/blog/zeiss-batis-apo-sonnar-t-135mm-f2-8/","Zeiss 2.8/135 APO")</f>
        <v>Zeiss 2.8/135 APO</v>
      </c>
      <c r="B144" s="76">
        <v>614.0</v>
      </c>
      <c r="C144" s="122">
        <v>135.0</v>
      </c>
      <c r="D144" s="78">
        <v>2.8</v>
      </c>
      <c r="E144" s="144">
        <v>99.0</v>
      </c>
      <c r="F144" s="373">
        <v>120.0</v>
      </c>
      <c r="G144" s="81" t="s">
        <v>30</v>
      </c>
      <c r="H144" s="82" t="s">
        <v>53</v>
      </c>
      <c r="I144" s="81">
        <v>0.19</v>
      </c>
      <c r="J144" s="87">
        <v>1699.0</v>
      </c>
      <c r="K144" s="88" t="str">
        <f>HYPERLINK("https://amzn.to/319GJA4","link*")</f>
        <v>link*</v>
      </c>
      <c r="L144" s="88" t="str">
        <f>HYPERLINK("https://www.bhphotovideo.com/c/product/1330083-REG/zeiss_2136_695_batis_135mm_f_2_8_lens.html/BI/19619/KBID/12129/DFF/d10-v21-t1-x814884/SID/EZ","link*")</f>
        <v>link*</v>
      </c>
      <c r="M144" s="89" t="s">
        <v>33</v>
      </c>
      <c r="N144"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144" s="83">
        <v>87.0</v>
      </c>
      <c r="P144" s="154" t="s">
        <v>49</v>
      </c>
      <c r="Q144" s="81">
        <v>9.0</v>
      </c>
      <c r="R144" s="123">
        <v>43783.0</v>
      </c>
      <c r="S144" s="81" t="s">
        <v>58</v>
      </c>
      <c r="T144" s="346"/>
    </row>
    <row r="145" hidden="1">
      <c r="A145" s="402" t="s">
        <v>144</v>
      </c>
      <c r="B145" s="76">
        <v>2215.0</v>
      </c>
      <c r="C145" s="122">
        <v>200.0</v>
      </c>
      <c r="D145" s="78" t="s">
        <v>145</v>
      </c>
      <c r="E145" s="144">
        <v>112.0</v>
      </c>
      <c r="F145" s="373">
        <v>318.0</v>
      </c>
      <c r="G145" s="81" t="s">
        <v>30</v>
      </c>
      <c r="H145" s="198" t="s">
        <v>92</v>
      </c>
      <c r="I145" s="393">
        <v>0.66</v>
      </c>
      <c r="J145" s="87">
        <v>1999.0</v>
      </c>
      <c r="K145" s="89"/>
      <c r="L145" s="88" t="str">
        <f>HYPERLINK("https://www.bhphotovideo.com/c/product/1485540-REG/sony_sel200600g_fe_200_600mm_f_5_6_6_3_g.html/BI/19619/KBID/12129/DFF/d10-v21-t1-x968882/SID/EZ","link*")</f>
        <v>link*</v>
      </c>
      <c r="M145" s="89" t="s">
        <v>33</v>
      </c>
      <c r="N145"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145" s="83">
        <v>240.0</v>
      </c>
      <c r="P145" s="154" t="s">
        <v>49</v>
      </c>
      <c r="Q145" s="81">
        <v>11.0</v>
      </c>
      <c r="R145" s="85" t="s">
        <v>146</v>
      </c>
      <c r="S145" s="81" t="s">
        <v>32</v>
      </c>
      <c r="T145" s="81" t="s">
        <v>243</v>
      </c>
    </row>
    <row r="146" hidden="1">
      <c r="A146" s="395" t="s">
        <v>147</v>
      </c>
      <c r="B146" s="76">
        <v>2895.0</v>
      </c>
      <c r="C146" s="122">
        <v>400.0</v>
      </c>
      <c r="D146" s="78">
        <v>2.8</v>
      </c>
      <c r="E146" s="144">
        <v>158.0</v>
      </c>
      <c r="F146" s="373">
        <v>359.0</v>
      </c>
      <c r="G146" s="81" t="s">
        <v>30</v>
      </c>
      <c r="H146" s="82" t="s">
        <v>148</v>
      </c>
      <c r="I146" s="393">
        <v>0.52</v>
      </c>
      <c r="J146" s="87">
        <v>11999.0</v>
      </c>
      <c r="K146" s="89"/>
      <c r="L146" s="88" t="str">
        <f>HYPERLINK("https://www.bhphotovideo.com/c/product/1369634-REG/sony_fe_400mm_f_2_8_gm.html/BI/19619/KBID/12129/DFF/d10-v21-t1-x905722/SID/EZ","link*")</f>
        <v>link*</v>
      </c>
      <c r="M146" s="89" t="s">
        <v>33</v>
      </c>
      <c r="N146"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146" s="83">
        <v>270.0</v>
      </c>
      <c r="P146" s="154" t="s">
        <v>49</v>
      </c>
      <c r="Q146" s="81">
        <v>11.0</v>
      </c>
      <c r="R146" s="85" t="s">
        <v>149</v>
      </c>
      <c r="S146" s="81" t="s">
        <v>32</v>
      </c>
      <c r="T146" s="81" t="s">
        <v>240</v>
      </c>
    </row>
    <row r="147" hidden="1">
      <c r="A147" s="450" t="s">
        <v>150</v>
      </c>
      <c r="B147" s="213">
        <v>3040.0</v>
      </c>
      <c r="C147" s="451">
        <v>600.0</v>
      </c>
      <c r="D147" s="215">
        <v>4.0</v>
      </c>
      <c r="E147" s="144">
        <v>164.0</v>
      </c>
      <c r="F147" s="373">
        <v>449.0</v>
      </c>
      <c r="G147" s="218" t="s">
        <v>30</v>
      </c>
      <c r="H147" s="219" t="s">
        <v>25</v>
      </c>
      <c r="I147" s="218">
        <v>0.14</v>
      </c>
      <c r="J147" s="141" t="s">
        <v>230</v>
      </c>
      <c r="K147" s="89"/>
      <c r="L147" s="88" t="str">
        <f>HYPERLINK("https://www.bhphotovideo.com/c/product/1485539-REG/sony_sel600f40gm_fe_600mm_f_4_gm.html/BI/19619/KBID/12129/DFF/d10-v21-t1-x968881/SID/EZ","link*")</f>
        <v>link*</v>
      </c>
      <c r="M147" s="89" t="s">
        <v>33</v>
      </c>
      <c r="N147"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147" s="221">
        <v>451.0</v>
      </c>
      <c r="P147" s="154" t="s">
        <v>49</v>
      </c>
      <c r="Q147" s="218">
        <v>11.0</v>
      </c>
      <c r="R147" s="262" t="s">
        <v>151</v>
      </c>
      <c r="S147" s="218" t="s">
        <v>32</v>
      </c>
      <c r="T147" s="218" t="s">
        <v>260</v>
      </c>
    </row>
    <row r="148" hidden="1">
      <c r="A148" s="395" t="s">
        <v>68</v>
      </c>
      <c r="B148" s="76">
        <v>464.0</v>
      </c>
      <c r="C148" s="122">
        <v>20.0</v>
      </c>
      <c r="D148" s="125">
        <v>2.0</v>
      </c>
      <c r="E148" s="381">
        <v>73.0</v>
      </c>
      <c r="F148" s="374">
        <v>82.0</v>
      </c>
      <c r="G148" s="84" t="s">
        <v>30</v>
      </c>
      <c r="H148" s="82" t="s">
        <v>66</v>
      </c>
      <c r="I148" s="81">
        <v>0.1</v>
      </c>
      <c r="J148" s="87">
        <v>949.0</v>
      </c>
      <c r="K148" s="88" t="str">
        <f>HYPERLINK("https://amzn.to/2GDurZb","link*")</f>
        <v>link*</v>
      </c>
      <c r="L148" s="88" t="str">
        <f>HYPERLINK("https://www.bhphotovideo.com/c/product/1393327-REG/tokina_firin_20mm_f_2_fe.html/BI/19619/KBID/12129/DFF/d10-v21-t1-x880327/SID/EZ","link*")</f>
        <v>link*</v>
      </c>
      <c r="M148" s="88" t="str">
        <f>HYPERLINK("https://amzn.to/2GJYCxw","link*")</f>
        <v>link*</v>
      </c>
      <c r="N148" s="88"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148" s="83">
        <v>30.0</v>
      </c>
      <c r="P148" s="84" t="s">
        <v>26</v>
      </c>
      <c r="Q148" s="81">
        <v>9.0</v>
      </c>
      <c r="R148" s="128" t="s">
        <v>54</v>
      </c>
      <c r="S148" s="81" t="s">
        <v>67</v>
      </c>
      <c r="T148" s="346"/>
    </row>
    <row r="149" hidden="1">
      <c r="A149" s="399" t="str">
        <f>HYPERLINK("https://phillipreeve.net/blog/review_voigtlander_21mm_f14_e/","Voigtlander 21mm F1.4 Nokton")</f>
        <v>Voigtlander 21mm F1.4 Nokton</v>
      </c>
      <c r="B149" s="76">
        <v>540.0</v>
      </c>
      <c r="C149" s="122">
        <v>21.0</v>
      </c>
      <c r="D149" s="149">
        <v>1.4</v>
      </c>
      <c r="E149" s="144">
        <v>70.0</v>
      </c>
      <c r="F149" s="373">
        <v>80.0</v>
      </c>
      <c r="G149" s="397" t="s">
        <v>24</v>
      </c>
      <c r="H149" s="82" t="s">
        <v>66</v>
      </c>
      <c r="I149" s="81"/>
      <c r="J149" s="87">
        <v>1199.0</v>
      </c>
      <c r="K149" s="88" t="str">
        <f>HYPERLINK("https://amzn.to/2K7gHrC","link*")</f>
        <v>link*</v>
      </c>
      <c r="L149" s="88" t="str">
        <f>HYPERLINK("https://www.bhphotovideo.com/c/product/1480269-REG/voigtlander_ba352a_nokton_21mm_f_1_4_aspherical.html/BI/19619/KBID/12129/DFF/d10-v21-t1-x963269/SID/EZ","link*")</f>
        <v>link*</v>
      </c>
      <c r="M149" s="89"/>
      <c r="N149" s="88"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149" s="83">
        <v>25.0</v>
      </c>
      <c r="P149" s="84" t="s">
        <v>26</v>
      </c>
      <c r="Q149" s="81">
        <v>12.0</v>
      </c>
      <c r="R149" s="128" t="s">
        <v>54</v>
      </c>
      <c r="S149" s="81" t="s">
        <v>28</v>
      </c>
      <c r="T149" s="81" t="s">
        <v>244</v>
      </c>
    </row>
    <row r="150" hidden="1">
      <c r="A150" s="152" t="str">
        <f>HYPERLINK("https://phillipreeve.net/blog/rolling-review-zeiss-loxia-distagon-2-821mm-t/https://phillipreeve.net/blog/rolling-review-zeiss-loxia-distagon-2-821mm-t/","Zeiss Loxia 2.8/21 Distagon T*")</f>
        <v>Zeiss Loxia 2.8/21 Distagon T*</v>
      </c>
      <c r="B150" s="76">
        <v>394.0</v>
      </c>
      <c r="C150" s="122">
        <v>21.0</v>
      </c>
      <c r="D150" s="78">
        <v>2.8</v>
      </c>
      <c r="E150" s="144">
        <v>62.0</v>
      </c>
      <c r="F150" s="373">
        <v>72.0</v>
      </c>
      <c r="G150" s="397" t="s">
        <v>24</v>
      </c>
      <c r="H150" s="82" t="s">
        <v>71</v>
      </c>
      <c r="I150" s="81">
        <v>0.13</v>
      </c>
      <c r="J150" s="87">
        <v>1499.0</v>
      </c>
      <c r="K150" s="88" t="str">
        <f>HYPERLINK("https://amzn.to/2yspzBm","link*")</f>
        <v>link*</v>
      </c>
      <c r="L150" s="88" t="str">
        <f>HYPERLINK("https://www.bhphotovideo.com/c/product/1189220-REG/zeiss_2131_999_loxia_21mm_f_2_8_lens.html/BI/19619/KBID/12129/DFF/d10-v21-t1-x677077/SID/EZ","link*")</f>
        <v>link*</v>
      </c>
      <c r="M150" s="88" t="str">
        <f>HYPERLINK("https://amzn.to/2GHSOoA","link*")</f>
        <v>link*</v>
      </c>
      <c r="N150"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150" s="83">
        <v>25.0</v>
      </c>
      <c r="P150" s="84" t="s">
        <v>26</v>
      </c>
      <c r="Q150" s="81">
        <v>10.0</v>
      </c>
      <c r="R150" s="128"/>
      <c r="S150" s="81" t="s">
        <v>58</v>
      </c>
      <c r="T150" s="346"/>
    </row>
    <row r="151" hidden="1">
      <c r="A151" s="152" t="str">
        <f>HYPERLINK("https://phillipreeve.net/blog/voigtlander-21mm-f35-review/","Voigtlander 21mm F3.5 Color-Skopar")</f>
        <v>Voigtlander 21mm F3.5 Color-Skopar</v>
      </c>
      <c r="B151" s="76">
        <v>230.0</v>
      </c>
      <c r="C151" s="122">
        <v>21.0</v>
      </c>
      <c r="D151" s="78">
        <v>3.5</v>
      </c>
      <c r="E151" s="144">
        <v>63.0</v>
      </c>
      <c r="F151" s="374">
        <v>40.0</v>
      </c>
      <c r="G151" s="397" t="s">
        <v>24</v>
      </c>
      <c r="H151" s="82" t="s">
        <v>71</v>
      </c>
      <c r="I151" s="346"/>
      <c r="J151" s="87">
        <v>699.0</v>
      </c>
      <c r="K151" s="88" t="str">
        <f>HYPERLINK("https://amzn.to/2JCie75","link*")</f>
        <v>link*</v>
      </c>
      <c r="L151" s="88" t="str">
        <f>HYPERLINK("https://www.bhphotovideo.com/c/product/1437613-REG/voigtlander_color_skopar_21mm_f_3_5_aspherical.html/BI/19619/KBID/12129/kw/VO2135E/DFF/d10-v2-t1-xVO2135E","link*")</f>
        <v>link*</v>
      </c>
      <c r="M151" s="88" t="str">
        <f>HYPERLINK("https://amzn.to/2ZoERan","link*")</f>
        <v>link*</v>
      </c>
      <c r="N151" s="88"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151" s="83">
        <v>20.0</v>
      </c>
      <c r="P151" s="84" t="s">
        <v>26</v>
      </c>
      <c r="Q151" s="81">
        <v>10.0</v>
      </c>
      <c r="R151" s="128" t="s">
        <v>60</v>
      </c>
      <c r="S151" s="81" t="s">
        <v>28</v>
      </c>
      <c r="T151" s="81" t="s">
        <v>245</v>
      </c>
    </row>
    <row r="152" hidden="1">
      <c r="A152" s="152" t="str">
        <f>HYPERLINK("https://phillipreeve.net/blog/review-sony-fe-24mm-1-4-gm/","Sony GM 1.4/24")</f>
        <v>Sony GM 1.4/24</v>
      </c>
      <c r="B152" s="76">
        <v>445.0</v>
      </c>
      <c r="C152" s="122">
        <v>24.0</v>
      </c>
      <c r="D152" s="149">
        <v>1.4</v>
      </c>
      <c r="E152" s="144">
        <v>75.0</v>
      </c>
      <c r="F152" s="373">
        <v>92.0</v>
      </c>
      <c r="G152" s="84" t="s">
        <v>30</v>
      </c>
      <c r="H152" s="82" t="s">
        <v>53</v>
      </c>
      <c r="I152" s="81">
        <v>0.17</v>
      </c>
      <c r="J152" s="87">
        <v>1399.0</v>
      </c>
      <c r="K152" s="88" t="str">
        <f>HYPERLINK("https://amzn.to/2ywcbw1","link*")</f>
        <v>link*</v>
      </c>
      <c r="L152" s="88" t="str">
        <f>HYPERLINK("https://www.bhphotovideo.com/c/product/1435887-REG/sony_fe_24mm_f_1_4_gm.html/BI/19619/KBID/12129/DFF/d10-v21-t1-x915647/SID/EZ","link*")</f>
        <v>link*</v>
      </c>
      <c r="M152" s="88" t="str">
        <f>HYPERLINK("https://amzn.to/2L2tV9y","link*")</f>
        <v>link*</v>
      </c>
      <c r="N152" s="88" t="str">
        <f>HYPERLINK("https://amzn.to/338yg28","link*")</f>
        <v>link*</v>
      </c>
      <c r="O152" s="83">
        <v>25.0</v>
      </c>
      <c r="P152" s="84" t="s">
        <v>26</v>
      </c>
      <c r="Q152" s="81">
        <v>11.0</v>
      </c>
      <c r="R152" s="128" t="s">
        <v>27</v>
      </c>
      <c r="S152" s="81" t="s">
        <v>32</v>
      </c>
      <c r="T152" s="81" t="s">
        <v>245</v>
      </c>
    </row>
    <row r="153">
      <c r="A153" s="412" t="s">
        <v>40</v>
      </c>
      <c r="B153" s="432">
        <v>1170.0</v>
      </c>
      <c r="C153" s="433">
        <v>14.0</v>
      </c>
      <c r="D153" s="434">
        <v>1.8</v>
      </c>
      <c r="E153" s="435">
        <v>95.0</v>
      </c>
      <c r="F153" s="436">
        <v>126.0</v>
      </c>
      <c r="G153" s="424" t="s">
        <v>30</v>
      </c>
      <c r="H153" s="419" t="s">
        <v>25</v>
      </c>
      <c r="I153" s="419">
        <v>0.1</v>
      </c>
      <c r="J153" s="420">
        <v>1599.0</v>
      </c>
      <c r="K153" s="421" t="str">
        <f>HYPERLINK("https://amzn.to/2SOWTvV","link*")</f>
        <v>link*</v>
      </c>
      <c r="L153" s="421" t="str">
        <f>HYPERLINK("https://www.bhphotovideo.com/c/product/1393489-REG/sigma_14mm_f_1_8_dg_hsm.html/BI/19619/KBID/12129/DFF/d10-v21-t1-x881154/SID/EZ","link*")</f>
        <v>link*</v>
      </c>
      <c r="M153" s="421" t="str">
        <f>HYPERLINK("https://amzn.to/2ZDl4QJ","link*")</f>
        <v>link*</v>
      </c>
      <c r="N153" s="421"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O153" s="422">
        <v>27.0</v>
      </c>
      <c r="P153" s="418" t="s">
        <v>26</v>
      </c>
      <c r="Q153" s="419">
        <v>9.0</v>
      </c>
      <c r="R153" s="437">
        <v>43785.0</v>
      </c>
      <c r="S153" s="424" t="s">
        <v>41</v>
      </c>
      <c r="T153" s="425">
        <v>43221.0</v>
      </c>
      <c r="U153" s="173" t="s">
        <v>42</v>
      </c>
    </row>
    <row r="154" hidden="1">
      <c r="A154" s="152" t="str">
        <f>HYPERLINK("https://phillipreeve.net/blog/review-samyang-af-2-4-28-fe-at-least-its-small/","Samyang AF 24mm F/2.8")</f>
        <v>Samyang AF 24mm F/2.8</v>
      </c>
      <c r="B154" s="76">
        <v>93.0</v>
      </c>
      <c r="C154" s="122">
        <v>24.0</v>
      </c>
      <c r="D154" s="78">
        <v>2.8</v>
      </c>
      <c r="E154" s="144">
        <v>61.0</v>
      </c>
      <c r="F154" s="374">
        <v>37.0</v>
      </c>
      <c r="G154" s="84" t="s">
        <v>30</v>
      </c>
      <c r="H154" s="82" t="s">
        <v>74</v>
      </c>
      <c r="I154" s="81">
        <v>0.15</v>
      </c>
      <c r="J154" s="129">
        <v>279.0</v>
      </c>
      <c r="K154" s="88" t="str">
        <f>HYPERLINK("https://amzn.to/2NEHZ7c","link*")</f>
        <v>link*</v>
      </c>
      <c r="L154" s="88" t="str">
        <f>HYPERLINK("https://www.bhphotovideo.com/c/product/1413350-REG/samyang_syio24af_e_af_24mm_f_2_8_fe.html/BI/19619/KBID/12129/kw/SASYIO24AFE/DFF/d10-v2-t1-xSASYIO24AFE","link*")</f>
        <v>link*</v>
      </c>
      <c r="M154" s="88" t="str">
        <f>HYPERLINK("https://amzn.to/2Onv1QE","link*")</f>
        <v>link*</v>
      </c>
      <c r="N154"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154" s="83">
        <v>20.0</v>
      </c>
      <c r="P154" s="84" t="s">
        <v>26</v>
      </c>
      <c r="Q154" s="81">
        <v>9.0</v>
      </c>
      <c r="R154" s="128" t="s">
        <v>75</v>
      </c>
      <c r="S154" s="81" t="s">
        <v>46</v>
      </c>
      <c r="T154" s="346"/>
    </row>
    <row r="155" hidden="1">
      <c r="A155" s="152" t="str">
        <f>HYPERLINK("https://phillipreeve.net/blog/review-sony-fe-2-824-70mm-gm/","Sony GM 2.8/24-70")</f>
        <v>Sony GM 2.8/24-70</v>
      </c>
      <c r="B155" s="76">
        <v>886.0</v>
      </c>
      <c r="C155" s="122">
        <v>24.0</v>
      </c>
      <c r="D155" s="78">
        <v>2.8</v>
      </c>
      <c r="E155" s="144">
        <v>88.0</v>
      </c>
      <c r="F155" s="374">
        <v>136.0</v>
      </c>
      <c r="G155" s="84" t="s">
        <v>30</v>
      </c>
      <c r="H155" s="82" t="s">
        <v>51</v>
      </c>
      <c r="I155" s="140">
        <v>0.25</v>
      </c>
      <c r="J155" s="87">
        <v>2199.0</v>
      </c>
      <c r="K155" s="88" t="str">
        <f>HYPERLINK("https://amzn.to/2STHavK","link*")</f>
        <v>link*</v>
      </c>
      <c r="L155" s="88" t="str">
        <f>HYPERLINK("https://www.bhphotovideo.com/c/search?Ntt=gm%2024-70&amp;N=0&amp;InitialSearch=yes&amp;sts=ma&amp;Top+Nav-Search=&amp;BI=19619&amp;KBID=12129&amp;KWID=EZ","link*")</f>
        <v>link*</v>
      </c>
      <c r="M155" s="88" t="str">
        <f>HYPERLINK("https://amzn.to/2ZwoyU7","link*")</f>
        <v>link*</v>
      </c>
      <c r="N155"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155" s="83">
        <v>38.0</v>
      </c>
      <c r="P155" s="84" t="s">
        <v>26</v>
      </c>
      <c r="Q155" s="81">
        <v>11.0</v>
      </c>
      <c r="R155" s="128" t="s">
        <v>44</v>
      </c>
      <c r="S155" s="81" t="s">
        <v>32</v>
      </c>
      <c r="T155" s="81" t="s">
        <v>241</v>
      </c>
    </row>
    <row r="156" hidden="1">
      <c r="A156" s="395" t="s">
        <v>79</v>
      </c>
      <c r="B156" s="76">
        <v>780.0</v>
      </c>
      <c r="C156" s="122">
        <v>24.0</v>
      </c>
      <c r="D156" s="78" t="s">
        <v>80</v>
      </c>
      <c r="E156" s="144">
        <v>80.0</v>
      </c>
      <c r="F156" s="374">
        <v>119.0</v>
      </c>
      <c r="G156" s="84" t="s">
        <v>30</v>
      </c>
      <c r="H156" s="82" t="s">
        <v>48</v>
      </c>
      <c r="I156" s="140">
        <v>0.27</v>
      </c>
      <c r="J156" s="87">
        <v>998.0</v>
      </c>
      <c r="K156" s="88" t="str">
        <f>HYPERLINK("http://amzn.to/2fbX5FU","link*")</f>
        <v>link*</v>
      </c>
      <c r="L156" s="88" t="str">
        <f>HYPERLINK("https://www.bhphotovideo.com/c/search?Ntt=sony%2024-240&amp;N=0&amp;InitialSearch=yes&amp;sts=ma&amp;Top+Nav-Search=&amp;BI=19619&amp;KBID=12129&amp;KWID=EZ","link*")</f>
        <v>link*</v>
      </c>
      <c r="M156" s="88" t="str">
        <f>HYPERLINK("http://amzn.to/2wyrL7A","link*")</f>
        <v>link*</v>
      </c>
      <c r="N156"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156" s="83">
        <v>50.0</v>
      </c>
      <c r="P156" s="154" t="s">
        <v>49</v>
      </c>
      <c r="Q156" s="81">
        <v>7.0</v>
      </c>
      <c r="R156" s="128" t="s">
        <v>81</v>
      </c>
      <c r="S156" s="81" t="s">
        <v>32</v>
      </c>
      <c r="T156" s="81" t="s">
        <v>246</v>
      </c>
    </row>
    <row r="157" hidden="1">
      <c r="A157" s="395" t="s">
        <v>82</v>
      </c>
      <c r="B157" s="76">
        <v>663.0</v>
      </c>
      <c r="C157" s="122">
        <v>24.0</v>
      </c>
      <c r="D157" s="78">
        <v>4.0</v>
      </c>
      <c r="E157" s="144">
        <v>83.0</v>
      </c>
      <c r="F157" s="373">
        <v>113.0</v>
      </c>
      <c r="G157" s="84" t="s">
        <v>30</v>
      </c>
      <c r="H157" s="82" t="s">
        <v>56</v>
      </c>
      <c r="I157" s="140">
        <v>0.31</v>
      </c>
      <c r="J157" s="87">
        <v>1398.0</v>
      </c>
      <c r="K157" s="88" t="str">
        <f>HYPERLINK("https://amzn.to/2K7LwMR","link*")</f>
        <v>link*</v>
      </c>
      <c r="L157" s="88" t="str">
        <f>HYPERLINK("https://www.bhphotovideo.com/c/search?Ntt=sony%2024-105&amp;N=0&amp;InitialSearch=yes&amp;sts=ma&amp;Top+Nav-Search=&amp;BI=19619&amp;KBID=12129&amp;KWID=EZ","link*")</f>
        <v>link*</v>
      </c>
      <c r="M157" s="88" t="str">
        <f>HYPERLINK("https://amzn.to/2Ld8hOS","link*")</f>
        <v>link*</v>
      </c>
      <c r="N157"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157" s="83">
        <v>38.0</v>
      </c>
      <c r="P157" s="154" t="s">
        <v>49</v>
      </c>
      <c r="Q157" s="81">
        <v>9.0</v>
      </c>
      <c r="R157" s="128" t="s">
        <v>35</v>
      </c>
      <c r="S157" s="81" t="s">
        <v>32</v>
      </c>
      <c r="T157" s="81" t="s">
        <v>247</v>
      </c>
    </row>
    <row r="158" hidden="1">
      <c r="A158" s="152" t="str">
        <f>HYPERLINK("https://phillipreeve.net/blog/rolling-review-carl-zeiss-vario-tessar-t-fe-424-70-za/","Sony ZA 4/24-70 OSS")</f>
        <v>Sony ZA 4/24-70 OSS</v>
      </c>
      <c r="B158" s="76">
        <v>426.0</v>
      </c>
      <c r="C158" s="122">
        <v>24.0</v>
      </c>
      <c r="D158" s="78">
        <v>4.0</v>
      </c>
      <c r="E158" s="144">
        <v>73.0</v>
      </c>
      <c r="F158" s="373">
        <v>95.0</v>
      </c>
      <c r="G158" s="84" t="s">
        <v>30</v>
      </c>
      <c r="H158" s="82" t="s">
        <v>53</v>
      </c>
      <c r="I158" s="81">
        <v>0.2</v>
      </c>
      <c r="J158" s="87">
        <v>898.0</v>
      </c>
      <c r="K158" s="88" t="str">
        <f>HYPERLINK("http://amzn.to/2vlG2Yq","link*")</f>
        <v>link*</v>
      </c>
      <c r="L158" s="88" t="str">
        <f>HYPERLINK("https://www.bhphotovideo.com/c/product/1008126-REG/sony_sel2470z_vario_tessar_t_fe_24_70mm.html/BI/19619/KBID/12129/DFF/d10-v21-t1-x466842/SID/EZ","link*")</f>
        <v>link*</v>
      </c>
      <c r="M158" s="88" t="str">
        <f>HYPERLINK("http://amzn.to/2fl1XZk","link*")</f>
        <v>link*</v>
      </c>
      <c r="N158" s="88"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158" s="83">
        <v>40.0</v>
      </c>
      <c r="P158" s="154" t="s">
        <v>49</v>
      </c>
      <c r="Q158" s="81">
        <v>7.0</v>
      </c>
      <c r="R158" s="128" t="s">
        <v>38</v>
      </c>
      <c r="S158" s="81" t="s">
        <v>32</v>
      </c>
      <c r="T158" s="81" t="s">
        <v>248</v>
      </c>
    </row>
    <row r="159" hidden="1">
      <c r="A159" s="152" t="str">
        <f>HYPERLINK("https://phillipreeve.net/blog/review-zeiss-batis-distagon-t-25mm-f2/","Zeiss Batis 2/25")</f>
        <v>Zeiss Batis 2/25</v>
      </c>
      <c r="B159" s="76">
        <v>335.0</v>
      </c>
      <c r="C159" s="122">
        <v>25.0</v>
      </c>
      <c r="D159" s="78">
        <v>2.0</v>
      </c>
      <c r="E159" s="144">
        <v>92.0</v>
      </c>
      <c r="F159" s="373">
        <v>78.0</v>
      </c>
      <c r="G159" s="84" t="s">
        <v>30</v>
      </c>
      <c r="H159" s="82" t="s">
        <v>53</v>
      </c>
      <c r="I159" s="81">
        <v>0.19</v>
      </c>
      <c r="J159" s="87">
        <v>1299.0</v>
      </c>
      <c r="K159" s="88" t="str">
        <f>HYPERLINK("https://amzn.to/2ypHQiT","link*")</f>
        <v>link*</v>
      </c>
      <c r="L159" s="88" t="str">
        <f>HYPERLINK("https://www.bhphotovideo.com/c/product/1140832-REG/zeiss_2103_750_25mm_f_2_0_batis_wide.html/BI/19619/KBID/12129/DFF/d10-v21-t1-x627141/SID/EZ","link*")</f>
        <v>link*</v>
      </c>
      <c r="M159" s="88" t="str">
        <f>HYPERLINK("https://amzn.to/2L20DIj","link*")</f>
        <v>link*</v>
      </c>
      <c r="N159" s="88"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159" s="83">
        <v>20.0</v>
      </c>
      <c r="P159" s="84" t="s">
        <v>26</v>
      </c>
      <c r="Q159" s="81">
        <v>9.0</v>
      </c>
      <c r="R159" s="128" t="s">
        <v>83</v>
      </c>
      <c r="S159" s="81" t="s">
        <v>58</v>
      </c>
      <c r="T159" s="346"/>
    </row>
    <row r="160" hidden="1">
      <c r="A160" s="152" t="str">
        <f>HYPERLINK("https://phillipreeve.net/blog/review-zeiss-loxia-2-4-25mm-distagon/","Zeiss Loxia 2.4/25")</f>
        <v>Zeiss Loxia 2.4/25</v>
      </c>
      <c r="B160" s="76">
        <v>393.0</v>
      </c>
      <c r="C160" s="122">
        <v>25.0</v>
      </c>
      <c r="D160" s="78">
        <v>2.4</v>
      </c>
      <c r="E160" s="144">
        <v>62.0</v>
      </c>
      <c r="F160" s="373">
        <v>75.0</v>
      </c>
      <c r="G160" s="397" t="s">
        <v>24</v>
      </c>
      <c r="H160" s="82" t="s">
        <v>71</v>
      </c>
      <c r="I160" s="81">
        <v>0.16</v>
      </c>
      <c r="J160" s="87">
        <v>1299.0</v>
      </c>
      <c r="K160" s="88" t="str">
        <f>HYPERLINK("https://amzn.to/2OlyeAf","link*")</f>
        <v>link*</v>
      </c>
      <c r="L160" s="88" t="str">
        <f>HYPERLINK("https://www.bhphotovideo.com/c/product/1389169-REG/zeiss_000000_2218_783_loxia_25mm_f_2_4_lens.html/BI/19619/KBID/12129/kw/ZE2524L/DFF/d10-v2-t1-xZE2524L","link*")</f>
        <v>link*</v>
      </c>
      <c r="M160" s="88" t="str">
        <f>HYPERLINK("https://amzn.to/2OlyeAf","link*")</f>
        <v>link*</v>
      </c>
      <c r="N160" s="88"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160" s="83">
        <v>25.0</v>
      </c>
      <c r="P160" s="84" t="s">
        <v>26</v>
      </c>
      <c r="Q160" s="81">
        <v>10.0</v>
      </c>
      <c r="R160" s="128" t="s">
        <v>83</v>
      </c>
      <c r="S160" s="81" t="s">
        <v>58</v>
      </c>
      <c r="T160" s="346"/>
    </row>
    <row r="161">
      <c r="A161" s="438" t="s">
        <v>43</v>
      </c>
      <c r="B161" s="439">
        <v>795.0</v>
      </c>
      <c r="C161" s="433">
        <v>14.0</v>
      </c>
      <c r="D161" s="440">
        <v>2.8</v>
      </c>
      <c r="E161" s="441">
        <v>85.0</v>
      </c>
      <c r="F161" s="442">
        <v>131.0</v>
      </c>
      <c r="G161" s="418" t="s">
        <v>30</v>
      </c>
      <c r="H161" s="419" t="s">
        <v>25</v>
      </c>
      <c r="I161" s="419">
        <v>0.14</v>
      </c>
      <c r="J161" s="420">
        <v>1399.0</v>
      </c>
      <c r="K161" s="421" t="str">
        <f>HYPERLINK("https://amzn.to/2zt8rMC","link*")</f>
        <v>link*</v>
      </c>
      <c r="L161" s="421" t="str">
        <f>HYPERLINK("https://www.bhphotovideo.com/c/product/1492972-REG/sigma_213965_14_24mm_f_2_8_dg_dn.html/BI/19619/KBID/12129/DFF/d10-v21-t1-x976041/SID/EZ","link*")</f>
        <v>link*</v>
      </c>
      <c r="M161" s="424" t="s">
        <v>33</v>
      </c>
      <c r="N161" s="421"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O161" s="422">
        <v>28.0</v>
      </c>
      <c r="P161" s="418" t="s">
        <v>26</v>
      </c>
      <c r="Q161" s="419">
        <v>11.0</v>
      </c>
      <c r="R161" s="423" t="s">
        <v>44</v>
      </c>
      <c r="S161" s="424" t="s">
        <v>41</v>
      </c>
      <c r="T161" s="425">
        <v>43739.0</v>
      </c>
      <c r="U161" s="173" t="s">
        <v>37</v>
      </c>
    </row>
    <row r="162" hidden="1">
      <c r="A162" s="152" t="str">
        <f>HYPERLINK("https://www.systemkamera-forum.de/blog/2015/05/sony-fe-28mm-f2-test-und-erfahrungsbericht/","Sony FE 2/28")</f>
        <v>Sony FE 2/28</v>
      </c>
      <c r="B162" s="76">
        <v>200.0</v>
      </c>
      <c r="C162" s="122">
        <v>28.0</v>
      </c>
      <c r="D162" s="78">
        <v>2.0</v>
      </c>
      <c r="E162" s="144">
        <v>60.0</v>
      </c>
      <c r="F162" s="373">
        <v>60.0</v>
      </c>
      <c r="G162" s="84" t="s">
        <v>30</v>
      </c>
      <c r="H162" s="82" t="s">
        <v>74</v>
      </c>
      <c r="I162" s="81">
        <v>0.13</v>
      </c>
      <c r="J162" s="153">
        <v>448.0</v>
      </c>
      <c r="K162" s="88" t="str">
        <f>HYPERLINK("https://amzn.to/2GXJWdo","link*")</f>
        <v>link*</v>
      </c>
      <c r="L162" s="88" t="str">
        <f>HYPERLINK("https://www.bhphotovideo.com/c/product/1402637-REG/sony_fe_28mm_f_2_lens.html/BI/19619/KBID/12129/kw/SO2820F/DFF/d10-v2-t1-xSO2820F","link*")</f>
        <v>link*</v>
      </c>
      <c r="M162" s="88" t="str">
        <f>HYPERLINK("http://amzn.to/2wyLOCO","link*")</f>
        <v>link*</v>
      </c>
      <c r="N162" s="88"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162" s="83">
        <v>29.0</v>
      </c>
      <c r="P162" s="84" t="s">
        <v>26</v>
      </c>
      <c r="Q162" s="81">
        <v>9.0</v>
      </c>
      <c r="R162" s="128" t="s">
        <v>60</v>
      </c>
      <c r="S162" s="81" t="s">
        <v>32</v>
      </c>
      <c r="T162" s="81" t="s">
        <v>246</v>
      </c>
    </row>
    <row r="163" hidden="1">
      <c r="A163" s="152" t="str">
        <f>HYPERLINK("https://phillipreeve.net/blog/review-tamron-28-75mm-f-2-8-di-iii-rxd-sony-e-mount/","Tamron 2.8/28-75")</f>
        <v>Tamron 2.8/28-75</v>
      </c>
      <c r="B163" s="76">
        <v>550.0</v>
      </c>
      <c r="C163" s="122">
        <v>28.0</v>
      </c>
      <c r="D163" s="78">
        <v>2.8</v>
      </c>
      <c r="E163" s="144">
        <v>73.0</v>
      </c>
      <c r="F163" s="373">
        <v>118.0</v>
      </c>
      <c r="G163" s="84" t="s">
        <v>30</v>
      </c>
      <c r="H163" s="82" t="s">
        <v>53</v>
      </c>
      <c r="I163" s="140">
        <v>0.34</v>
      </c>
      <c r="J163" s="153">
        <v>879.0</v>
      </c>
      <c r="K163" s="88" t="str">
        <f>HYPERLINK("https://amzn.to/2ST5uxq","link*")</f>
        <v>link*</v>
      </c>
      <c r="L163" s="88" t="str">
        <f>HYPERLINK("https://www.bhphotovideo.com/c/product/1393332-REG/tamron_a036_28_75mm_f_2_8_di_iii.html/BI/19619/KBID/12129/DFF/d10-v21-t1-x892059/SID/EZ","link*")</f>
        <v>link*</v>
      </c>
      <c r="M163" s="88" t="str">
        <f>HYPERLINK("https://amzn.to/2ZmSzdU","link*")</f>
        <v>link*</v>
      </c>
      <c r="N163"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163" s="83">
        <v>19.0</v>
      </c>
      <c r="P163" s="84" t="s">
        <v>26</v>
      </c>
      <c r="Q163" s="81">
        <v>9.0</v>
      </c>
      <c r="R163" s="128" t="s">
        <v>85</v>
      </c>
      <c r="S163" s="81" t="s">
        <v>55</v>
      </c>
      <c r="T163" s="346"/>
    </row>
    <row r="164" hidden="1">
      <c r="A164" s="395" t="s">
        <v>88</v>
      </c>
      <c r="B164" s="76">
        <v>295.0</v>
      </c>
      <c r="C164" s="122">
        <v>28.0</v>
      </c>
      <c r="D164" s="78" t="s">
        <v>89</v>
      </c>
      <c r="E164" s="144">
        <v>73.0</v>
      </c>
      <c r="F164" s="373">
        <v>83.0</v>
      </c>
      <c r="G164" s="84" t="s">
        <v>30</v>
      </c>
      <c r="H164" s="82" t="s">
        <v>90</v>
      </c>
      <c r="I164" s="81">
        <v>0.19</v>
      </c>
      <c r="J164" s="87">
        <v>398.0</v>
      </c>
      <c r="K164" s="88" t="str">
        <f>HYPERLINK("https://www.amazon.com/gp/product/B00FYOFADE/ref=as_li_tl?ie=UTF8&amp;tag=wwwphillipree-20&amp;camp=1789&amp;creative=9325&amp;linkCode=as2&amp;creativeASIN=B00FYOFADE&amp;linkId=96720b245156eae53bb1a672d4453d3f","link*")</f>
        <v>link*</v>
      </c>
      <c r="L164" s="88" t="str">
        <f>HYPERLINK("https://www.bhphotovideo.com/c/product/1015472-REG/sony_sel2870_fe_28_70mm_f_3_5_5_6_oss.html/BI/19619/KBID/12129/DFF/d10-v21-t1-x473993/SID/EZ","link*")</f>
        <v>link*</v>
      </c>
      <c r="M164" s="88" t="str">
        <f>HYPERLINK("https://www.amazon.de/gp/product/B00HSHFPD0/ref=as_li_tl?ie=UTF8&amp;tag=wwwphillipree-21&amp;camp=1638&amp;creative=6742&amp;linkCode=as2&amp;creativeASIN=B00HSHFPD0&amp;linkId=6701f30673f8a4071232ca85e1953506","link*")</f>
        <v>link*</v>
      </c>
      <c r="N164"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164" s="83">
        <v>30.0</v>
      </c>
      <c r="P164" s="154" t="s">
        <v>49</v>
      </c>
      <c r="Q164" s="81">
        <v>7.0</v>
      </c>
      <c r="R164" s="128" t="s">
        <v>60</v>
      </c>
      <c r="S164" s="81" t="s">
        <v>32</v>
      </c>
      <c r="T164" s="81" t="s">
        <v>249</v>
      </c>
    </row>
    <row r="165" hidden="1">
      <c r="A165" s="395" t="s">
        <v>91</v>
      </c>
      <c r="B165" s="76">
        <v>1215.0</v>
      </c>
      <c r="C165" s="122">
        <v>28.0</v>
      </c>
      <c r="D165" s="78">
        <v>4.0</v>
      </c>
      <c r="E165" s="144">
        <v>105.0</v>
      </c>
      <c r="F165" s="373">
        <v>165.0</v>
      </c>
      <c r="G165" s="84" t="s">
        <v>30</v>
      </c>
      <c r="H165" s="382" t="s">
        <v>92</v>
      </c>
      <c r="I165" s="346"/>
      <c r="J165" s="87">
        <v>249.0</v>
      </c>
      <c r="K165" s="88" t="str">
        <f>HYPERLINK("http://amzn.to/2v2kiy9","link*")</f>
        <v>link*</v>
      </c>
      <c r="L165" s="88" t="str">
        <f>HYPERLINK("https://www.bhphotovideo.com/c/product/1082051-REG/sony_selp28135g_e_pz_28_135mm_f_4.html/BI/19619/KBID/12129/DFF/d10-v21-t1-x556056/SID/EZ","link*")</f>
        <v>link*</v>
      </c>
      <c r="M165" s="88" t="str">
        <f>HYPERLINK("http://amzn.to/2wlpg9b","link*")</f>
        <v>link*</v>
      </c>
      <c r="N165" s="88"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165" s="83">
        <v>40.0</v>
      </c>
      <c r="P165" s="154" t="s">
        <v>49</v>
      </c>
      <c r="Q165" s="81">
        <v>9.0</v>
      </c>
      <c r="R165" s="128" t="s">
        <v>93</v>
      </c>
      <c r="S165" s="81" t="s">
        <v>32</v>
      </c>
      <c r="T165" s="81" t="s">
        <v>250</v>
      </c>
      <c r="U165" s="68" t="s">
        <v>94</v>
      </c>
    </row>
    <row r="166" hidden="1">
      <c r="A166" s="412" t="s">
        <v>45</v>
      </c>
      <c r="B166" s="413">
        <v>505.0</v>
      </c>
      <c r="C166" s="433">
        <v>14.0</v>
      </c>
      <c r="D166" s="440">
        <v>2.8</v>
      </c>
      <c r="E166" s="443">
        <v>86.0</v>
      </c>
      <c r="F166" s="444">
        <v>98.0</v>
      </c>
      <c r="G166" s="424" t="s">
        <v>30</v>
      </c>
      <c r="H166" s="419" t="s">
        <v>25</v>
      </c>
      <c r="I166" s="419">
        <v>0.12</v>
      </c>
      <c r="J166" s="420">
        <v>799.0</v>
      </c>
      <c r="K166" s="421" t="str">
        <f>HYPERLINK("https://amzn.to/2SX2HUi","link*")</f>
        <v>link*</v>
      </c>
      <c r="L166" s="421" t="str">
        <f>HYPERLINK("https://www.bhphotovideo.com/c/product/1352863-REG/samyang_syio14af_e_14mm_f_2_8_f_f_wide.html/BI/19619/KBID/12129/DFF/d10-v21-t1-x837928/SID/EZ","link*")</f>
        <v>link*</v>
      </c>
      <c r="M166" s="421" t="str">
        <f>HYPERLINK("https://amzn.to/31hwSIL","link*")</f>
        <v>link*</v>
      </c>
      <c r="N166" s="421"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O166" s="422">
        <v>20.0</v>
      </c>
      <c r="P166" s="418" t="s">
        <v>26</v>
      </c>
      <c r="Q166" s="419">
        <v>7.0</v>
      </c>
      <c r="R166" s="437">
        <v>43752.0</v>
      </c>
      <c r="S166" s="424" t="s">
        <v>46</v>
      </c>
      <c r="T166" s="425">
        <v>43221.0</v>
      </c>
      <c r="U166" s="173"/>
    </row>
    <row r="167" hidden="1">
      <c r="A167" s="152" t="str">
        <f>HYPERLINK("https://phillipreeve.net/blog/review-sony-fe-35mm-1-4-za/","Sony ZA 1.4/35")</f>
        <v>Sony ZA 1.4/35</v>
      </c>
      <c r="B167" s="76">
        <v>630.0</v>
      </c>
      <c r="C167" s="122">
        <v>35.0</v>
      </c>
      <c r="D167" s="78">
        <v>1.4</v>
      </c>
      <c r="E167" s="144">
        <v>79.0</v>
      </c>
      <c r="F167" s="373">
        <v>112.0</v>
      </c>
      <c r="G167" s="81" t="s">
        <v>30</v>
      </c>
      <c r="H167" s="82" t="s">
        <v>48</v>
      </c>
      <c r="I167" s="81">
        <v>0.18</v>
      </c>
      <c r="J167" s="87">
        <v>1599.0</v>
      </c>
      <c r="K167" s="88" t="str">
        <f>HYPERLINK("https://amzn.to/2LRSMOS","link*")</f>
        <v>link*</v>
      </c>
      <c r="L167" s="88" t="str">
        <f>HYPERLINK("https://www.bhphotovideo.com/c/product/1126137-REG/sony_sel35f14z_distagon_t_fe_35mm.html/BI/19619/KBID/12129/DFF/d10-v21-t1-x612725/SID/EZ","link*")</f>
        <v>link*</v>
      </c>
      <c r="M167" s="88" t="str">
        <f>HYPERLINK("https://amzn.to/2ZmfSnX","link*")</f>
        <v>link*</v>
      </c>
      <c r="N167" s="88"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167" s="83">
        <v>30.0</v>
      </c>
      <c r="P167" s="84" t="s">
        <v>26</v>
      </c>
      <c r="Q167" s="81">
        <v>9.0</v>
      </c>
      <c r="R167" s="123">
        <v>43689.0</v>
      </c>
      <c r="S167" s="81" t="s">
        <v>32</v>
      </c>
      <c r="T167" s="81" t="s">
        <v>246</v>
      </c>
    </row>
    <row r="168" hidden="1">
      <c r="A168" s="395" t="s">
        <v>226</v>
      </c>
      <c r="B168" s="76">
        <v>645.0</v>
      </c>
      <c r="C168" s="122">
        <v>35.0</v>
      </c>
      <c r="D168" s="78">
        <v>1.4</v>
      </c>
      <c r="E168" s="144">
        <v>76.0</v>
      </c>
      <c r="F168" s="374">
        <v>115.0</v>
      </c>
      <c r="G168" s="81" t="s">
        <v>30</v>
      </c>
      <c r="H168" s="82" t="s">
        <v>53</v>
      </c>
      <c r="I168" s="81">
        <v>0.17</v>
      </c>
      <c r="J168" s="87">
        <v>799.0</v>
      </c>
      <c r="K168" s="88" t="str">
        <f>HYPERLINK("https://amzn.to/2K8DDXH","link*")</f>
        <v>link*</v>
      </c>
      <c r="L168" s="88" t="str">
        <f t="shared" ref="L168:L169" si="4">HYPERLINK("https://www.bhphotovideo.com/c/product/1381712-REG/voigtlander_nokton_classic_35mm_f_1_4.html/BI/19619/KBID/12129/DFF/d10-v21-t1-x877353/SID/EZ","link*")</f>
        <v>link*</v>
      </c>
      <c r="M168" s="88" t="str">
        <f>HYPERLINK("https://amzn.to/2Zhl3FI","link*")</f>
        <v>link*</v>
      </c>
      <c r="N168"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168" s="83">
        <v>30.0</v>
      </c>
      <c r="P168" s="84" t="s">
        <v>26</v>
      </c>
      <c r="Q168" s="81">
        <v>9.0</v>
      </c>
      <c r="R168" s="123">
        <v>43719.0</v>
      </c>
      <c r="S168" s="81" t="s">
        <v>46</v>
      </c>
      <c r="T168" s="346"/>
      <c r="U168" s="68" t="s">
        <v>99</v>
      </c>
    </row>
    <row r="169" hidden="1">
      <c r="A169" s="152" t="str">
        <f>HYPERLINK("https://phillipreeve.net/blog/review-voigtlander-35mm-1-4-nokton-e-classic/","Voigtlander 35mm F1.4 Nokton Classic")</f>
        <v>Voigtlander 35mm F1.4 Nokton Classic</v>
      </c>
      <c r="B169" s="76">
        <v>262.0</v>
      </c>
      <c r="C169" s="122">
        <v>35.0</v>
      </c>
      <c r="D169" s="78">
        <v>1.4</v>
      </c>
      <c r="E169" s="144">
        <v>67.0</v>
      </c>
      <c r="F169" s="374">
        <v>40.0</v>
      </c>
      <c r="G169" s="400" t="s">
        <v>24</v>
      </c>
      <c r="H169" s="82" t="s">
        <v>47</v>
      </c>
      <c r="I169" s="81">
        <v>0.16</v>
      </c>
      <c r="J169" s="87">
        <v>799.0</v>
      </c>
      <c r="K169" s="88" t="str">
        <f>HYPERLINK("https://amzn.to/2M1M8WH","link*")</f>
        <v>link*</v>
      </c>
      <c r="L169" s="88" t="str">
        <f t="shared" si="4"/>
        <v>link*</v>
      </c>
      <c r="M169" s="88" t="str">
        <f>HYPERLINK("https://amzn.to/2ZswTZ3","link*")</f>
        <v>link*</v>
      </c>
      <c r="N169"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169" s="83">
        <v>30.0</v>
      </c>
      <c r="P169" s="84" t="s">
        <v>26</v>
      </c>
      <c r="Q169" s="81">
        <v>10.0</v>
      </c>
      <c r="R169" s="123">
        <v>43624.0</v>
      </c>
      <c r="S169" s="81" t="s">
        <v>28</v>
      </c>
      <c r="T169" s="81" t="s">
        <v>251</v>
      </c>
    </row>
    <row r="170" hidden="1">
      <c r="A170" s="426" t="str">
        <f>HYPERLINK("https://phillipreeve.net/blog/review-voigtlander-15mm-4-5-e-super-wide-heliar/","Voigtlander 15mm F4.5 Super Wide Heliar")</f>
        <v>Voigtlander 15mm F4.5 Super Wide Heliar</v>
      </c>
      <c r="B170" s="427">
        <v>298.0</v>
      </c>
      <c r="C170" s="445">
        <v>15.0</v>
      </c>
      <c r="D170" s="415">
        <v>4.5</v>
      </c>
      <c r="E170" s="428">
        <v>67.0</v>
      </c>
      <c r="F170" s="446">
        <v>62.0</v>
      </c>
      <c r="G170" s="430" t="s">
        <v>24</v>
      </c>
      <c r="H170" s="419" t="s">
        <v>47</v>
      </c>
      <c r="I170" s="419">
        <v>0.083</v>
      </c>
      <c r="J170" s="420">
        <v>799.0</v>
      </c>
      <c r="K170" s="421" t="str">
        <f>HYPERLINK("https://amzn.to/2YwplrQ","link*")</f>
        <v>link*</v>
      </c>
      <c r="L170" s="421" t="str">
        <f>HYPERLINK("https://www.bhphotovideo.com/c/product/1219549-REG/voigtlander_ba329b_super_wide_heliar_15mm_f_4_5.html/BI/19619/KBID/12129/DFF/d10-v21-t1-x618202/SID/EZ","link*")</f>
        <v>link*</v>
      </c>
      <c r="M170" s="421" t="str">
        <f>HYPERLINK("https://amzn.to/2ZpTKt5","link*")</f>
        <v>link*</v>
      </c>
      <c r="N170" s="421"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O170" s="422">
        <v>30.0</v>
      </c>
      <c r="P170" s="418" t="s">
        <v>26</v>
      </c>
      <c r="Q170" s="419">
        <v>10.0</v>
      </c>
      <c r="R170" s="423" t="s">
        <v>38</v>
      </c>
      <c r="S170" s="424" t="s">
        <v>28</v>
      </c>
      <c r="T170" s="425">
        <v>42401.0</v>
      </c>
      <c r="U170" s="173"/>
    </row>
    <row r="171" hidden="1">
      <c r="A171" s="402" t="s">
        <v>227</v>
      </c>
      <c r="B171" s="76">
        <v>280.0</v>
      </c>
      <c r="C171" s="122">
        <v>35.0</v>
      </c>
      <c r="D171" s="78">
        <v>1.8</v>
      </c>
      <c r="E171" s="144">
        <v>66.0</v>
      </c>
      <c r="F171" s="374">
        <v>73.0</v>
      </c>
      <c r="G171" s="81" t="s">
        <v>30</v>
      </c>
      <c r="H171" s="82" t="s">
        <v>90</v>
      </c>
      <c r="I171" s="185">
        <v>0.24</v>
      </c>
      <c r="J171" s="87">
        <v>749.0</v>
      </c>
      <c r="K171" s="89"/>
      <c r="L171" s="88" t="str">
        <f>HYPERLINK("https://www.bhphotovideo.com/c/product/1492866-REG/sony_sel35f18f_35mm_f_1_8_fe_lens.html/BI/19619/KBID/12129/DFF/d10-v21-t1-x975763/SID/EZ","link*")</f>
        <v>link*</v>
      </c>
      <c r="M171" s="88" t="str">
        <f>HYPERLINK("https://amzn.to/2PiATLC","link*")</f>
        <v>link*</v>
      </c>
      <c r="N171"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171" s="83">
        <v>22.0</v>
      </c>
      <c r="P171" s="84" t="s">
        <v>26</v>
      </c>
      <c r="Q171" s="81">
        <v>9.0</v>
      </c>
      <c r="R171" s="123">
        <v>43719.0</v>
      </c>
      <c r="S171" s="81" t="s">
        <v>32</v>
      </c>
      <c r="T171" s="81" t="s">
        <v>243</v>
      </c>
    </row>
    <row r="172" hidden="1">
      <c r="A172" s="152" t="str">
        <f>HYPERLINK("https://phillipreeve.net/blog/review-zeiss-loxia-35mm-2-0/","Zeiss Loxia 2/35 Biogon T*")</f>
        <v>Zeiss Loxia 2/35 Biogon T*</v>
      </c>
      <c r="B172" s="76">
        <v>340.0</v>
      </c>
      <c r="C172" s="122">
        <v>35.0</v>
      </c>
      <c r="D172" s="78">
        <v>2.0</v>
      </c>
      <c r="E172" s="144">
        <v>62.0</v>
      </c>
      <c r="F172" s="373">
        <v>66.0</v>
      </c>
      <c r="G172" s="400" t="s">
        <v>24</v>
      </c>
      <c r="H172" s="82" t="s">
        <v>71</v>
      </c>
      <c r="I172" s="81">
        <v>0.17</v>
      </c>
      <c r="J172" s="87">
        <v>1299.0</v>
      </c>
      <c r="K172" s="88" t="str">
        <f>HYPERLINK("https://amzn.to/2T2sJWe","link*")</f>
        <v>link*</v>
      </c>
      <c r="L172" s="88" t="str">
        <f>HYPERLINK("https://www.bhphotovideo.com/c/product/1080388-REG/zeiss_2103_749_loxia_35mm_f_2_biogon.html/BI/19619/KBID/12129/DFF/d10-v21-t1-x553792/SID/EZ","link*")</f>
        <v>link*</v>
      </c>
      <c r="M172" s="89" t="s">
        <v>33</v>
      </c>
      <c r="N172"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172" s="83">
        <v>30.0</v>
      </c>
      <c r="P172" s="84" t="s">
        <v>26</v>
      </c>
      <c r="Q172" s="81">
        <v>10.0</v>
      </c>
      <c r="R172" s="123">
        <v>43625.0</v>
      </c>
      <c r="S172" s="81" t="s">
        <v>58</v>
      </c>
      <c r="T172" s="346"/>
      <c r="U172" s="68" t="s">
        <v>101</v>
      </c>
    </row>
    <row r="173" hidden="1">
      <c r="A173" s="152" t="str">
        <f>HYPERLINK("http://www.photozone.de/sonyalphaff/865-zeiss35f28ff","Sony ZA 2.8/35")</f>
        <v>Sony ZA 2.8/35</v>
      </c>
      <c r="B173" s="76">
        <v>120.0</v>
      </c>
      <c r="C173" s="122">
        <v>35.0</v>
      </c>
      <c r="D173" s="78">
        <v>2.8</v>
      </c>
      <c r="E173" s="144">
        <v>62.0</v>
      </c>
      <c r="F173" s="373">
        <v>37.0</v>
      </c>
      <c r="G173" s="81" t="s">
        <v>30</v>
      </c>
      <c r="H173" s="82" t="s">
        <v>74</v>
      </c>
      <c r="I173" s="81">
        <v>0.12</v>
      </c>
      <c r="J173" s="87">
        <v>798.0</v>
      </c>
      <c r="K173" s="88" t="str">
        <f>HYPERLINK("https://amzn.to/2yvhL24","link*")</f>
        <v>link*</v>
      </c>
      <c r="L173" s="88" t="str">
        <f>HYPERLINK("https://www.bhphotovideo.com/c/product/1008123-REG/sony_sel35f28z_sonnar_t_fe_35mm.html/BI/19619/KBID/12129/DFF/d10-v21-t1-x466840/SID/EZ","link*")</f>
        <v>link*</v>
      </c>
      <c r="M173" s="89" t="s">
        <v>33</v>
      </c>
      <c r="N173"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173" s="83">
        <v>35.0</v>
      </c>
      <c r="P173" s="84" t="s">
        <v>26</v>
      </c>
      <c r="Q173" s="81">
        <v>9.0</v>
      </c>
      <c r="R173" s="123">
        <v>43592.0</v>
      </c>
      <c r="S173" s="81" t="s">
        <v>32</v>
      </c>
      <c r="T173" s="81" t="s">
        <v>252</v>
      </c>
    </row>
    <row r="174" hidden="1">
      <c r="A174" s="395" t="s">
        <v>102</v>
      </c>
      <c r="B174" s="76">
        <v>86.0</v>
      </c>
      <c r="C174" s="122">
        <v>35.0</v>
      </c>
      <c r="D174" s="78">
        <v>2.8</v>
      </c>
      <c r="E174" s="144">
        <v>62.0</v>
      </c>
      <c r="F174" s="373">
        <v>33.0</v>
      </c>
      <c r="G174" s="81" t="s">
        <v>30</v>
      </c>
      <c r="H174" s="82" t="s">
        <v>74</v>
      </c>
      <c r="I174" s="81">
        <v>0.12</v>
      </c>
      <c r="J174" s="211">
        <v>399.0</v>
      </c>
      <c r="K174" s="88" t="str">
        <f t="shared" ref="K174:K175" si="5">HYPERLINK("https://amzn.to/2MGKrxp","link*")</f>
        <v>link*</v>
      </c>
      <c r="L174" s="88" t="str">
        <f>HYPERLINK("https://www.bhphotovideo.com/c/product/1348365-REG/samyang_syio35af_e_35mm_f2_8_compact_wide.html/BI/19619/KBID/12129/DFF/d10-v21-t1-x832776/SID/EZ","link*")</f>
        <v>link*</v>
      </c>
      <c r="M174" s="89" t="s">
        <v>33</v>
      </c>
      <c r="N174" s="88"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174" s="83">
        <v>35.0</v>
      </c>
      <c r="P174" s="84" t="s">
        <v>26</v>
      </c>
      <c r="Q174" s="81">
        <v>9.0</v>
      </c>
      <c r="R174" s="123">
        <v>43623.0</v>
      </c>
      <c r="S174" s="81" t="s">
        <v>46</v>
      </c>
      <c r="T174" s="81" t="s">
        <v>253</v>
      </c>
    </row>
    <row r="175" hidden="1">
      <c r="A175" s="152" t="str">
        <f>HYPERLINK("https://phillipreeve.net/blog/voigtlander-40mm-f1-2-nokton-aspherical-rolling-review/","Voigtlander 40mm F1.2 Nokton")</f>
        <v>Voigtlander 40mm F1.2 Nokton</v>
      </c>
      <c r="B175" s="76">
        <v>420.0</v>
      </c>
      <c r="C175" s="122">
        <v>40.0</v>
      </c>
      <c r="D175" s="392">
        <v>1.2</v>
      </c>
      <c r="E175" s="144">
        <v>70.0</v>
      </c>
      <c r="F175" s="373">
        <v>59.0</v>
      </c>
      <c r="G175" s="400" t="s">
        <v>24</v>
      </c>
      <c r="H175" s="82" t="s">
        <v>47</v>
      </c>
      <c r="I175" s="81">
        <v>0.16</v>
      </c>
      <c r="J175" s="87">
        <v>1099.0</v>
      </c>
      <c r="K175" s="88" t="str">
        <f t="shared" si="5"/>
        <v>link*</v>
      </c>
      <c r="L175" s="88" t="str">
        <f>HYPERLINK("https://www.bhphotovideo.com/c/product/1362557-REG/voigtlander_nokton_40mm_f_1_2_aspherical.html/BI/19619/KBID/12129/DFF/d10-v21-t1-x851241/SID/EZ","link*")</f>
        <v>link*</v>
      </c>
      <c r="M175" s="89" t="s">
        <v>33</v>
      </c>
      <c r="N175" s="88"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175" s="83">
        <v>35.0</v>
      </c>
      <c r="P175" s="84" t="s">
        <v>26</v>
      </c>
      <c r="Q175" s="81">
        <v>10.0</v>
      </c>
      <c r="R175" s="123">
        <v>43624.0</v>
      </c>
      <c r="S175" s="81" t="s">
        <v>28</v>
      </c>
      <c r="T175" s="81" t="s">
        <v>254</v>
      </c>
    </row>
    <row r="176" hidden="1">
      <c r="A176" s="426" t="str">
        <f>HYPERLINK("https://phillipreeve.net/blog/sony-fe-16-35mm-f4-za-t-review/","Sony ZA 4/16-35 OSS ")</f>
        <v>Sony ZA 4/16-35 OSS </v>
      </c>
      <c r="B176" s="413">
        <v>523.0</v>
      </c>
      <c r="C176" s="447">
        <v>16.0</v>
      </c>
      <c r="D176" s="415">
        <v>4.0</v>
      </c>
      <c r="E176" s="448">
        <v>78.0</v>
      </c>
      <c r="F176" s="444">
        <v>98.0</v>
      </c>
      <c r="G176" s="418" t="s">
        <v>30</v>
      </c>
      <c r="H176" s="419" t="s">
        <v>48</v>
      </c>
      <c r="I176" s="419">
        <v>0.19</v>
      </c>
      <c r="J176" s="420">
        <v>1349.0</v>
      </c>
      <c r="K176" s="421" t="str">
        <f>HYPERLINK("http://amzn.to/2v2sY7q","link*")</f>
        <v>link*</v>
      </c>
      <c r="L176" s="421" t="str">
        <f>HYPERLINK("https://www.bhphotovideo.com/c/product/1380866-REG/sony_16_35mm_f_4_vario_tsr.html/BI/19619/KBID/12129/kw/SO16354F/DFF/d10-v2-t1-xSO16354F","link*")</f>
        <v>link*</v>
      </c>
      <c r="M176" s="421" t="str">
        <f>HYPERLINK("http://amzn.to/2wyMLuP","link*")</f>
        <v>link*</v>
      </c>
      <c r="N176" s="421"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c r="O176" s="422">
        <v>28.0</v>
      </c>
      <c r="P176" s="683" t="s">
        <v>49</v>
      </c>
      <c r="Q176" s="419">
        <v>7.0</v>
      </c>
      <c r="R176" s="423" t="s">
        <v>38</v>
      </c>
      <c r="S176" s="424" t="s">
        <v>32</v>
      </c>
      <c r="T176" s="425">
        <v>41883.0</v>
      </c>
      <c r="U176" s="173"/>
    </row>
    <row r="177" hidden="1">
      <c r="A177" s="152" t="str">
        <f>HYPERLINK("https://phillipreeve.net/blog/review-zeiss-batis-2-40-cf/","Zeiss Batis 2/40 CF T*")</f>
        <v>Zeiss Batis 2/40 CF T*</v>
      </c>
      <c r="B177" s="76">
        <v>361.0</v>
      </c>
      <c r="C177" s="122">
        <v>40.0</v>
      </c>
      <c r="D177" s="78">
        <v>2.0</v>
      </c>
      <c r="E177" s="144">
        <v>91.0</v>
      </c>
      <c r="F177" s="374">
        <v>93.0</v>
      </c>
      <c r="G177" s="81" t="s">
        <v>30</v>
      </c>
      <c r="H177" s="82" t="s">
        <v>53</v>
      </c>
      <c r="I177" s="185">
        <v>0.3</v>
      </c>
      <c r="J177" s="87">
        <v>1299.0</v>
      </c>
      <c r="K177" s="88" t="str">
        <f>HYPERLINK("https://amzn.to/2LUN0MF","link*")</f>
        <v>link*</v>
      </c>
      <c r="L177" s="88" t="str">
        <f>HYPERLINK("https://www.bhphotovideo.com/c/product/1436738-REG/zeiss_000000_2239_137_batis_40mm_f_2_cf.html/BI/19619/KBID/12129/DFF/d10-v21-t1-x915694/SID/EZ","link*")</f>
        <v>link*</v>
      </c>
      <c r="M177" s="89" t="s">
        <v>33</v>
      </c>
      <c r="N177" s="88"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177" s="83">
        <v>24.0</v>
      </c>
      <c r="P177" s="84" t="s">
        <v>26</v>
      </c>
      <c r="Q177" s="81">
        <v>9.0</v>
      </c>
      <c r="R177" s="123">
        <v>43686.0</v>
      </c>
      <c r="S177" s="81" t="s">
        <v>58</v>
      </c>
      <c r="T177" s="346"/>
      <c r="U177" s="68" t="s">
        <v>228</v>
      </c>
    </row>
    <row r="178" hidden="1">
      <c r="A178" s="402" t="s">
        <v>106</v>
      </c>
      <c r="B178" s="76">
        <v>162.0</v>
      </c>
      <c r="C178" s="122">
        <v>45.0</v>
      </c>
      <c r="D178" s="78">
        <v>1.8</v>
      </c>
      <c r="E178" s="144">
        <v>62.0</v>
      </c>
      <c r="F178" s="374">
        <v>56.0</v>
      </c>
      <c r="G178" s="81" t="s">
        <v>30</v>
      </c>
      <c r="H178" s="82" t="s">
        <v>74</v>
      </c>
      <c r="I178" s="81">
        <v>0.12</v>
      </c>
      <c r="J178" s="129">
        <v>399.0</v>
      </c>
      <c r="K178" s="88" t="str">
        <f>HYPERLINK("https://amzn.to/2YC6MST","link*")</f>
        <v>link*</v>
      </c>
      <c r="L178" s="88" t="str">
        <f>HYPERLINK("https://www.bhphotovideo.com/c/product/1478738-REG/samyang_af_45mm_f_1_8_fe.html/BI/19619/KBID/12129/DFF/d10-v21-t1-x964329/SID/EZ","link*")</f>
        <v>link*</v>
      </c>
      <c r="M178" s="89" t="s">
        <v>33</v>
      </c>
      <c r="N178" s="88"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178" s="83">
        <v>45.0</v>
      </c>
      <c r="P178" s="84" t="s">
        <v>26</v>
      </c>
      <c r="Q178" s="81">
        <v>9.0</v>
      </c>
      <c r="R178" s="123">
        <v>43623.0</v>
      </c>
      <c r="S178" s="81" t="s">
        <v>46</v>
      </c>
      <c r="T178" s="346"/>
    </row>
    <row r="179" hidden="1">
      <c r="A179" s="412" t="s">
        <v>50</v>
      </c>
      <c r="B179" s="439">
        <v>680.0</v>
      </c>
      <c r="C179" s="447">
        <v>16.0</v>
      </c>
      <c r="D179" s="440">
        <v>2.8</v>
      </c>
      <c r="E179" s="452">
        <v>89.0</v>
      </c>
      <c r="F179" s="453">
        <v>122.0</v>
      </c>
      <c r="G179" s="418" t="s">
        <v>30</v>
      </c>
      <c r="H179" s="419" t="s">
        <v>51</v>
      </c>
      <c r="I179" s="419">
        <v>0.19</v>
      </c>
      <c r="J179" s="420">
        <v>2199.0</v>
      </c>
      <c r="K179" s="421" t="str">
        <f>HYPERLINK("https://amzn.to/2SR0IRl","link*")</f>
        <v>link*</v>
      </c>
      <c r="L179" s="421" t="str">
        <f>HYPERLINK("https://www.bhphotovideo.com/c/product/1338516-REG/sony_sel1635gm_fe_16_35mm_f_2_8_gm.html/BI/19619/KBID/12129/DFF/d10-v21-t1-x822837/SID/EZ","link*")</f>
        <v>link*</v>
      </c>
      <c r="M179" s="421" t="str">
        <f>HYPERLINK("https://amzn.to/2T1ZxOU","link*")</f>
        <v>link*</v>
      </c>
      <c r="N179" s="421"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O179" s="422">
        <v>28.0</v>
      </c>
      <c r="P179" s="418" t="s">
        <v>26</v>
      </c>
      <c r="Q179" s="419">
        <v>11.0</v>
      </c>
      <c r="R179" s="423" t="s">
        <v>52</v>
      </c>
      <c r="S179" s="424" t="s">
        <v>32</v>
      </c>
      <c r="T179" s="425">
        <v>42856.0</v>
      </c>
      <c r="U179" s="173"/>
    </row>
    <row r="180" hidden="1">
      <c r="A180" s="152" t="str">
        <f>HYPERLINK("https://phillipreeve.net/blog/review-voigtlander-50mm-1-2-nokton-e/","Voigtlander 50mm F1.2 Nokton")</f>
        <v>Voigtlander 50mm F1.2 Nokton</v>
      </c>
      <c r="B180" s="76">
        <v>440.0</v>
      </c>
      <c r="C180" s="122">
        <v>50.0</v>
      </c>
      <c r="D180" s="392">
        <v>1.2</v>
      </c>
      <c r="E180" s="144">
        <v>70.0</v>
      </c>
      <c r="F180" s="373">
        <v>58.0</v>
      </c>
      <c r="G180" s="400" t="s">
        <v>24</v>
      </c>
      <c r="H180" s="82" t="s">
        <v>47</v>
      </c>
      <c r="I180" s="346"/>
      <c r="J180" s="87">
        <v>1099.0</v>
      </c>
      <c r="K180" s="88" t="str">
        <f>HYPERLINK("https://amzn.to/2OAfE7N","link*")</f>
        <v>link*</v>
      </c>
      <c r="L180" s="88" t="str">
        <f>HYPERLINK("https://www.bhphotovideo.com/c/product/1433349-REG/voigtlander_ba348a_nokton_50mm_f_1_2_aspherical.html/BI/19619/KBID/12129/DFF/d10-v21-t1-x915623/SID/EZ","link*")</f>
        <v>link*</v>
      </c>
      <c r="M180" s="89" t="s">
        <v>33</v>
      </c>
      <c r="N180" s="88"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180" s="83">
        <v>45.0</v>
      </c>
      <c r="P180" s="84" t="s">
        <v>26</v>
      </c>
      <c r="Q180" s="81">
        <v>12.0</v>
      </c>
      <c r="R180" s="123">
        <v>43624.0</v>
      </c>
      <c r="S180" s="81" t="s">
        <v>28</v>
      </c>
      <c r="T180" s="81" t="s">
        <v>255</v>
      </c>
    </row>
    <row r="181" hidden="1">
      <c r="A181" s="395" t="s">
        <v>109</v>
      </c>
      <c r="B181" s="76">
        <v>778.0</v>
      </c>
      <c r="C181" s="122">
        <v>50.0</v>
      </c>
      <c r="D181" s="78">
        <v>1.4</v>
      </c>
      <c r="E181" s="144">
        <v>84.0</v>
      </c>
      <c r="F181" s="373">
        <v>108.0</v>
      </c>
      <c r="G181" s="81" t="s">
        <v>30</v>
      </c>
      <c r="H181" s="82" t="s">
        <v>48</v>
      </c>
      <c r="I181" s="81">
        <v>0.15</v>
      </c>
      <c r="J181" s="87">
        <v>1499.0</v>
      </c>
      <c r="K181" s="88" t="str">
        <f>HYPERLINK("https://amzn.to/2K88EL7","link*")</f>
        <v>link*</v>
      </c>
      <c r="L181" s="89" t="s">
        <v>33</v>
      </c>
      <c r="M181" s="89" t="s">
        <v>33</v>
      </c>
      <c r="N181"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181" s="83">
        <v>45.0</v>
      </c>
      <c r="P181" s="84" t="s">
        <v>26</v>
      </c>
      <c r="Q181" s="81">
        <v>11.0</v>
      </c>
      <c r="R181" s="123">
        <v>43720.0</v>
      </c>
      <c r="S181" s="81" t="s">
        <v>32</v>
      </c>
      <c r="T181" s="346"/>
    </row>
    <row r="182" hidden="1">
      <c r="A182" s="455" t="str">
        <f>HYPERLINK("https://phillipreeve.net/blog/review-tamron-17-28mm-f-2-8-di-iii-rxd/","Tamron 17-28mm f/2.8 Di III RXD")</f>
        <v>Tamron 17-28mm f/2.8 Di III RXD</v>
      </c>
      <c r="B182" s="413">
        <v>420.0</v>
      </c>
      <c r="C182" s="456">
        <v>17.0</v>
      </c>
      <c r="D182" s="440">
        <v>2.8</v>
      </c>
      <c r="E182" s="457">
        <v>73.0</v>
      </c>
      <c r="F182" s="458">
        <v>99.0</v>
      </c>
      <c r="G182" s="418" t="s">
        <v>30</v>
      </c>
      <c r="H182" s="419" t="s">
        <v>53</v>
      </c>
      <c r="I182" s="419">
        <v>0.19</v>
      </c>
      <c r="J182" s="459">
        <v>899.0</v>
      </c>
      <c r="K182" s="421" t="str">
        <f>HYPERLINK("https://amzn.to/2Hv3AyB","link*")</f>
        <v>link*</v>
      </c>
      <c r="L182" s="421" t="str">
        <f>HYPERLINK("https://www.bhphotovideo.com/c/product/1461529-REG/tamron_a046_17_28mm_f_2_8_di_iii.html/BI/19619/KBID/12129/DFF/d10-v21-t1-x946694/SID/EZ","link*")</f>
        <v>link*</v>
      </c>
      <c r="M182" s="421" t="str">
        <f>HYPERLINK("https://amzn.to/2YkrkQB","link*")</f>
        <v>link*</v>
      </c>
      <c r="N182" s="421"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O182" s="422">
        <v>19.0</v>
      </c>
      <c r="P182" s="418" t="s">
        <v>26</v>
      </c>
      <c r="Q182" s="419">
        <v>9.0</v>
      </c>
      <c r="R182" s="423" t="s">
        <v>54</v>
      </c>
      <c r="S182" s="424" t="s">
        <v>55</v>
      </c>
      <c r="T182" s="425">
        <v>43647.0</v>
      </c>
      <c r="U182" s="173"/>
    </row>
    <row r="183" hidden="1">
      <c r="A183" s="395" t="s">
        <v>111</v>
      </c>
      <c r="B183" s="76">
        <v>585.0</v>
      </c>
      <c r="C183" s="122">
        <v>50.0</v>
      </c>
      <c r="D183" s="78">
        <v>1.4</v>
      </c>
      <c r="E183" s="144">
        <v>74.0</v>
      </c>
      <c r="F183" s="373">
        <v>98.0</v>
      </c>
      <c r="G183" s="81" t="s">
        <v>30</v>
      </c>
      <c r="H183" s="82" t="s">
        <v>53</v>
      </c>
      <c r="I183" s="81">
        <v>0.15</v>
      </c>
      <c r="J183" s="87">
        <v>699.0</v>
      </c>
      <c r="K183" s="88" t="str">
        <f>HYPERLINK("https://amzn.to/2SY1Pyr","link*")</f>
        <v>link*</v>
      </c>
      <c r="L183" s="88" t="str">
        <f>HYPERLINK("https://www.bhphotovideo.com/c/product/1352862-REG/samyang_syio50af_e_50mm_f_1_4_auto_focus.html/BI/19619/KBID/12129/DFF/d10-v21-t1-x837927/SID/EZ","link*")</f>
        <v>link*</v>
      </c>
      <c r="M183" s="89" t="s">
        <v>33</v>
      </c>
      <c r="N183"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183" s="83">
        <v>45.0</v>
      </c>
      <c r="P183" s="84" t="s">
        <v>26</v>
      </c>
      <c r="Q183" s="81">
        <v>9.0</v>
      </c>
      <c r="R183" s="123">
        <v>43686.0</v>
      </c>
      <c r="S183" s="81" t="s">
        <v>46</v>
      </c>
      <c r="T183" s="346"/>
    </row>
    <row r="184" hidden="1">
      <c r="A184" s="152" t="str">
        <f>HYPERLINK("https://phillipreeve.net/blog/review-sony-fe-1-850/","Sony 50mm F1.8")</f>
        <v>Sony 50mm F1.8</v>
      </c>
      <c r="B184" s="76">
        <v>186.0</v>
      </c>
      <c r="C184" s="122">
        <v>50.0</v>
      </c>
      <c r="D184" s="78">
        <v>1.8</v>
      </c>
      <c r="E184" s="144">
        <v>69.0</v>
      </c>
      <c r="F184" s="373">
        <v>60.0</v>
      </c>
      <c r="G184" s="81" t="s">
        <v>30</v>
      </c>
      <c r="H184" s="82" t="s">
        <v>74</v>
      </c>
      <c r="I184" s="81">
        <v>0.14</v>
      </c>
      <c r="J184" s="153">
        <v>249.0</v>
      </c>
      <c r="K184" s="88" t="str">
        <f>HYPERLINK("http://amzn.to/2v2F5Se","link*")</f>
        <v>link*</v>
      </c>
      <c r="L184" s="88" t="str">
        <f>HYPERLINK("https://www.bhphotovideo.com/c/product/1242613-REG/sony_sel50f18f_fe_50mm_f_1_8_lens.html/BI/19619/KBID/12129/kw/SO5018F/DFF/d10-v2-t1-xSO5018F","link*")</f>
        <v>link*</v>
      </c>
      <c r="M184" s="88" t="str">
        <f>HYPERLINK("http://amzn.to/2wyHB25","link*")</f>
        <v>link*</v>
      </c>
      <c r="N184"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184" s="83">
        <v>45.0</v>
      </c>
      <c r="P184" s="84" t="s">
        <v>26</v>
      </c>
      <c r="Q184" s="81">
        <v>7.0</v>
      </c>
      <c r="R184" s="123">
        <v>43591.0</v>
      </c>
      <c r="S184" s="81" t="s">
        <v>32</v>
      </c>
      <c r="T184" s="81" t="s">
        <v>256</v>
      </c>
    </row>
    <row r="185" hidden="1">
      <c r="A185" s="152" t="str">
        <f>HYPERLINK("https://phillipreeve.net/blog/review-zeiss-loxia-planar-250-t/","Zeiss Loxia 50mm F2")</f>
        <v>Zeiss Loxia 50mm F2</v>
      </c>
      <c r="B185" s="76">
        <v>320.0</v>
      </c>
      <c r="C185" s="122">
        <v>50.0</v>
      </c>
      <c r="D185" s="78">
        <v>2.0</v>
      </c>
      <c r="E185" s="144">
        <v>62.0</v>
      </c>
      <c r="F185" s="373">
        <v>60.0</v>
      </c>
      <c r="G185" s="400" t="s">
        <v>24</v>
      </c>
      <c r="H185" s="82" t="s">
        <v>71</v>
      </c>
      <c r="I185" s="81">
        <v>0.15</v>
      </c>
      <c r="J185" s="87">
        <v>949.0</v>
      </c>
      <c r="K185" s="88" t="str">
        <f>HYPERLINK("http://amzn.to/2faVsIu","link*")</f>
        <v>link*</v>
      </c>
      <c r="L185" s="88" t="str">
        <f>HYPERLINK("https://www.bhphotovideo.com/c/product/1080387-REG/zeiss_2103_748_loxia_50mm_f_2_planar.html/BI/19619/KBID/12129/kw/ZE502LFE/DFF/d10-v2-t1-xZE502LFE","link*")</f>
        <v>link*</v>
      </c>
      <c r="M185" s="88" t="str">
        <f>HYPERLINK("http://amzn.to/2wyJAU4","link*")</f>
        <v>link*</v>
      </c>
      <c r="N185"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185" s="83">
        <v>45.0</v>
      </c>
      <c r="P185" s="84" t="s">
        <v>26</v>
      </c>
      <c r="Q185" s="81">
        <v>10.0</v>
      </c>
      <c r="R185" s="123">
        <v>43561.0</v>
      </c>
      <c r="S185" s="81" t="s">
        <v>58</v>
      </c>
      <c r="T185" s="346"/>
      <c r="U185" s="68" t="s">
        <v>101</v>
      </c>
    </row>
    <row r="186" hidden="1">
      <c r="A186" s="152" t="str">
        <f>HYPERLINK("https://phillipreeve.net/blog/rolling-review-sony-fe-2-850-macro/","Sony 50mm F/2.8 Macro")</f>
        <v>Sony 50mm F/2.8 Macro</v>
      </c>
      <c r="B186" s="76">
        <v>236.0</v>
      </c>
      <c r="C186" s="122">
        <v>50.0</v>
      </c>
      <c r="D186" s="78">
        <v>1.8</v>
      </c>
      <c r="E186" s="144">
        <v>72.0</v>
      </c>
      <c r="F186" s="373">
        <v>71.0</v>
      </c>
      <c r="G186" s="81" t="s">
        <v>30</v>
      </c>
      <c r="H186" s="82" t="s">
        <v>90</v>
      </c>
      <c r="I186" s="259">
        <v>1.0</v>
      </c>
      <c r="J186" s="129">
        <v>499.0</v>
      </c>
      <c r="K186" s="88" t="str">
        <f>HYPERLINK("http://amzn.to/2v2g0qz","link*")</f>
        <v>link*</v>
      </c>
      <c r="L186" s="88" t="str">
        <f>HYPERLINK("https://www.bhphotovideo.com/c/product/1277527-REG/sony_sel50m28_fe_50mm_f_2_8_macro.html/BI/19619/KBID/12129/kw/SO5028FF/DFF/d10-v2-t1-xSO5028FF","link*")</f>
        <v>link*</v>
      </c>
      <c r="M186" s="88" t="str">
        <f>HYPERLINK("http://amzn.to/2vbknRN","link*")</f>
        <v>link*</v>
      </c>
      <c r="N186" s="88"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186" s="83">
        <v>16.0</v>
      </c>
      <c r="P186" s="84" t="s">
        <v>26</v>
      </c>
      <c r="Q186" s="81">
        <v>7.0</v>
      </c>
      <c r="R186" s="123">
        <v>43654.0</v>
      </c>
      <c r="S186" s="81" t="s">
        <v>32</v>
      </c>
      <c r="T186" s="81" t="s">
        <v>314</v>
      </c>
    </row>
    <row r="187" hidden="1">
      <c r="A187" s="152" t="str">
        <f>HYPERLINK("https://phillipreeve.net/blog/sony-fe-1-855-za-sonnar-t-review/","Sony ZA 55mm F1.8 Sonnar")</f>
        <v>Sony ZA 55mm F1.8 Sonnar</v>
      </c>
      <c r="B187" s="76">
        <v>281.0</v>
      </c>
      <c r="C187" s="122">
        <v>55.0</v>
      </c>
      <c r="D187" s="78">
        <v>1.8</v>
      </c>
      <c r="E187" s="144">
        <v>64.0</v>
      </c>
      <c r="F187" s="373">
        <v>71.0</v>
      </c>
      <c r="G187" s="81" t="s">
        <v>30</v>
      </c>
      <c r="H187" s="82" t="s">
        <v>74</v>
      </c>
      <c r="I187" s="81">
        <v>0.14</v>
      </c>
      <c r="J187" s="87">
        <v>999.0</v>
      </c>
      <c r="K187" s="88" t="str">
        <f>HYPERLINK("https://amzn.to/2ywdgEk","link*")</f>
        <v>link*</v>
      </c>
      <c r="L187" s="88" t="str">
        <f>HYPERLINK("https://www.bhphotovideo.com/c/product/1008124-REG/sony_sel55f18z_sonnar_t_fe_55mm.html/BI/19619/KBID/12129/DFF/d10-v21-t1-x466841/SID/EZ","link*")</f>
        <v>link*</v>
      </c>
      <c r="M187" s="89" t="s">
        <v>33</v>
      </c>
      <c r="N187" s="8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187" s="83">
        <v>50.0</v>
      </c>
      <c r="P187" s="84" t="s">
        <v>26</v>
      </c>
      <c r="Q187" s="81">
        <v>9.0</v>
      </c>
      <c r="R187" s="123">
        <v>43592.0</v>
      </c>
      <c r="S187" s="81" t="s">
        <v>32</v>
      </c>
      <c r="T187" s="81" t="s">
        <v>249</v>
      </c>
    </row>
    <row r="188" hidden="1">
      <c r="A188" s="152" t="str">
        <f>HYPERLINK("https://phillipreeve.net/blog/voigtlander-65-f2-apo-macro-review/","Voigtlander Macro 65mm F2 Apo Lanthar")</f>
        <v>Voigtlander Macro 65mm F2 Apo Lanthar</v>
      </c>
      <c r="B188" s="76">
        <v>635.0</v>
      </c>
      <c r="C188" s="122">
        <v>65.0</v>
      </c>
      <c r="D188" s="78">
        <v>2.0</v>
      </c>
      <c r="E188" s="144">
        <v>78.0</v>
      </c>
      <c r="F188" s="373">
        <v>91.0</v>
      </c>
      <c r="G188" s="400" t="s">
        <v>24</v>
      </c>
      <c r="H188" s="82" t="s">
        <v>53</v>
      </c>
      <c r="I188" s="393">
        <v>0.5</v>
      </c>
      <c r="J188" s="87">
        <v>999.0</v>
      </c>
      <c r="K188" s="88" t="str">
        <f>HYPERLINK("https://amzn.to/2LU48SI","link*")</f>
        <v>link*</v>
      </c>
      <c r="L188" s="88" t="str">
        <f>HYPERLINK("https://www.bhphotovideo.com/c/product/1350400-REG/voigtlander_macro_apo_lanthar_65mm_f2.html/BI/19619/KBID/12129/DFF/d10-v21-t1-x835677/SID/EZ","link*")</f>
        <v>link*</v>
      </c>
      <c r="M188" s="89" t="s">
        <v>33</v>
      </c>
      <c r="N188" s="8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188" s="83">
        <v>31.0</v>
      </c>
      <c r="P188" s="84" t="s">
        <v>26</v>
      </c>
      <c r="Q188" s="81">
        <v>10.0</v>
      </c>
      <c r="R188" s="123">
        <v>43687.0</v>
      </c>
      <c r="S188" s="81" t="s">
        <v>28</v>
      </c>
      <c r="T188" s="68" t="s">
        <v>315</v>
      </c>
    </row>
    <row r="189" hidden="1">
      <c r="A189" s="426" t="str">
        <f>HYPERLINK("https://phillipreeve.net/blog/review-zeiss-batis-18mm-2-8/","Zeiss Batis 2.8/18")</f>
        <v>Zeiss Batis 2.8/18</v>
      </c>
      <c r="B189" s="427">
        <v>330.0</v>
      </c>
      <c r="C189" s="460">
        <v>18.0</v>
      </c>
      <c r="D189" s="440">
        <v>2.8</v>
      </c>
      <c r="E189" s="461">
        <v>100.0</v>
      </c>
      <c r="F189" s="462">
        <v>80.0</v>
      </c>
      <c r="G189" s="418" t="s">
        <v>30</v>
      </c>
      <c r="H189" s="419" t="s">
        <v>56</v>
      </c>
      <c r="I189" s="419">
        <v>0.1</v>
      </c>
      <c r="J189" s="420">
        <v>1499.0</v>
      </c>
      <c r="K189" s="421" t="str">
        <f>HYPERLINK("https://amzn.to/2SRFBhL","link*")</f>
        <v>link*</v>
      </c>
      <c r="L189" s="421" t="str">
        <f>HYPERLINK("https://www.bhphotovideo.com/c/product/1243591-REG/zeiss_2136_691_batis_18mm_f_2_8_lens.html/BI/19619/KBID/12129/DFF/d10-v21-t1-x727488/SID/EZ","link*")</f>
        <v>link*</v>
      </c>
      <c r="M189" s="421" t="str">
        <f>HYPERLINK("https://amzn.to/334PqNT","link*")</f>
        <v>link*</v>
      </c>
      <c r="N189" s="421"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c r="O189" s="422">
        <v>25.0</v>
      </c>
      <c r="P189" s="418" t="s">
        <v>26</v>
      </c>
      <c r="Q189" s="419">
        <v>9.0</v>
      </c>
      <c r="R189" s="423" t="s">
        <v>57</v>
      </c>
      <c r="S189" s="424" t="s">
        <v>58</v>
      </c>
      <c r="T189" s="425">
        <v>42491.0</v>
      </c>
      <c r="U189" s="173"/>
    </row>
    <row r="190" hidden="1">
      <c r="A190" s="395" t="s">
        <v>113</v>
      </c>
      <c r="B190" s="76">
        <v>1480.0</v>
      </c>
      <c r="C190" s="122">
        <v>70.0</v>
      </c>
      <c r="D190" s="78">
        <v>2.8</v>
      </c>
      <c r="E190" s="144">
        <v>88.0</v>
      </c>
      <c r="F190" s="373">
        <v>200.0</v>
      </c>
      <c r="G190" s="81" t="s">
        <v>30</v>
      </c>
      <c r="H190" s="82" t="s">
        <v>56</v>
      </c>
      <c r="I190" s="185">
        <v>0.25</v>
      </c>
      <c r="J190" s="87">
        <v>2599.0</v>
      </c>
      <c r="K190" s="88" t="str">
        <f>HYPERLINK("https://amzn.to/2KbaJGn","link*")</f>
        <v>link*</v>
      </c>
      <c r="L190" s="88" t="str">
        <f>HYPERLINK("https://www.bhphotovideo.com/c/product/1222776-REG/sony_sel70200gm_fe_70_200mm_f_2_8_gm.html/BI/19619/KBID/12129/DFF/d10-v21-t1-x746807/SID/EZ","link*")</f>
        <v>link*</v>
      </c>
      <c r="M190" s="89" t="s">
        <v>33</v>
      </c>
      <c r="N190"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190" s="83">
        <v>96.0</v>
      </c>
      <c r="P190" s="154" t="s">
        <v>49</v>
      </c>
      <c r="Q190" s="81">
        <v>11.0</v>
      </c>
      <c r="R190" s="85" t="s">
        <v>114</v>
      </c>
      <c r="S190" s="81" t="s">
        <v>32</v>
      </c>
      <c r="T190" s="81" t="s">
        <v>257</v>
      </c>
    </row>
    <row r="191" hidden="1">
      <c r="A191" s="395" t="s">
        <v>117</v>
      </c>
      <c r="B191" s="76">
        <v>854.0</v>
      </c>
      <c r="C191" s="122">
        <v>70.0</v>
      </c>
      <c r="D191" s="78" t="s">
        <v>118</v>
      </c>
      <c r="E191" s="144">
        <v>84.0</v>
      </c>
      <c r="F191" s="373">
        <v>144.0</v>
      </c>
      <c r="G191" s="81" t="s">
        <v>30</v>
      </c>
      <c r="H191" s="82" t="s">
        <v>48</v>
      </c>
      <c r="I191" s="140">
        <v>0.31</v>
      </c>
      <c r="J191" s="87">
        <v>1198.0</v>
      </c>
      <c r="K191" s="88" t="str">
        <f>HYPERLINK("https://amzn.to/2SVN1Ao","link*")</f>
        <v>link*</v>
      </c>
      <c r="L191" s="88" t="str">
        <f>HYPERLINK("https://www.bhphotovideo.com/c/product/1242614-REG/sony_sel70300g_fe_70_300mm_f_4_5_5_6_g.html/BI/19619/KBID/12129/DFF/d10-v21-t1-x722726/SID/EZ","link*")</f>
        <v>link*</v>
      </c>
      <c r="M191" s="89" t="s">
        <v>33</v>
      </c>
      <c r="N191"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191" s="83">
        <v>90.0</v>
      </c>
      <c r="P191" s="154" t="s">
        <v>49</v>
      </c>
      <c r="Q191" s="81">
        <v>9.0</v>
      </c>
      <c r="R191" s="403"/>
      <c r="S191" s="81" t="s">
        <v>32</v>
      </c>
      <c r="T191" s="81" t="s">
        <v>241</v>
      </c>
    </row>
    <row r="192" hidden="1">
      <c r="A192" s="152" t="str">
        <f>HYPERLINK("https://phillipreeve.net/blog/review-sony-fe-470-200-g-oss/https://phillipreeve.net/blog/review-sony-fe-470-200-g-oss/","Sony G 4/70-200 OSS")</f>
        <v>Sony G 4/70-200 OSS</v>
      </c>
      <c r="B192" s="76">
        <v>840.0</v>
      </c>
      <c r="C192" s="122">
        <v>70.0</v>
      </c>
      <c r="D192" s="78">
        <v>4.0</v>
      </c>
      <c r="E192" s="144">
        <v>80.0</v>
      </c>
      <c r="F192" s="373">
        <v>175.0</v>
      </c>
      <c r="G192" s="81" t="s">
        <v>30</v>
      </c>
      <c r="H192" s="82" t="s">
        <v>48</v>
      </c>
      <c r="I192" s="81">
        <v>0.18</v>
      </c>
      <c r="J192" s="87">
        <v>1498.0</v>
      </c>
      <c r="K192" s="88" t="str">
        <f>HYPERLINK("http://amzn.to/2fbeX3x","link*")</f>
        <v>link*</v>
      </c>
      <c r="L192" s="88" t="str">
        <f>HYPERLINK("https://www.bhphotovideo.com/c/product/1380865-REG/sony_fe_70_200mm_f_4_g.html/BI/19619/KBID/12129/kw/SO702004F/DFF/d10-v2-t1-xSO702004F","link*")</f>
        <v>link*</v>
      </c>
      <c r="M192" s="88" t="str">
        <f>HYPERLINK("http://amzn.to/2vbFQKj","link*")</f>
        <v>link*</v>
      </c>
      <c r="N192" s="88"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192" s="83">
        <v>100.0</v>
      </c>
      <c r="P192" s="154" t="s">
        <v>49</v>
      </c>
      <c r="Q192" s="81">
        <v>9.0</v>
      </c>
      <c r="R192" s="85" t="s">
        <v>121</v>
      </c>
      <c r="S192" s="81" t="s">
        <v>32</v>
      </c>
      <c r="T192" s="81" t="s">
        <v>253</v>
      </c>
    </row>
    <row r="193" hidden="1">
      <c r="A193" s="152" t="str">
        <f>HYPERLINK("https://phillipreeve.net/blog/review-sony-fe-85mm-1-4-gm/","Sony GM 1.4/85")</f>
        <v>Sony GM 1.4/85</v>
      </c>
      <c r="B193" s="76">
        <v>854.0</v>
      </c>
      <c r="C193" s="122">
        <v>85.0</v>
      </c>
      <c r="D193" s="78">
        <v>1.4</v>
      </c>
      <c r="E193" s="144">
        <v>84.0</v>
      </c>
      <c r="F193" s="373">
        <v>108.0</v>
      </c>
      <c r="G193" s="81" t="s">
        <v>30</v>
      </c>
      <c r="H193" s="82" t="s">
        <v>56</v>
      </c>
      <c r="I193" s="81">
        <v>0.12</v>
      </c>
      <c r="J193" s="87">
        <v>1799.0</v>
      </c>
      <c r="K193" s="88" t="str">
        <f>HYPERLINK("https://amzn.to/2SZeKAh","link*")</f>
        <v>link*</v>
      </c>
      <c r="L193" s="88" t="str">
        <f>HYPERLINK("https://www.bhphotovideo.com/c/product/1222775-REG/sony_sel85f14gm_fe_85mm_f_1_4_gm.html/BI/19619/KBID/12129/DFF/d10-v21-t1-x707644/SID/EZ","link*")</f>
        <v>link*</v>
      </c>
      <c r="M193" s="89" t="s">
        <v>33</v>
      </c>
      <c r="N193" s="88"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193" s="83">
        <v>80.0</v>
      </c>
      <c r="P193" s="84" t="s">
        <v>26</v>
      </c>
      <c r="Q193" s="81">
        <v>11.0</v>
      </c>
      <c r="R193" s="123">
        <v>43688.0</v>
      </c>
      <c r="S193" s="81" t="s">
        <v>32</v>
      </c>
      <c r="T193" s="81" t="s">
        <v>253</v>
      </c>
    </row>
    <row r="194" hidden="1">
      <c r="A194" s="438" t="s">
        <v>59</v>
      </c>
      <c r="B194" s="463">
        <v>145.0</v>
      </c>
      <c r="C194" s="460">
        <v>18.0</v>
      </c>
      <c r="D194" s="440">
        <v>2.8</v>
      </c>
      <c r="E194" s="464">
        <v>63.5</v>
      </c>
      <c r="F194" s="465">
        <v>60.5</v>
      </c>
      <c r="G194" s="418" t="s">
        <v>30</v>
      </c>
      <c r="H194" s="419" t="s">
        <v>47</v>
      </c>
      <c r="I194" s="419">
        <v>0.09</v>
      </c>
      <c r="J194" s="420">
        <v>399.0</v>
      </c>
      <c r="K194" s="424"/>
      <c r="L194" s="421" t="str">
        <f>HYPERLINK("https://www.bhphotovideo.com/c/product/1503295-REG/samyang_syio18af_e_af_18mm_f_2_8_fe.html/BI/19619/KBID/12129/DFF/d10-v21-t1-x985623/SID/EZ","link*")</f>
        <v>link*</v>
      </c>
      <c r="M194" s="424"/>
      <c r="N194" s="424"/>
      <c r="O194" s="422">
        <v>25.0</v>
      </c>
      <c r="P194" s="418" t="s">
        <v>26</v>
      </c>
      <c r="Q194" s="419">
        <v>7.0</v>
      </c>
      <c r="R194" s="423" t="s">
        <v>60</v>
      </c>
      <c r="S194" s="424" t="s">
        <v>46</v>
      </c>
      <c r="T194" s="425">
        <v>43723.0</v>
      </c>
      <c r="U194" s="173"/>
    </row>
    <row r="195" hidden="1">
      <c r="A195" s="395" t="s">
        <v>125</v>
      </c>
      <c r="B195" s="76">
        <v>568.0</v>
      </c>
      <c r="C195" s="122">
        <v>85.0</v>
      </c>
      <c r="D195" s="78">
        <v>1.4</v>
      </c>
      <c r="E195" s="144">
        <v>88.0</v>
      </c>
      <c r="F195" s="373">
        <v>100.0</v>
      </c>
      <c r="G195" s="81" t="s">
        <v>30</v>
      </c>
      <c r="H195" s="82" t="s">
        <v>56</v>
      </c>
      <c r="I195" s="81">
        <v>0.11</v>
      </c>
      <c r="J195" s="153">
        <v>699.0</v>
      </c>
      <c r="K195" s="88" t="str">
        <f>HYPERLINK("https://amzn.to/2T0yJ1A","link*")</f>
        <v>link*</v>
      </c>
      <c r="L195" s="88" t="str">
        <f>HYPERLINK("https://www.bhphotovideo.com/c/product/1470654-REG/samyang_syio85af_e_af_85mm_f_1_4_lens.html/BI/19619/KBID/12129/DFF/d10-v21-t1-x955078/SID/EZ","link*")</f>
        <v>link*</v>
      </c>
      <c r="M195" s="89" t="s">
        <v>33</v>
      </c>
      <c r="N195"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195" s="83">
        <v>90.0</v>
      </c>
      <c r="P195" s="84" t="s">
        <v>26</v>
      </c>
      <c r="Q195" s="81">
        <v>9.0</v>
      </c>
      <c r="R195" s="123">
        <v>43688.0</v>
      </c>
      <c r="S195" s="81" t="s">
        <v>32</v>
      </c>
      <c r="T195" s="346"/>
    </row>
    <row r="196" hidden="1">
      <c r="A196" s="152" t="str">
        <f>HYPERLINK("https://phillipreeve.net/blog/review-sony-fe-85-mm-1-8/","Sony FE 85mm f/1.8")</f>
        <v>Sony FE 85mm f/1.8</v>
      </c>
      <c r="B196" s="76">
        <v>371.0</v>
      </c>
      <c r="C196" s="122">
        <v>85.0</v>
      </c>
      <c r="D196" s="78">
        <v>1.8</v>
      </c>
      <c r="E196" s="144">
        <v>77.0</v>
      </c>
      <c r="F196" s="373">
        <v>82.0</v>
      </c>
      <c r="G196" s="81" t="s">
        <v>30</v>
      </c>
      <c r="H196" s="82" t="s">
        <v>53</v>
      </c>
      <c r="I196" s="81">
        <v>0.13</v>
      </c>
      <c r="J196" s="153">
        <v>599.0</v>
      </c>
      <c r="K196" s="88" t="str">
        <f>HYPERLINK("https://amzn.to/2YB4RxU","link*")</f>
        <v>link*</v>
      </c>
      <c r="L196" s="88" t="str">
        <f t="shared" ref="L196:L197" si="6">HYPERLINK("https://www.bhphotovideo.com/c/product/1140833-REG/zeiss_2103_751_85mm_f_1_8_batis_short.html/BI/19619/KBID/12129/DFF/d10-v21-t1-x627139/SID/EZ","link*")</f>
        <v>link*</v>
      </c>
      <c r="M196" s="89" t="s">
        <v>33</v>
      </c>
      <c r="N196"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196" s="83">
        <v>80.0</v>
      </c>
      <c r="P196" s="84" t="s">
        <v>26</v>
      </c>
      <c r="Q196" s="81">
        <v>9.0</v>
      </c>
      <c r="R196" s="123">
        <v>43686.0</v>
      </c>
      <c r="S196" s="81" t="s">
        <v>32</v>
      </c>
      <c r="T196" s="81" t="s">
        <v>258</v>
      </c>
    </row>
    <row r="197" hidden="1">
      <c r="A197" s="152" t="str">
        <f>HYPERLINK("https://phillipreeve.net/blog/zeiss-batis-sonnar-t-85mm-f1-8-a-review/","Zeiss Batis 1.8/85")</f>
        <v>Zeiss Batis 1.8/85</v>
      </c>
      <c r="B197" s="76">
        <v>475.0</v>
      </c>
      <c r="C197" s="122">
        <v>85.0</v>
      </c>
      <c r="D197" s="78">
        <v>1.8</v>
      </c>
      <c r="E197" s="144">
        <v>92.0</v>
      </c>
      <c r="F197" s="373">
        <v>81.0</v>
      </c>
      <c r="G197" s="81" t="s">
        <v>30</v>
      </c>
      <c r="H197" s="82" t="s">
        <v>53</v>
      </c>
      <c r="I197" s="81">
        <v>0.13</v>
      </c>
      <c r="J197" s="87">
        <v>1199.0</v>
      </c>
      <c r="K197" s="88" t="str">
        <f>HYPERLINK("https://amzn.to/2T8oWqt","link*")</f>
        <v>link*</v>
      </c>
      <c r="L197" s="88" t="str">
        <f t="shared" si="6"/>
        <v>link*</v>
      </c>
      <c r="M197" s="89" t="s">
        <v>33</v>
      </c>
      <c r="N197"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197" s="83">
        <v>80.0</v>
      </c>
      <c r="P197" s="154" t="s">
        <v>49</v>
      </c>
      <c r="Q197" s="81">
        <v>9.0</v>
      </c>
      <c r="R197" s="123">
        <v>43688.0</v>
      </c>
      <c r="S197" s="81" t="s">
        <v>58</v>
      </c>
      <c r="T197" s="346"/>
    </row>
    <row r="198" hidden="1">
      <c r="A198" s="395" t="s">
        <v>129</v>
      </c>
      <c r="B198" s="76">
        <v>665.0</v>
      </c>
      <c r="C198" s="122">
        <v>85.0</v>
      </c>
      <c r="D198" s="78">
        <v>1.8</v>
      </c>
      <c r="E198" s="144">
        <v>79.0</v>
      </c>
      <c r="F198" s="373">
        <v>92.0</v>
      </c>
      <c r="G198" s="400" t="s">
        <v>24</v>
      </c>
      <c r="H198" s="82" t="s">
        <v>48</v>
      </c>
      <c r="I198" s="81">
        <v>0.13</v>
      </c>
      <c r="J198" s="87">
        <v>299.0</v>
      </c>
      <c r="K198" s="88" t="str">
        <f>HYPERLINK("https://amzn.to/2LVVOBV","link*")</f>
        <v>link*</v>
      </c>
      <c r="L198" s="88" t="str">
        <f>HYPERLINK("https://www.bhphotovideo.com/c/product/1469189-REG/viltrox_pfu_rbmh_85mm_f1_8_e_mount_85mm_f_1_8_for_sony.html/BI/19619/KBID/12129/DFF/d10-v21-t1-x954301/SID/EZ","link*")</f>
        <v>link*</v>
      </c>
      <c r="M198" s="89" t="s">
        <v>33</v>
      </c>
      <c r="N198"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198" s="83">
        <v>80.0</v>
      </c>
      <c r="P198" s="84" t="s">
        <v>26</v>
      </c>
      <c r="Q198" s="81">
        <v>9.0</v>
      </c>
      <c r="R198" s="123">
        <v>43656.0</v>
      </c>
      <c r="S198" s="81" t="s">
        <v>63</v>
      </c>
      <c r="T198" s="346"/>
      <c r="U198" s="68" t="s">
        <v>236</v>
      </c>
    </row>
    <row r="199" hidden="1">
      <c r="A199" s="395" t="s">
        <v>229</v>
      </c>
      <c r="B199" s="76">
        <v>636.0</v>
      </c>
      <c r="C199" s="122">
        <v>85.0</v>
      </c>
      <c r="D199" s="78">
        <v>1.8</v>
      </c>
      <c r="E199" s="144">
        <v>79.0</v>
      </c>
      <c r="F199" s="373">
        <v>92.0</v>
      </c>
      <c r="G199" s="81" t="s">
        <v>30</v>
      </c>
      <c r="H199" s="82" t="s">
        <v>48</v>
      </c>
      <c r="I199" s="81">
        <v>0.13</v>
      </c>
      <c r="J199" s="87">
        <v>379.0</v>
      </c>
      <c r="K199" s="88" t="str">
        <f>HYPERLINK("https://amzn.to/2SZfd5v","link*")</f>
        <v>link*</v>
      </c>
      <c r="L199" s="88" t="str">
        <f>HYPERLINK("https://www.bhphotovideo.com/c/product/1470585-REG/viltrox_pfu_rbmh_85mm_f1_8_stm_e_mount_85mm_f_1_8_lens_for.html/BI/19619/KBID/12129/DFF/d10-v21-t1-x955239/SID/EZ","link*")</f>
        <v>link*</v>
      </c>
      <c r="M199" s="89" t="s">
        <v>33</v>
      </c>
      <c r="N199"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199" s="83">
        <v>80.0</v>
      </c>
      <c r="P199" s="84" t="s">
        <v>26</v>
      </c>
      <c r="Q199" s="81">
        <v>9.0</v>
      </c>
      <c r="R199" s="123">
        <v>43656.0</v>
      </c>
      <c r="S199" s="81" t="s">
        <v>63</v>
      </c>
      <c r="T199" s="346"/>
    </row>
    <row r="200" hidden="1">
      <c r="A200" s="152" t="str">
        <f>HYPERLINK("https://phillipreeve.net/blog/rolling-review-zeiss-loxia-85mm-2-4/","Zeiss Loxia 2.4/85")</f>
        <v>Zeiss Loxia 2.4/85</v>
      </c>
      <c r="B200" s="76">
        <v>594.0</v>
      </c>
      <c r="C200" s="122">
        <v>85.0</v>
      </c>
      <c r="D200" s="78">
        <v>2.4</v>
      </c>
      <c r="E200" s="144">
        <v>63.0</v>
      </c>
      <c r="F200" s="373">
        <v>95.0</v>
      </c>
      <c r="G200" s="400" t="s">
        <v>24</v>
      </c>
      <c r="H200" s="82" t="s">
        <v>71</v>
      </c>
      <c r="I200" s="81">
        <v>0.14</v>
      </c>
      <c r="J200" s="87">
        <v>1399.0</v>
      </c>
      <c r="K200" s="88" t="str">
        <f>HYPERLINK("https://amzn.to/2SY4PLd","link*")</f>
        <v>link*</v>
      </c>
      <c r="L200" s="88" t="str">
        <f>HYPERLINK("https://www.bhphotovideo.com/c/product/1282150-REG/zeiss_2162_636_loxia_85mm_f_2_4_lens.html/BI/19619/KBID/12129/DFF/d10-v21-t1-x762761/SID/EZ","link*")</f>
        <v>link*</v>
      </c>
      <c r="M200" s="89" t="s">
        <v>33</v>
      </c>
      <c r="N200" s="88"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200" s="83">
        <v>80.0</v>
      </c>
      <c r="P200" s="84" t="s">
        <v>26</v>
      </c>
      <c r="Q200" s="81">
        <v>10.0</v>
      </c>
      <c r="R200" s="123">
        <v>43653.0</v>
      </c>
      <c r="S200" s="81" t="s">
        <v>58</v>
      </c>
      <c r="T200" s="346"/>
    </row>
    <row r="201" hidden="1">
      <c r="A201" s="152" t="str">
        <f>HYPERLINK("https://phillipreeve.net/blog/review-sony-fe-90mm-f2-8-macro-oss-one-of-sonys-finest/","Sony 2.8/90 G OSS")</f>
        <v>Sony 2.8/90 G OSS</v>
      </c>
      <c r="B201" s="76">
        <v>602.0</v>
      </c>
      <c r="C201" s="122">
        <v>90.0</v>
      </c>
      <c r="D201" s="78">
        <v>2.8</v>
      </c>
      <c r="E201" s="144">
        <v>79.0</v>
      </c>
      <c r="F201" s="373">
        <v>131.0</v>
      </c>
      <c r="G201" s="81" t="s">
        <v>30</v>
      </c>
      <c r="H201" s="82" t="s">
        <v>66</v>
      </c>
      <c r="I201" s="259">
        <v>1.0</v>
      </c>
      <c r="J201" s="87">
        <v>1099.0</v>
      </c>
      <c r="K201" s="88" t="str">
        <f>HYPERLINK("http://amzn.to/2fbeX3x","link*")</f>
        <v>link*</v>
      </c>
      <c r="L201" s="88" t="str">
        <f>HYPERLINK("https://www.bhphotovideo.com/c/product/1380868-REG/sony_fe_90mm_f_2_8_macro.html/BI/19619/KBID/12129/kw/SO9028F/DFF/d10-v2-t1-xSO9028F","link*")</f>
        <v>link*</v>
      </c>
      <c r="M201" s="88" t="str">
        <f>HYPERLINK("http://amzn.to/2vvvHcw","link*")</f>
        <v>link*</v>
      </c>
      <c r="N201"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201" s="83">
        <v>28.0</v>
      </c>
      <c r="P201" s="154" t="s">
        <v>49</v>
      </c>
      <c r="Q201" s="81">
        <v>9.0</v>
      </c>
      <c r="R201" s="123">
        <v>43784.0</v>
      </c>
      <c r="S201" s="81" t="s">
        <v>32</v>
      </c>
      <c r="T201" s="81" t="s">
        <v>246</v>
      </c>
    </row>
    <row r="202" hidden="1">
      <c r="A202" s="152" t="str">
        <f>HYPERLINK("https://phillipreeve.net/blog/review-sony-fe-100-f-2-8-stf-gm-oss-lens/","Sony GM 2.8/100 STF OSS")</f>
        <v>Sony GM 2.8/100 STF OSS</v>
      </c>
      <c r="B202" s="76">
        <v>700.0</v>
      </c>
      <c r="C202" s="122">
        <v>100.0</v>
      </c>
      <c r="D202" s="78">
        <v>2.8</v>
      </c>
      <c r="E202" s="144">
        <v>85.0</v>
      </c>
      <c r="F202" s="373">
        <v>118.0</v>
      </c>
      <c r="G202" s="81" t="s">
        <v>30</v>
      </c>
      <c r="H202" s="82" t="s">
        <v>48</v>
      </c>
      <c r="I202" s="185">
        <v>0.25</v>
      </c>
      <c r="J202" s="87">
        <v>1499.0</v>
      </c>
      <c r="K202" s="88" t="str">
        <f>HYPERLINK("https://amzn.to/2YD8rn4","link*")</f>
        <v>link*</v>
      </c>
      <c r="L202" s="88" t="str">
        <f>HYPERLINK("https://www.bhphotovideo.com/c/product/1317561-REG/sony_sel100f28gm_fe_100mm_f_2_8_stf.html/BI/19619/KBID/12129/DFF/d10-v21-t1-x795192/SID/EZ","link*")</f>
        <v>link*</v>
      </c>
      <c r="M202" s="89" t="s">
        <v>33</v>
      </c>
      <c r="N202" s="88"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202" s="83">
        <v>57.0</v>
      </c>
      <c r="P202" s="154" t="s">
        <v>49</v>
      </c>
      <c r="Q202" s="81">
        <v>11.0</v>
      </c>
      <c r="R202" s="123">
        <v>43752.0</v>
      </c>
      <c r="S202" s="81" t="s">
        <v>32</v>
      </c>
      <c r="T202" s="81" t="s">
        <v>258</v>
      </c>
      <c r="U202" s="68" t="s">
        <v>132</v>
      </c>
    </row>
    <row r="203" hidden="1">
      <c r="A203" s="152" t="str">
        <f>HYPERLINK("https://phillipreeve.net/blog/review-tokina-firin-100mm-f2-8-fe-macro/","Tokina Firin 2.8/100 Macro")</f>
        <v>Tokina Firin 2.8/100 Macro</v>
      </c>
      <c r="B203" s="76">
        <v>570.0</v>
      </c>
      <c r="C203" s="122">
        <v>100.0</v>
      </c>
      <c r="D203" s="78">
        <v>2.8</v>
      </c>
      <c r="E203" s="144">
        <v>74.0</v>
      </c>
      <c r="F203" s="374">
        <v>123.0</v>
      </c>
      <c r="G203" s="81" t="s">
        <v>30</v>
      </c>
      <c r="H203" s="82" t="s">
        <v>90</v>
      </c>
      <c r="I203" s="259">
        <v>1.0</v>
      </c>
      <c r="J203" s="129">
        <v>599.0</v>
      </c>
      <c r="K203" s="88" t="str">
        <f>HYPERLINK("http://amzn.to/2fbeX3x","link*")</f>
        <v>link*</v>
      </c>
      <c r="L203" s="88" t="str">
        <f>HYPERLINK("https://www.bhphotovideo.com/c/product/1473390-REG/tokina_frn_afm100fxse_firin_100mm_f_2_8_fe.html/BI/19619/KBID/12129/kw/TO100AF/DFF/d10-v2-t1-xTO100AF","link*")</f>
        <v>link*</v>
      </c>
      <c r="M203"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203" s="8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203" s="83">
        <v>30.0</v>
      </c>
      <c r="P203" s="84" t="s">
        <v>26</v>
      </c>
      <c r="Q203" s="81">
        <v>9.0</v>
      </c>
      <c r="R203" s="123">
        <v>43686.0</v>
      </c>
      <c r="S203" s="81" t="s">
        <v>67</v>
      </c>
      <c r="T203" s="81" t="s">
        <v>244</v>
      </c>
      <c r="U203" s="68" t="s">
        <v>42</v>
      </c>
    </row>
    <row r="204" hidden="1">
      <c r="A204" s="395" t="s">
        <v>135</v>
      </c>
      <c r="B204" s="76">
        <v>1395.0</v>
      </c>
      <c r="C204" s="122">
        <v>100.0</v>
      </c>
      <c r="D204" s="78" t="s">
        <v>118</v>
      </c>
      <c r="E204" s="144">
        <v>94.0</v>
      </c>
      <c r="F204" s="374">
        <v>205.0</v>
      </c>
      <c r="G204" s="81" t="s">
        <v>30</v>
      </c>
      <c r="H204" s="82" t="s">
        <v>56</v>
      </c>
      <c r="I204" s="185">
        <v>0.35</v>
      </c>
      <c r="J204" s="87">
        <v>2499.0</v>
      </c>
      <c r="K204" s="88" t="str">
        <f>HYPERLINK("https://amzn.to/2SZ0aZO","link*")</f>
        <v>link*</v>
      </c>
      <c r="L204" s="88" t="str">
        <f>HYPERLINK("https://www.bhphotovideo.com/c/product/1333230-REG/sony_sel100400gm_fe_100_400mm_f_4_5_5_6_gm.html/BI/19619/KBID/12129/DFF/d10-v21-t1-x817745/SID/EZ","link*")</f>
        <v>link*</v>
      </c>
      <c r="M204" s="89" t="s">
        <v>33</v>
      </c>
      <c r="N204" s="88"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204" s="83">
        <v>98.0</v>
      </c>
      <c r="P204" s="154" t="s">
        <v>49</v>
      </c>
      <c r="Q204" s="81">
        <v>11.0</v>
      </c>
      <c r="R204" s="85" t="s">
        <v>134</v>
      </c>
      <c r="S204" s="81" t="s">
        <v>32</v>
      </c>
      <c r="T204" s="81" t="s">
        <v>259</v>
      </c>
    </row>
    <row r="205">
      <c r="A205" s="412" t="s">
        <v>61</v>
      </c>
      <c r="B205" s="432">
        <v>950.0</v>
      </c>
      <c r="C205" s="467">
        <v>20.0</v>
      </c>
      <c r="D205" s="468">
        <v>1.4</v>
      </c>
      <c r="E205" s="469">
        <v>91.0</v>
      </c>
      <c r="F205" s="470">
        <v>130.0</v>
      </c>
      <c r="G205" s="424" t="s">
        <v>30</v>
      </c>
      <c r="H205" s="419" t="s">
        <v>25</v>
      </c>
      <c r="I205" s="419">
        <v>0.14</v>
      </c>
      <c r="J205" s="420">
        <v>899.0</v>
      </c>
      <c r="K205" s="421" t="str">
        <f>HYPERLINK("https://amzn.to/2K4J7nh","link*")</f>
        <v>link*</v>
      </c>
      <c r="L205" s="421" t="str">
        <f>HYPERLINK("https://amzn.to/31hxv55","link*")</f>
        <v>link*</v>
      </c>
      <c r="M205" s="421" t="str">
        <f>HYPERLINK("https://amzn.to/2Wy0d3F","link*")</f>
        <v>link*</v>
      </c>
      <c r="N205" s="421"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O205" s="422">
        <v>28.0</v>
      </c>
      <c r="P205" s="418" t="s">
        <v>26</v>
      </c>
      <c r="Q205" s="419">
        <v>9.0</v>
      </c>
      <c r="R205" s="437">
        <v>43784.0</v>
      </c>
      <c r="S205" s="424" t="s">
        <v>41</v>
      </c>
      <c r="T205" s="425">
        <v>43221.0</v>
      </c>
      <c r="U205" s="173" t="s">
        <v>42</v>
      </c>
    </row>
    <row r="206" hidden="1">
      <c r="A206" s="152" t="str">
        <f>HYPERLINK("https://phillipreeve.net/blog/voigtlander-110mm-f2-5-apo-review/","Voigtlander 110mm F2.5 APO Macro")</f>
        <v>Voigtlander 110mm F2.5 APO Macro</v>
      </c>
      <c r="B206" s="76">
        <v>771.0</v>
      </c>
      <c r="C206" s="122">
        <v>110.0</v>
      </c>
      <c r="D206" s="78">
        <v>2.5</v>
      </c>
      <c r="E206" s="144">
        <v>78.0</v>
      </c>
      <c r="F206" s="373">
        <v>100.0</v>
      </c>
      <c r="G206" s="400" t="s">
        <v>24</v>
      </c>
      <c r="H206" s="82" t="s">
        <v>47</v>
      </c>
      <c r="I206" s="259">
        <v>1.0</v>
      </c>
      <c r="J206" s="87">
        <v>1099.0</v>
      </c>
      <c r="K206" s="88" t="str">
        <f>HYPERLINK("https://amzn.to/2SXYsrm","link*")</f>
        <v>link*</v>
      </c>
      <c r="L206" s="88" t="str">
        <f>HYPERLINK("https://www.bhphotovideo.com/c/product/1418780-REG/voigtlander_ba349a_macro_apo_lanthar_110mm_f_2_5.html/BI/19619/KBID/12129/kw/VO11025/DFF/d10-v2-t1-xVO11025","link*")</f>
        <v>link*</v>
      </c>
      <c r="M206" s="89" t="s">
        <v>33</v>
      </c>
      <c r="N206" s="8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206" s="83">
        <v>35.0</v>
      </c>
      <c r="P206" s="84" t="s">
        <v>26</v>
      </c>
      <c r="Q206" s="81">
        <v>10.0</v>
      </c>
      <c r="R206" s="123">
        <v>43813.0</v>
      </c>
      <c r="S206" s="81" t="s">
        <v>28</v>
      </c>
      <c r="T206" s="81" t="s">
        <v>316</v>
      </c>
    </row>
    <row r="207" hidden="1">
      <c r="A207" s="152" t="str">
        <f>HYPERLINK("https://phillipreeve.net/blog/review-sony-fe-135mm-f1-8-gm/","Sony 1.8/135 GM")</f>
        <v>Sony 1.8/135 GM</v>
      </c>
      <c r="B207" s="76">
        <v>950.0</v>
      </c>
      <c r="C207" s="122">
        <v>135.0</v>
      </c>
      <c r="D207" s="78">
        <v>1.8</v>
      </c>
      <c r="E207" s="144">
        <v>90.0</v>
      </c>
      <c r="F207" s="373">
        <v>127.0</v>
      </c>
      <c r="G207" s="81" t="s">
        <v>30</v>
      </c>
      <c r="H207" s="270" t="s">
        <v>51</v>
      </c>
      <c r="I207" s="185">
        <v>0.25</v>
      </c>
      <c r="J207" s="87">
        <v>1899.0</v>
      </c>
      <c r="K207" s="88" t="str">
        <f>HYPERLINK("https://amzn.to/2WtonMJ","link*")</f>
        <v>link*</v>
      </c>
      <c r="L207" s="88" t="str">
        <f>HYPERLINK("https://www.bhphotovideo.com/c/product/1393495-REG/sigma_135mm_f_1_8_dg_hsm.html/BI/19619/KBID/12129/kw/SI13518SO/DFF/d10-v2-t1-xSI13518SO","link*")</f>
        <v>link*</v>
      </c>
      <c r="M207" s="88" t="str">
        <f>HYPERLINK("https://amzn.to/2Z9KKDE","link*")</f>
        <v>link*</v>
      </c>
      <c r="N207" s="88"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207" s="83">
        <v>70.0</v>
      </c>
      <c r="P207" s="84" t="s">
        <v>26</v>
      </c>
      <c r="Q207" s="81">
        <v>11.0</v>
      </c>
      <c r="R207" s="123">
        <v>43751.0</v>
      </c>
      <c r="S207" s="81" t="s">
        <v>32</v>
      </c>
      <c r="T207" s="346"/>
    </row>
    <row r="208" hidden="1">
      <c r="A208" s="471" t="s">
        <v>62</v>
      </c>
      <c r="B208" s="439">
        <v>775.0</v>
      </c>
      <c r="C208" s="467">
        <v>20.0</v>
      </c>
      <c r="D208" s="434">
        <v>1.8</v>
      </c>
      <c r="E208" s="472">
        <v>77.0</v>
      </c>
      <c r="F208" s="473">
        <v>102.0</v>
      </c>
      <c r="G208" s="474" t="s">
        <v>24</v>
      </c>
      <c r="H208" s="419" t="s">
        <v>51</v>
      </c>
      <c r="I208" s="419">
        <v>0.12</v>
      </c>
      <c r="J208" s="420">
        <v>486.0</v>
      </c>
      <c r="K208" s="421" t="str">
        <f>HYPERLINK("https://amzn.to/2LRRbJ5","link*")</f>
        <v>link*</v>
      </c>
      <c r="L208" s="421" t="str">
        <f>HYPERLINK("https://www.bhphotovideo.com/c/product/1469187-REG/viltrox_pfu_rbmh_20mm_f1_8_asph_e_mount_20mm_f_1_8_for_sony.html/BI/19619/KBID/12129/DFF/d10-v21-t1-x954299/SID/EZ","link*")</f>
        <v>link*</v>
      </c>
      <c r="M208" s="421" t="str">
        <f>HYPERLINK("https://amzn.to/2GL8iYV","link*")</f>
        <v>link*</v>
      </c>
      <c r="N208" s="421"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c r="O208" s="422">
        <v>25.0</v>
      </c>
      <c r="P208" s="418" t="s">
        <v>26</v>
      </c>
      <c r="Q208" s="419">
        <v>14.0</v>
      </c>
      <c r="R208" s="437">
        <v>43720.0</v>
      </c>
      <c r="S208" s="424" t="s">
        <v>63</v>
      </c>
      <c r="T208" s="425">
        <v>43586.0</v>
      </c>
      <c r="U208" s="173"/>
    </row>
    <row r="209" hidden="1">
      <c r="A209" s="152" t="str">
        <f>HYPERLINK("https://phillipreeve.net/blog/zeiss-batis-apo-sonnar-t-135mm-f2-8/","Zeiss 2.8/135 APO")</f>
        <v>Zeiss 2.8/135 APO</v>
      </c>
      <c r="B209" s="76">
        <v>614.0</v>
      </c>
      <c r="C209" s="122">
        <v>135.0</v>
      </c>
      <c r="D209" s="78">
        <v>2.8</v>
      </c>
      <c r="E209" s="144">
        <v>99.0</v>
      </c>
      <c r="F209" s="373">
        <v>120.0</v>
      </c>
      <c r="G209" s="81" t="s">
        <v>30</v>
      </c>
      <c r="H209" s="82" t="s">
        <v>53</v>
      </c>
      <c r="I209" s="81">
        <v>0.19</v>
      </c>
      <c r="J209" s="87">
        <v>1699.0</v>
      </c>
      <c r="K209" s="88" t="str">
        <f>HYPERLINK("https://amzn.to/319GJA4","link*")</f>
        <v>link*</v>
      </c>
      <c r="L209" s="88" t="str">
        <f>HYPERLINK("https://www.bhphotovideo.com/c/product/1330083-REG/zeiss_2136_695_batis_135mm_f_2_8_lens.html/BI/19619/KBID/12129/DFF/d10-v21-t1-x814884/SID/EZ","link*")</f>
        <v>link*</v>
      </c>
      <c r="M209" s="89" t="s">
        <v>33</v>
      </c>
      <c r="N209" s="88"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209" s="83">
        <v>87.0</v>
      </c>
      <c r="P209" s="154" t="s">
        <v>49</v>
      </c>
      <c r="Q209" s="81">
        <v>9.0</v>
      </c>
      <c r="R209" s="123">
        <v>43783.0</v>
      </c>
      <c r="S209" s="81" t="s">
        <v>58</v>
      </c>
      <c r="T209" s="346"/>
    </row>
    <row r="210" hidden="1">
      <c r="A210" s="402" t="s">
        <v>144</v>
      </c>
      <c r="B210" s="76">
        <v>2215.0</v>
      </c>
      <c r="C210" s="122">
        <v>200.0</v>
      </c>
      <c r="D210" s="78" t="s">
        <v>145</v>
      </c>
      <c r="E210" s="144">
        <v>112.0</v>
      </c>
      <c r="F210" s="373">
        <v>318.0</v>
      </c>
      <c r="G210" s="81" t="s">
        <v>30</v>
      </c>
      <c r="H210" s="198" t="s">
        <v>92</v>
      </c>
      <c r="I210" s="393">
        <v>0.66</v>
      </c>
      <c r="J210" s="87">
        <v>1999.0</v>
      </c>
      <c r="K210" s="89"/>
      <c r="L210" s="88" t="str">
        <f>HYPERLINK("https://www.bhphotovideo.com/c/product/1485540-REG/sony_sel200600g_fe_200_600mm_f_5_6_6_3_g.html/BI/19619/KBID/12129/DFF/d10-v21-t1-x968882/SID/EZ","link*")</f>
        <v>link*</v>
      </c>
      <c r="M210" s="89" t="s">
        <v>33</v>
      </c>
      <c r="N210" s="8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210" s="83">
        <v>240.0</v>
      </c>
      <c r="P210" s="154" t="s">
        <v>49</v>
      </c>
      <c r="Q210" s="81">
        <v>11.0</v>
      </c>
      <c r="R210" s="85" t="s">
        <v>146</v>
      </c>
      <c r="S210" s="81" t="s">
        <v>32</v>
      </c>
      <c r="T210" s="81" t="s">
        <v>243</v>
      </c>
    </row>
    <row r="211" hidden="1">
      <c r="A211" s="395" t="s">
        <v>147</v>
      </c>
      <c r="B211" s="76">
        <v>2895.0</v>
      </c>
      <c r="C211" s="122">
        <v>400.0</v>
      </c>
      <c r="D211" s="78">
        <v>2.8</v>
      </c>
      <c r="E211" s="144">
        <v>158.0</v>
      </c>
      <c r="F211" s="373">
        <v>359.0</v>
      </c>
      <c r="G211" s="81" t="s">
        <v>30</v>
      </c>
      <c r="H211" s="82" t="s">
        <v>148</v>
      </c>
      <c r="I211" s="393">
        <v>0.52</v>
      </c>
      <c r="J211" s="87">
        <v>11999.0</v>
      </c>
      <c r="K211" s="89"/>
      <c r="L211" s="88" t="str">
        <f>HYPERLINK("https://www.bhphotovideo.com/c/product/1369634-REG/sony_fe_400mm_f_2_8_gm.html/BI/19619/KBID/12129/DFF/d10-v21-t1-x905722/SID/EZ","link*")</f>
        <v>link*</v>
      </c>
      <c r="M211" s="89" t="s">
        <v>33</v>
      </c>
      <c r="N211" s="8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211" s="83">
        <v>270.0</v>
      </c>
      <c r="P211" s="154" t="s">
        <v>49</v>
      </c>
      <c r="Q211" s="81">
        <v>11.0</v>
      </c>
      <c r="R211" s="85" t="s">
        <v>149</v>
      </c>
      <c r="S211" s="81" t="s">
        <v>32</v>
      </c>
      <c r="T211" s="81" t="s">
        <v>240</v>
      </c>
    </row>
    <row r="212" hidden="1">
      <c r="A212" s="450" t="s">
        <v>150</v>
      </c>
      <c r="B212" s="213">
        <v>3040.0</v>
      </c>
      <c r="C212" s="451">
        <v>600.0</v>
      </c>
      <c r="D212" s="215">
        <v>4.0</v>
      </c>
      <c r="E212" s="144">
        <v>164.0</v>
      </c>
      <c r="F212" s="373">
        <v>449.0</v>
      </c>
      <c r="G212" s="218" t="s">
        <v>30</v>
      </c>
      <c r="H212" s="219" t="s">
        <v>25</v>
      </c>
      <c r="I212" s="218">
        <v>0.14</v>
      </c>
      <c r="J212" s="141" t="s">
        <v>230</v>
      </c>
      <c r="K212" s="89"/>
      <c r="L212" s="88" t="str">
        <f>HYPERLINK("https://www.bhphotovideo.com/c/product/1485539-REG/sony_sel600f40gm_fe_600mm_f_4_gm.html/BI/19619/KBID/12129/DFF/d10-v21-t1-x968881/SID/EZ","link*")</f>
        <v>link*</v>
      </c>
      <c r="M212" s="89" t="s">
        <v>33</v>
      </c>
      <c r="N212" s="88"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212" s="221">
        <v>451.0</v>
      </c>
      <c r="P212" s="154" t="s">
        <v>49</v>
      </c>
      <c r="Q212" s="218">
        <v>11.0</v>
      </c>
      <c r="R212" s="262" t="s">
        <v>151</v>
      </c>
      <c r="S212" s="218" t="s">
        <v>32</v>
      </c>
      <c r="T212" s="218" t="s">
        <v>260</v>
      </c>
    </row>
    <row r="213" hidden="1">
      <c r="A213" s="275"/>
      <c r="B213" s="276"/>
      <c r="C213" s="277"/>
      <c r="D213" s="278"/>
      <c r="E213" s="144"/>
      <c r="F213" s="373"/>
      <c r="G213" s="68"/>
      <c r="H213" s="279"/>
      <c r="I213" s="68"/>
      <c r="J213" s="282"/>
      <c r="K213" s="283"/>
      <c r="L213" s="283"/>
      <c r="M213" s="283"/>
      <c r="N213" s="283"/>
      <c r="O213" s="280"/>
      <c r="P213" s="68"/>
      <c r="Q213" s="68"/>
      <c r="R213" s="68"/>
      <c r="S213" s="68"/>
      <c r="T213" s="68"/>
    </row>
    <row r="214" hidden="1">
      <c r="A214" s="275"/>
      <c r="B214" s="276"/>
      <c r="C214" s="277"/>
      <c r="D214" s="278"/>
      <c r="E214" s="144"/>
      <c r="F214" s="373"/>
      <c r="G214" s="68"/>
      <c r="H214" s="279"/>
      <c r="I214" s="68"/>
      <c r="J214" s="282"/>
      <c r="K214" s="283"/>
      <c r="L214" s="283"/>
      <c r="M214" s="283"/>
      <c r="N214" s="283"/>
      <c r="O214" s="280"/>
      <c r="P214" s="68"/>
      <c r="Q214" s="68"/>
      <c r="R214" s="68"/>
      <c r="S214" s="68"/>
      <c r="T214" s="68"/>
    </row>
    <row r="215" hidden="1">
      <c r="A215" s="275"/>
      <c r="B215" s="276"/>
      <c r="C215" s="277"/>
      <c r="D215" s="278"/>
      <c r="E215" s="144"/>
      <c r="F215" s="373"/>
      <c r="G215" s="68"/>
      <c r="H215" s="279"/>
      <c r="I215" s="68"/>
      <c r="J215" s="282"/>
      <c r="K215" s="283"/>
      <c r="L215" s="283"/>
      <c r="M215" s="283"/>
      <c r="N215" s="283"/>
      <c r="O215" s="280"/>
      <c r="P215" s="68"/>
      <c r="Q215" s="68"/>
      <c r="R215" s="68"/>
      <c r="S215" s="68"/>
      <c r="T215" s="68"/>
    </row>
    <row r="216" hidden="1">
      <c r="A216" s="275"/>
      <c r="B216" s="276"/>
      <c r="C216" s="277"/>
      <c r="D216" s="278"/>
      <c r="E216" s="144"/>
      <c r="F216" s="373"/>
      <c r="G216" s="68"/>
      <c r="H216" s="279"/>
      <c r="I216" s="68"/>
      <c r="J216" s="282"/>
      <c r="K216" s="283"/>
      <c r="L216" s="283"/>
      <c r="M216" s="283"/>
      <c r="N216" s="283"/>
      <c r="O216" s="280"/>
      <c r="P216" s="68"/>
      <c r="Q216" s="68"/>
      <c r="R216" s="68"/>
      <c r="S216" s="68"/>
      <c r="T216" s="68"/>
    </row>
    <row r="217" hidden="1">
      <c r="A217" s="275"/>
      <c r="B217" s="276"/>
      <c r="C217" s="277"/>
      <c r="D217" s="278"/>
      <c r="E217" s="144"/>
      <c r="F217" s="374"/>
      <c r="G217" s="68"/>
      <c r="H217" s="279"/>
      <c r="I217" s="68"/>
      <c r="J217" s="282"/>
      <c r="K217" s="283"/>
      <c r="L217" s="283"/>
      <c r="M217" s="283"/>
      <c r="N217" s="283"/>
      <c r="O217" s="280"/>
      <c r="P217" s="68"/>
      <c r="Q217" s="68"/>
      <c r="R217" s="68"/>
      <c r="S217" s="68"/>
      <c r="T217" s="68"/>
    </row>
    <row r="218" hidden="1">
      <c r="A218" s="275"/>
      <c r="B218" s="276"/>
      <c r="C218" s="277"/>
      <c r="D218" s="278"/>
      <c r="E218" s="144"/>
      <c r="F218" s="373"/>
      <c r="G218" s="68"/>
      <c r="H218" s="279"/>
      <c r="I218" s="68"/>
      <c r="J218" s="282"/>
      <c r="K218" s="283"/>
      <c r="L218" s="283"/>
      <c r="M218" s="283"/>
      <c r="N218" s="283"/>
      <c r="O218" s="280"/>
      <c r="P218" s="68"/>
      <c r="Q218" s="68"/>
      <c r="R218" s="68"/>
      <c r="S218" s="68"/>
      <c r="T218" s="68"/>
    </row>
    <row r="219" hidden="1">
      <c r="A219" s="275"/>
      <c r="B219" s="276"/>
      <c r="C219" s="277"/>
      <c r="D219" s="278"/>
      <c r="E219" s="144"/>
      <c r="F219" s="373"/>
      <c r="G219" s="68"/>
      <c r="H219" s="279"/>
      <c r="I219" s="68"/>
      <c r="J219" s="282"/>
      <c r="K219" s="283"/>
      <c r="L219" s="283"/>
      <c r="M219" s="283"/>
      <c r="N219" s="283"/>
      <c r="O219" s="280"/>
      <c r="P219" s="68"/>
      <c r="Q219" s="68"/>
      <c r="R219" s="68"/>
      <c r="S219" s="68"/>
      <c r="T219" s="68"/>
    </row>
    <row r="220" hidden="1">
      <c r="A220" s="275"/>
      <c r="B220" s="276"/>
      <c r="C220" s="277"/>
      <c r="D220" s="278"/>
      <c r="E220" s="144"/>
      <c r="F220" s="373"/>
      <c r="G220" s="68"/>
      <c r="H220" s="279"/>
      <c r="I220" s="68"/>
      <c r="J220" s="282"/>
      <c r="K220" s="283"/>
      <c r="L220" s="283"/>
      <c r="M220" s="283"/>
      <c r="N220" s="283"/>
      <c r="O220" s="280"/>
      <c r="P220" s="68"/>
      <c r="Q220" s="68"/>
      <c r="R220" s="68"/>
      <c r="S220" s="68"/>
      <c r="T220" s="68"/>
    </row>
    <row r="221" hidden="1">
      <c r="A221" s="275"/>
      <c r="B221" s="276"/>
      <c r="C221" s="277"/>
      <c r="D221" s="278"/>
      <c r="E221" s="144"/>
      <c r="F221" s="373"/>
      <c r="G221" s="68"/>
      <c r="H221" s="279"/>
      <c r="I221" s="68"/>
      <c r="J221" s="282"/>
      <c r="K221" s="283"/>
      <c r="L221" s="283"/>
      <c r="M221" s="283"/>
      <c r="N221" s="283"/>
      <c r="O221" s="280"/>
      <c r="P221" s="68"/>
      <c r="Q221" s="68"/>
      <c r="R221" s="68"/>
      <c r="S221" s="68"/>
      <c r="T221" s="68"/>
    </row>
    <row r="222" hidden="1">
      <c r="A222" s="275"/>
      <c r="B222" s="276"/>
      <c r="C222" s="277"/>
      <c r="D222" s="278"/>
      <c r="E222" s="144"/>
      <c r="F222" s="373"/>
      <c r="G222" s="68"/>
      <c r="H222" s="279"/>
      <c r="I222" s="68"/>
      <c r="J222" s="282"/>
      <c r="K222" s="283"/>
      <c r="L222" s="283"/>
      <c r="M222" s="283"/>
      <c r="N222" s="283"/>
      <c r="O222" s="280"/>
      <c r="P222" s="68"/>
      <c r="Q222" s="68"/>
      <c r="R222" s="68"/>
      <c r="S222" s="68"/>
      <c r="T222" s="68"/>
    </row>
    <row r="223" hidden="1">
      <c r="A223" s="275"/>
      <c r="B223" s="276"/>
      <c r="C223" s="277"/>
      <c r="D223" s="278"/>
      <c r="E223" s="144"/>
      <c r="F223" s="374"/>
      <c r="G223" s="68"/>
      <c r="H223" s="279"/>
      <c r="I223" s="68"/>
      <c r="J223" s="282"/>
      <c r="K223" s="283"/>
      <c r="L223" s="283"/>
      <c r="M223" s="283"/>
      <c r="N223" s="283"/>
      <c r="O223" s="280"/>
      <c r="P223" s="68"/>
      <c r="Q223" s="68"/>
      <c r="R223" s="68"/>
      <c r="S223" s="68"/>
      <c r="T223" s="68"/>
    </row>
    <row r="224" hidden="1">
      <c r="A224" s="275"/>
      <c r="B224" s="276"/>
      <c r="C224" s="277"/>
      <c r="D224" s="278"/>
      <c r="E224" s="144"/>
      <c r="F224" s="373"/>
      <c r="G224" s="68"/>
      <c r="H224" s="279"/>
      <c r="I224" s="68"/>
      <c r="J224" s="282"/>
      <c r="K224" s="283"/>
      <c r="L224" s="283"/>
      <c r="M224" s="283"/>
      <c r="N224" s="283"/>
      <c r="O224" s="280"/>
      <c r="P224" s="68"/>
      <c r="Q224" s="68"/>
      <c r="R224" s="68"/>
      <c r="S224" s="68"/>
      <c r="T224" s="68"/>
    </row>
    <row r="225" hidden="1">
      <c r="A225" s="275"/>
      <c r="B225" s="276"/>
      <c r="C225" s="277"/>
      <c r="D225" s="278"/>
      <c r="E225" s="175"/>
      <c r="F225" s="375"/>
      <c r="G225" s="68"/>
      <c r="H225" s="279"/>
      <c r="I225" s="68"/>
      <c r="J225" s="282"/>
      <c r="K225" s="283"/>
      <c r="L225" s="283"/>
      <c r="M225" s="283"/>
      <c r="N225" s="283"/>
      <c r="O225" s="280"/>
      <c r="P225" s="68"/>
      <c r="Q225" s="68"/>
      <c r="R225" s="68"/>
      <c r="S225" s="68"/>
      <c r="T225" s="68"/>
    </row>
    <row r="226" hidden="1">
      <c r="A226" s="275"/>
      <c r="B226" s="276"/>
      <c r="C226" s="277"/>
      <c r="D226" s="278"/>
      <c r="E226" s="284"/>
      <c r="F226" s="293"/>
      <c r="G226" s="68"/>
      <c r="H226" s="279"/>
      <c r="I226" s="68"/>
      <c r="J226" s="282"/>
      <c r="K226" s="283"/>
      <c r="L226" s="283"/>
      <c r="M226" s="283"/>
      <c r="N226" s="283"/>
      <c r="O226" s="280"/>
      <c r="P226" s="68"/>
      <c r="Q226" s="68"/>
      <c r="R226" s="68"/>
      <c r="S226" s="68"/>
      <c r="T226" s="68"/>
    </row>
    <row r="227" hidden="1">
      <c r="A227" s="275"/>
      <c r="B227" s="276"/>
      <c r="C227" s="277"/>
      <c r="D227" s="278"/>
      <c r="E227" s="284"/>
      <c r="F227" s="293"/>
      <c r="G227" s="68"/>
      <c r="H227" s="279"/>
      <c r="I227" s="68"/>
      <c r="J227" s="282"/>
      <c r="K227" s="283"/>
      <c r="L227" s="283"/>
      <c r="M227" s="283"/>
      <c r="N227" s="283"/>
      <c r="O227" s="280"/>
      <c r="P227" s="68"/>
      <c r="Q227" s="68"/>
      <c r="R227" s="68"/>
      <c r="S227" s="68"/>
      <c r="T227" s="68"/>
    </row>
    <row r="228" hidden="1">
      <c r="A228" s="275"/>
      <c r="B228" s="276"/>
      <c r="C228" s="277"/>
      <c r="D228" s="278"/>
      <c r="E228" s="284"/>
      <c r="F228" s="293"/>
      <c r="G228" s="68"/>
      <c r="H228" s="279"/>
      <c r="I228" s="68"/>
      <c r="J228" s="282"/>
      <c r="K228" s="283"/>
      <c r="L228" s="283"/>
      <c r="M228" s="283"/>
      <c r="N228" s="283"/>
      <c r="O228" s="280"/>
      <c r="P228" s="68"/>
      <c r="Q228" s="68"/>
      <c r="R228" s="68"/>
      <c r="S228" s="68"/>
      <c r="T228" s="68"/>
    </row>
    <row r="229" hidden="1">
      <c r="A229" s="275"/>
      <c r="B229" s="276"/>
      <c r="C229" s="277"/>
      <c r="D229" s="278"/>
      <c r="E229" s="284"/>
      <c r="F229" s="293"/>
      <c r="G229" s="68"/>
      <c r="H229" s="279"/>
      <c r="I229" s="68"/>
      <c r="J229" s="282"/>
      <c r="K229" s="283"/>
      <c r="L229" s="283"/>
      <c r="M229" s="283"/>
      <c r="N229" s="283"/>
      <c r="O229" s="280"/>
      <c r="P229" s="68"/>
      <c r="Q229" s="68"/>
      <c r="R229" s="68"/>
      <c r="S229" s="68"/>
      <c r="T229" s="68"/>
    </row>
    <row r="230" hidden="1">
      <c r="A230" s="275"/>
      <c r="B230" s="276"/>
      <c r="C230" s="277"/>
      <c r="D230" s="278"/>
      <c r="E230" s="284"/>
      <c r="F230" s="293"/>
      <c r="G230" s="68"/>
      <c r="H230" s="279"/>
      <c r="I230" s="68"/>
      <c r="J230" s="282"/>
      <c r="K230" s="283"/>
      <c r="L230" s="283"/>
      <c r="M230" s="283"/>
      <c r="N230" s="283"/>
      <c r="O230" s="280"/>
      <c r="P230" s="68"/>
      <c r="Q230" s="68"/>
      <c r="R230" s="68"/>
      <c r="S230" s="68"/>
      <c r="T230" s="68"/>
    </row>
    <row r="231" hidden="1">
      <c r="A231" s="275"/>
      <c r="B231" s="276"/>
      <c r="C231" s="277"/>
      <c r="D231" s="278"/>
      <c r="E231" s="284"/>
      <c r="F231" s="293"/>
      <c r="G231" s="68"/>
      <c r="H231" s="279"/>
      <c r="I231" s="68"/>
      <c r="J231" s="282"/>
      <c r="K231" s="283"/>
      <c r="L231" s="283"/>
      <c r="M231" s="283"/>
      <c r="N231" s="283"/>
      <c r="O231" s="280"/>
      <c r="P231" s="68"/>
      <c r="Q231" s="68"/>
      <c r="R231" s="68"/>
      <c r="S231" s="68"/>
      <c r="T231" s="68"/>
    </row>
    <row r="232" hidden="1">
      <c r="A232" s="275"/>
      <c r="B232" s="276"/>
      <c r="C232" s="277"/>
      <c r="D232" s="278"/>
      <c r="E232" s="284"/>
      <c r="F232" s="293"/>
      <c r="G232" s="68"/>
      <c r="H232" s="279"/>
      <c r="I232" s="68"/>
      <c r="J232" s="282"/>
      <c r="K232" s="283"/>
      <c r="L232" s="283"/>
      <c r="M232" s="283"/>
      <c r="N232" s="283"/>
      <c r="O232" s="280"/>
      <c r="P232" s="68"/>
      <c r="Q232" s="68"/>
      <c r="R232" s="68"/>
      <c r="S232" s="68"/>
      <c r="T232" s="68"/>
    </row>
    <row r="233" hidden="1">
      <c r="A233" s="538" t="str">
        <f>HYPERLINK("https://phillipreeve.net/blog/tokina-firin-20mm-f2-fe-review-a-good-deal/","Tokina Firin 2/20")</f>
        <v>Tokina Firin 2/20</v>
      </c>
      <c r="B233" s="413">
        <v>492.0</v>
      </c>
      <c r="C233" s="467">
        <v>20.0</v>
      </c>
      <c r="D233" s="475">
        <v>2.0</v>
      </c>
      <c r="E233" s="476">
        <v>69.0</v>
      </c>
      <c r="F233" s="477">
        <v>82.0</v>
      </c>
      <c r="G233" s="430" t="s">
        <v>24</v>
      </c>
      <c r="H233" s="508" t="s">
        <v>66</v>
      </c>
      <c r="I233" s="508">
        <v>0.1</v>
      </c>
      <c r="J233" s="478">
        <v>799.0</v>
      </c>
      <c r="K233" s="454" t="str">
        <f>HYPERLINK("http://amzn.to/2vlG2Yq","link*")</f>
        <v>link*</v>
      </c>
      <c r="L233" s="454" t="str">
        <f>HYPERLINK("https://www.bhphotovideo.com/c/product/1281299-REG/tokina_firin_20mm_f_2_fe.html/BI/19619/KBID/12129/kw/TO202E/DFF/d10-v2-t1-xTO202E","link*")</f>
        <v>link*</v>
      </c>
      <c r="M233" s="454" t="str">
        <f>HYPERLINK("http://amzn.to/2vvtDkM","link*")</f>
        <v>link*</v>
      </c>
      <c r="N233" s="454"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c r="O233" s="422">
        <v>30.0</v>
      </c>
      <c r="P233" s="418" t="s">
        <v>26</v>
      </c>
      <c r="Q233" s="508">
        <v>9.0</v>
      </c>
      <c r="R233" s="423" t="s">
        <v>54</v>
      </c>
      <c r="S233" s="466" t="s">
        <v>67</v>
      </c>
      <c r="T233" s="425">
        <v>42856.0</v>
      </c>
      <c r="U233" s="173"/>
    </row>
    <row r="234" hidden="1">
      <c r="A234" s="516" t="s">
        <v>68</v>
      </c>
      <c r="B234" s="413">
        <v>464.0</v>
      </c>
      <c r="C234" s="467">
        <v>20.0</v>
      </c>
      <c r="D234" s="475">
        <v>2.0</v>
      </c>
      <c r="E234" s="479">
        <v>73.0</v>
      </c>
      <c r="F234" s="477">
        <v>82.0</v>
      </c>
      <c r="G234" s="418" t="s">
        <v>30</v>
      </c>
      <c r="H234" s="508" t="s">
        <v>66</v>
      </c>
      <c r="I234" s="508">
        <v>0.1</v>
      </c>
      <c r="J234" s="420">
        <v>949.0</v>
      </c>
      <c r="K234" s="454" t="str">
        <f>HYPERLINK("https://amzn.to/2GDurZb","link*")</f>
        <v>link*</v>
      </c>
      <c r="L234" s="454" t="str">
        <f>HYPERLINK("https://www.bhphotovideo.com/c/product/1393327-REG/tokina_firin_20mm_f_2_fe.html/BI/19619/KBID/12129/DFF/d10-v21-t1-x880327/SID/EZ","link*")</f>
        <v>link*</v>
      </c>
      <c r="M234" s="454" t="str">
        <f>HYPERLINK("https://amzn.to/2GJYCxw","link*")</f>
        <v>link*</v>
      </c>
      <c r="N234" s="454"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O234" s="422">
        <v>30.0</v>
      </c>
      <c r="P234" s="418" t="s">
        <v>26</v>
      </c>
      <c r="Q234" s="508">
        <v>9.0</v>
      </c>
      <c r="R234" s="423" t="s">
        <v>54</v>
      </c>
      <c r="S234" s="466" t="s">
        <v>67</v>
      </c>
      <c r="T234" s="425">
        <v>43221.0</v>
      </c>
      <c r="U234" s="173"/>
    </row>
    <row r="235" hidden="1">
      <c r="A235" s="546" t="str">
        <f>HYPERLINK("https://phillipreeve.net/blog/review_voigtlander_21mm_f14_e/","Voigtlander 21mm F1.4 Nokton")</f>
        <v>Voigtlander 21mm F1.4 Nokton</v>
      </c>
      <c r="B235" s="413">
        <v>540.0</v>
      </c>
      <c r="C235" s="480">
        <v>21.0</v>
      </c>
      <c r="D235" s="468">
        <v>1.4</v>
      </c>
      <c r="E235" s="481">
        <v>70.0</v>
      </c>
      <c r="F235" s="462">
        <v>80.0</v>
      </c>
      <c r="G235" s="430" t="s">
        <v>24</v>
      </c>
      <c r="H235" s="508" t="s">
        <v>66</v>
      </c>
      <c r="I235" s="466"/>
      <c r="J235" s="420">
        <v>1199.0</v>
      </c>
      <c r="K235" s="454" t="str">
        <f>HYPERLINK("https://amzn.to/2K7gHrC","link*")</f>
        <v>link*</v>
      </c>
      <c r="L235" s="454" t="str">
        <f>HYPERLINK("https://www.bhphotovideo.com/c/product/1480269-REG/voigtlander_ba352a_nokton_21mm_f_1_4_aspherical.html/BI/19619/KBID/12129/DFF/d10-v21-t1-x963269/SID/EZ","link*")</f>
        <v>link*</v>
      </c>
      <c r="M235" s="466"/>
      <c r="N235" s="454"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c r="O235" s="422">
        <v>25.0</v>
      </c>
      <c r="P235" s="418" t="s">
        <v>26</v>
      </c>
      <c r="Q235" s="508">
        <v>12.0</v>
      </c>
      <c r="R235" s="423" t="s">
        <v>54</v>
      </c>
      <c r="S235" s="466" t="s">
        <v>28</v>
      </c>
      <c r="T235" s="425">
        <v>43617.0</v>
      </c>
      <c r="U235" s="173"/>
    </row>
    <row r="236" hidden="1">
      <c r="A236" s="538" t="str">
        <f>HYPERLINK("https://phillipreeve.net/blog/rolling-review-zeiss-loxia-distagon-2-821mm-t/https://phillipreeve.net/blog/rolling-review-zeiss-loxia-distagon-2-821mm-t/","Zeiss Loxia 2.8/21 Distagon T*")</f>
        <v>Zeiss Loxia 2.8/21 Distagon T*</v>
      </c>
      <c r="B236" s="427">
        <v>394.0</v>
      </c>
      <c r="C236" s="480">
        <v>21.0</v>
      </c>
      <c r="D236" s="440">
        <v>2.8</v>
      </c>
      <c r="E236" s="482">
        <v>62.0</v>
      </c>
      <c r="F236" s="483">
        <v>72.0</v>
      </c>
      <c r="G236" s="430" t="s">
        <v>24</v>
      </c>
      <c r="H236" s="508" t="s">
        <v>71</v>
      </c>
      <c r="I236" s="508">
        <v>0.13</v>
      </c>
      <c r="J236" s="420">
        <v>1499.0</v>
      </c>
      <c r="K236" s="454" t="str">
        <f>HYPERLINK("https://amzn.to/2yspzBm","link*")</f>
        <v>link*</v>
      </c>
      <c r="L236" s="454" t="str">
        <f>HYPERLINK("https://www.bhphotovideo.com/c/product/1189220-REG/zeiss_2131_999_loxia_21mm_f_2_8_lens.html/BI/19619/KBID/12129/DFF/d10-v21-t1-x677077/SID/EZ","link*")</f>
        <v>link*</v>
      </c>
      <c r="M236" s="454" t="str">
        <f>HYPERLINK("https://amzn.to/2GHSOoA","link*")</f>
        <v>link*</v>
      </c>
      <c r="N236" s="454"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c r="O236" s="422">
        <v>25.0</v>
      </c>
      <c r="P236" s="418" t="s">
        <v>26</v>
      </c>
      <c r="Q236" s="508">
        <v>10.0</v>
      </c>
      <c r="R236" s="423" t="s">
        <v>72</v>
      </c>
      <c r="S236" s="466" t="s">
        <v>58</v>
      </c>
      <c r="T236" s="425">
        <v>42339.0</v>
      </c>
      <c r="U236" s="173"/>
    </row>
    <row r="237" hidden="1">
      <c r="A237" s="538" t="str">
        <f>HYPERLINK("https://phillipreeve.net/blog/voigtlander-21mm-f35-review/","Voigtlander 21mm F3.5 Color-Skopar")</f>
        <v>Voigtlander 21mm F3.5 Color-Skopar</v>
      </c>
      <c r="B237" s="427">
        <v>230.0</v>
      </c>
      <c r="C237" s="480">
        <v>21.0</v>
      </c>
      <c r="D237" s="484">
        <v>3.5</v>
      </c>
      <c r="E237" s="482">
        <v>63.0</v>
      </c>
      <c r="F237" s="485">
        <v>40.0</v>
      </c>
      <c r="G237" s="430" t="s">
        <v>24</v>
      </c>
      <c r="H237" s="508" t="s">
        <v>71</v>
      </c>
      <c r="I237" s="466"/>
      <c r="J237" s="420">
        <v>699.0</v>
      </c>
      <c r="K237" s="454" t="str">
        <f>HYPERLINK("https://amzn.to/2JCie75","link*")</f>
        <v>link*</v>
      </c>
      <c r="L237" s="454" t="str">
        <f>HYPERLINK("https://www.bhphotovideo.com/c/product/1437613-REG/voigtlander_color_skopar_21mm_f_3_5_aspherical.html/BI/19619/KBID/12129/kw/VO2135E/DFF/d10-v2-t1-xVO2135E","link*")</f>
        <v>link*</v>
      </c>
      <c r="M237" s="454" t="str">
        <f>HYPERLINK("https://amzn.to/2ZoERan","link*")</f>
        <v>link*</v>
      </c>
      <c r="N237" s="454"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O237" s="422">
        <v>20.0</v>
      </c>
      <c r="P237" s="418" t="s">
        <v>26</v>
      </c>
      <c r="Q237" s="508">
        <v>10.0</v>
      </c>
      <c r="R237" s="423" t="s">
        <v>60</v>
      </c>
      <c r="S237" s="466" t="s">
        <v>28</v>
      </c>
      <c r="T237" s="425">
        <v>43374.0</v>
      </c>
      <c r="U237" s="173"/>
    </row>
    <row r="238" hidden="1">
      <c r="A238" s="538" t="str">
        <f>HYPERLINK("https://phillipreeve.net/blog/review-sony-fe-24mm-1-4-gm/","Sony GM 1.4/24")</f>
        <v>Sony GM 1.4/24</v>
      </c>
      <c r="B238" s="413">
        <v>445.0</v>
      </c>
      <c r="C238" s="486">
        <v>24.0</v>
      </c>
      <c r="D238" s="468">
        <v>1.4</v>
      </c>
      <c r="E238" s="487">
        <v>75.0</v>
      </c>
      <c r="F238" s="488">
        <v>92.0</v>
      </c>
      <c r="G238" s="418" t="s">
        <v>30</v>
      </c>
      <c r="H238" s="508" t="s">
        <v>53</v>
      </c>
      <c r="I238" s="508">
        <v>0.17</v>
      </c>
      <c r="J238" s="420">
        <v>1399.0</v>
      </c>
      <c r="K238" s="454" t="str">
        <f>HYPERLINK("https://amzn.to/2ywcbw1","link*")</f>
        <v>link*</v>
      </c>
      <c r="L238" s="454" t="str">
        <f>HYPERLINK("https://www.bhphotovideo.com/c/product/1435887-REG/sony_fe_24mm_f_1_4_gm.html/BI/19619/KBID/12129/DFF/d10-v21-t1-x915647/SID/EZ","link*")</f>
        <v>link*</v>
      </c>
      <c r="M238" s="454" t="str">
        <f>HYPERLINK("https://amzn.to/2L2tV9y","link*")</f>
        <v>link*</v>
      </c>
      <c r="N238" s="454" t="str">
        <f>HYPERLINK("https://amzn.to/338yg28","link*")</f>
        <v>link*</v>
      </c>
      <c r="O238" s="422">
        <v>25.0</v>
      </c>
      <c r="P238" s="418" t="s">
        <v>26</v>
      </c>
      <c r="Q238" s="508">
        <v>11.0</v>
      </c>
      <c r="R238" s="423" t="s">
        <v>27</v>
      </c>
      <c r="S238" s="466" t="s">
        <v>32</v>
      </c>
      <c r="T238" s="425">
        <v>43374.0</v>
      </c>
      <c r="U238" s="173"/>
    </row>
    <row r="239">
      <c r="A239" s="516" t="s">
        <v>73</v>
      </c>
      <c r="B239" s="439">
        <v>665.0</v>
      </c>
      <c r="C239" s="486">
        <v>24.0</v>
      </c>
      <c r="D239" s="468">
        <v>1.4</v>
      </c>
      <c r="E239" s="489">
        <v>85.0</v>
      </c>
      <c r="F239" s="490">
        <v>90.0</v>
      </c>
      <c r="G239" s="466" t="s">
        <v>30</v>
      </c>
      <c r="H239" s="508" t="s">
        <v>56</v>
      </c>
      <c r="I239" s="508">
        <v>0.19</v>
      </c>
      <c r="J239" s="420">
        <v>849.0</v>
      </c>
      <c r="K239" s="454" t="str">
        <f>HYPERLINK("https://amzn.to/2Isw2Rv","link*")</f>
        <v>link*</v>
      </c>
      <c r="L239" s="454" t="str">
        <f>HYPERLINK("https://www.bhphotovideo.com/c/product/1393491-REG/sigma_24mm_f_1_4_dg_hsm.html/BI/19619/KBID/12129/kw/SI2414SO/DFF/d10-v2-t1-xSI2414SO","link*")</f>
        <v>link*</v>
      </c>
      <c r="M239" s="454" t="str">
        <f>HYPERLINK("https://amzn.to/2K7sIP4","link*")</f>
        <v>link*</v>
      </c>
      <c r="N239" s="454"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O239" s="422">
        <v>25.0</v>
      </c>
      <c r="P239" s="418" t="s">
        <v>26</v>
      </c>
      <c r="Q239" s="508">
        <v>9.0</v>
      </c>
      <c r="R239" s="437">
        <v>43784.0</v>
      </c>
      <c r="S239" s="466" t="s">
        <v>41</v>
      </c>
      <c r="T239" s="425">
        <v>43221.0</v>
      </c>
      <c r="U239" s="173" t="s">
        <v>42</v>
      </c>
    </row>
    <row r="240" hidden="1">
      <c r="A240" s="538" t="str">
        <f>HYPERLINK("https://phillipreeve.net/blog/review-samyang-af-2-4-28-fe-at-least-its-small/","Samyang AF 24mm F/2.8")</f>
        <v>Samyang AF 24mm F/2.8</v>
      </c>
      <c r="B240" s="463">
        <v>93.0</v>
      </c>
      <c r="C240" s="486">
        <v>24.0</v>
      </c>
      <c r="D240" s="440">
        <v>2.8</v>
      </c>
      <c r="E240" s="482">
        <v>61.0</v>
      </c>
      <c r="F240" s="491">
        <v>37.0</v>
      </c>
      <c r="G240" s="418" t="s">
        <v>30</v>
      </c>
      <c r="H240" s="508" t="s">
        <v>74</v>
      </c>
      <c r="I240" s="508">
        <v>0.15</v>
      </c>
      <c r="J240" s="478">
        <v>279.0</v>
      </c>
      <c r="K240" s="454" t="str">
        <f>HYPERLINK("https://amzn.to/2NEHZ7c","link*")</f>
        <v>link*</v>
      </c>
      <c r="L240" s="454" t="str">
        <f>HYPERLINK("https://www.bhphotovideo.com/c/product/1413350-REG/samyang_syio24af_e_af_24mm_f_2_8_fe.html/BI/19619/KBID/12129/kw/SASYIO24AFE/DFF/d10-v2-t1-xSASYIO24AFE","link*")</f>
        <v>link*</v>
      </c>
      <c r="M240" s="454" t="str">
        <f>HYPERLINK("https://amzn.to/2Onv1QE","link*")</f>
        <v>link*</v>
      </c>
      <c r="N240" s="454"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c r="O240" s="422">
        <v>20.0</v>
      </c>
      <c r="P240" s="418" t="s">
        <v>26</v>
      </c>
      <c r="Q240" s="508">
        <v>9.0</v>
      </c>
      <c r="R240" s="423" t="s">
        <v>75</v>
      </c>
      <c r="S240" s="466" t="s">
        <v>46</v>
      </c>
      <c r="T240" s="425">
        <v>43282.0</v>
      </c>
      <c r="U240" s="173"/>
    </row>
    <row r="241" hidden="1">
      <c r="A241" s="684" t="str">
        <f>HYPERLINK("https://phillipreeve.net/blog/review-sony-fe-2-824-70mm-gm/","Sony GM 2.8/24-70")</f>
        <v>Sony GM 2.8/24-70</v>
      </c>
      <c r="B241" s="439">
        <v>886.0</v>
      </c>
      <c r="C241" s="486">
        <v>24.0</v>
      </c>
      <c r="D241" s="440">
        <v>2.8</v>
      </c>
      <c r="E241" s="493">
        <v>88.0</v>
      </c>
      <c r="F241" s="494">
        <v>136.0</v>
      </c>
      <c r="G241" s="418" t="s">
        <v>30</v>
      </c>
      <c r="H241" s="508" t="s">
        <v>51</v>
      </c>
      <c r="I241" s="513">
        <v>0.25</v>
      </c>
      <c r="J241" s="420">
        <v>2199.0</v>
      </c>
      <c r="K241" s="454" t="str">
        <f>HYPERLINK("https://amzn.to/2STHavK","link*")</f>
        <v>link*</v>
      </c>
      <c r="L241" s="454" t="str">
        <f>HYPERLINK("https://www.bhphotovideo.com/c/search?Ntt=gm%2024-70&amp;N=0&amp;InitialSearch=yes&amp;sts=ma&amp;Top+Nav-Search=&amp;BI=19619&amp;KBID=12129&amp;KWID=EZ","link*")</f>
        <v>link*</v>
      </c>
      <c r="M241" s="454" t="str">
        <f>HYPERLINK("https://amzn.to/2ZwoyU7","link*")</f>
        <v>link*</v>
      </c>
      <c r="N241" s="454"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c r="O241" s="422">
        <v>38.0</v>
      </c>
      <c r="P241" s="418" t="s">
        <v>26</v>
      </c>
      <c r="Q241" s="508">
        <v>11.0</v>
      </c>
      <c r="R241" s="423" t="s">
        <v>44</v>
      </c>
      <c r="S241" s="466" t="s">
        <v>32</v>
      </c>
      <c r="T241" s="425">
        <v>42401.0</v>
      </c>
      <c r="U241" s="173"/>
    </row>
    <row r="242" hidden="1">
      <c r="A242" s="516" t="s">
        <v>79</v>
      </c>
      <c r="B242" s="439">
        <v>780.0</v>
      </c>
      <c r="C242" s="486">
        <v>24.0</v>
      </c>
      <c r="D242" s="496" t="s">
        <v>80</v>
      </c>
      <c r="E242" s="497">
        <v>80.0</v>
      </c>
      <c r="F242" s="498">
        <v>119.0</v>
      </c>
      <c r="G242" s="418" t="s">
        <v>30</v>
      </c>
      <c r="H242" s="508" t="s">
        <v>48</v>
      </c>
      <c r="I242" s="513">
        <v>0.27</v>
      </c>
      <c r="J242" s="420">
        <v>998.0</v>
      </c>
      <c r="K242" s="454" t="str">
        <f>HYPERLINK("http://amzn.to/2fbX5FU","link*")</f>
        <v>link*</v>
      </c>
      <c r="L242" s="454" t="str">
        <f>HYPERLINK("https://www.bhphotovideo.com/c/search?Ntt=sony%2024-240&amp;N=0&amp;InitialSearch=yes&amp;sts=ma&amp;Top+Nav-Search=&amp;BI=19619&amp;KBID=12129&amp;KWID=EZ","link*")</f>
        <v>link*</v>
      </c>
      <c r="M242" s="454" t="str">
        <f>HYPERLINK("http://amzn.to/2wyrL7A","link*")</f>
        <v>link*</v>
      </c>
      <c r="N242" s="454"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c r="O242" s="422">
        <v>50.0</v>
      </c>
      <c r="P242" s="515" t="s">
        <v>49</v>
      </c>
      <c r="Q242" s="508">
        <v>7.0</v>
      </c>
      <c r="R242" s="423" t="s">
        <v>81</v>
      </c>
      <c r="S242" s="466" t="s">
        <v>32</v>
      </c>
      <c r="T242" s="425">
        <v>42064.0</v>
      </c>
      <c r="U242" s="173"/>
    </row>
    <row r="243" hidden="1">
      <c r="A243" s="516" t="s">
        <v>82</v>
      </c>
      <c r="B243" s="439">
        <v>663.0</v>
      </c>
      <c r="C243" s="486">
        <v>24.0</v>
      </c>
      <c r="D243" s="415">
        <v>4.0</v>
      </c>
      <c r="E243" s="499">
        <v>83.0</v>
      </c>
      <c r="F243" s="500">
        <v>113.0</v>
      </c>
      <c r="G243" s="418" t="s">
        <v>30</v>
      </c>
      <c r="H243" s="508" t="s">
        <v>56</v>
      </c>
      <c r="I243" s="513">
        <v>0.31</v>
      </c>
      <c r="J243" s="420">
        <v>1398.0</v>
      </c>
      <c r="K243" s="454" t="str">
        <f>HYPERLINK("https://amzn.to/2K7LwMR","link*")</f>
        <v>link*</v>
      </c>
      <c r="L243" s="454" t="str">
        <f>HYPERLINK("https://www.bhphotovideo.com/c/search?Ntt=sony%2024-105&amp;N=0&amp;InitialSearch=yes&amp;sts=ma&amp;Top+Nav-Search=&amp;BI=19619&amp;KBID=12129&amp;KWID=EZ","link*")</f>
        <v>link*</v>
      </c>
      <c r="M243" s="454" t="str">
        <f>HYPERLINK("https://amzn.to/2Ld8hOS","link*")</f>
        <v>link*</v>
      </c>
      <c r="N243" s="454"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c r="O243" s="422">
        <v>38.0</v>
      </c>
      <c r="P243" s="515" t="s">
        <v>49</v>
      </c>
      <c r="Q243" s="508">
        <v>9.0</v>
      </c>
      <c r="R243" s="423" t="s">
        <v>35</v>
      </c>
      <c r="S243" s="466" t="s">
        <v>32</v>
      </c>
      <c r="T243" s="425">
        <v>43009.0</v>
      </c>
      <c r="U243" s="173"/>
    </row>
    <row r="244" hidden="1">
      <c r="A244" s="538" t="str">
        <f>HYPERLINK("https://phillipreeve.net/blog/rolling-review-carl-zeiss-vario-tessar-t-fe-424-70-za/","Sony ZA 4/24-70 OSS")</f>
        <v>Sony ZA 4/24-70 OSS</v>
      </c>
      <c r="B244" s="413">
        <v>426.0</v>
      </c>
      <c r="C244" s="486">
        <v>24.0</v>
      </c>
      <c r="D244" s="415">
        <v>4.0</v>
      </c>
      <c r="E244" s="501">
        <v>73.0</v>
      </c>
      <c r="F244" s="502">
        <v>95.0</v>
      </c>
      <c r="G244" s="418" t="s">
        <v>30</v>
      </c>
      <c r="H244" s="508" t="s">
        <v>53</v>
      </c>
      <c r="I244" s="508">
        <v>0.2</v>
      </c>
      <c r="J244" s="420">
        <v>898.0</v>
      </c>
      <c r="K244" s="454" t="str">
        <f>HYPERLINK("http://amzn.to/2vlG2Yq","link*")</f>
        <v>link*</v>
      </c>
      <c r="L244" s="454" t="str">
        <f>HYPERLINK("https://www.bhphotovideo.com/c/product/1008126-REG/sony_sel2470z_vario_tessar_t_fe_24_70mm.html/BI/19619/KBID/12129/DFF/d10-v21-t1-x466842/SID/EZ","link*")</f>
        <v>link*</v>
      </c>
      <c r="M244" s="454" t="str">
        <f>HYPERLINK("http://amzn.to/2fl1XZk","link*")</f>
        <v>link*</v>
      </c>
      <c r="N244" s="454"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O244" s="422">
        <v>40.0</v>
      </c>
      <c r="P244" s="515" t="s">
        <v>49</v>
      </c>
      <c r="Q244" s="508">
        <v>7.0</v>
      </c>
      <c r="R244" s="423" t="s">
        <v>38</v>
      </c>
      <c r="S244" s="466" t="s">
        <v>32</v>
      </c>
      <c r="T244" s="425">
        <v>41640.0</v>
      </c>
      <c r="U244" s="173"/>
    </row>
    <row r="245" hidden="1">
      <c r="A245" s="538" t="str">
        <f>HYPERLINK("https://phillipreeve.net/blog/review-zeiss-batis-distagon-t-25mm-f2/","Zeiss Batis 2/25")</f>
        <v>Zeiss Batis 2/25</v>
      </c>
      <c r="B245" s="427">
        <v>335.0</v>
      </c>
      <c r="C245" s="503">
        <v>25.0</v>
      </c>
      <c r="D245" s="475">
        <v>2.0</v>
      </c>
      <c r="E245" s="504">
        <v>92.0</v>
      </c>
      <c r="F245" s="505">
        <v>78.0</v>
      </c>
      <c r="G245" s="418" t="s">
        <v>30</v>
      </c>
      <c r="H245" s="508" t="s">
        <v>53</v>
      </c>
      <c r="I245" s="508">
        <v>0.19</v>
      </c>
      <c r="J245" s="420">
        <v>1299.0</v>
      </c>
      <c r="K245" s="454" t="str">
        <f>HYPERLINK("https://amzn.to/2ypHQiT","link*")</f>
        <v>link*</v>
      </c>
      <c r="L245" s="454" t="str">
        <f>HYPERLINK("https://www.bhphotovideo.com/c/product/1140832-REG/zeiss_2103_750_25mm_f_2_0_batis_wide.html/BI/19619/KBID/12129/DFF/d10-v21-t1-x627141/SID/EZ","link*")</f>
        <v>link*</v>
      </c>
      <c r="M245" s="454" t="str">
        <f>HYPERLINK("https://amzn.to/2L20DIj","link*")</f>
        <v>link*</v>
      </c>
      <c r="N245" s="454"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c r="O245" s="422">
        <v>20.0</v>
      </c>
      <c r="P245" s="418" t="s">
        <v>26</v>
      </c>
      <c r="Q245" s="508">
        <v>9.0</v>
      </c>
      <c r="R245" s="423" t="s">
        <v>83</v>
      </c>
      <c r="S245" s="466" t="s">
        <v>58</v>
      </c>
      <c r="T245" s="425">
        <v>42125.0</v>
      </c>
      <c r="U245" s="173"/>
    </row>
    <row r="246" hidden="1">
      <c r="A246" s="538" t="str">
        <f>HYPERLINK("https://phillipreeve.net/blog/review-zeiss-loxia-2-4-25mm-distagon/","Zeiss Loxia 2.4/25")</f>
        <v>Zeiss Loxia 2.4/25</v>
      </c>
      <c r="B246" s="427">
        <v>393.0</v>
      </c>
      <c r="C246" s="503">
        <v>25.0</v>
      </c>
      <c r="D246" s="506">
        <v>2.4</v>
      </c>
      <c r="E246" s="482">
        <v>62.0</v>
      </c>
      <c r="F246" s="507">
        <v>75.0</v>
      </c>
      <c r="G246" s="430" t="s">
        <v>24</v>
      </c>
      <c r="H246" s="508" t="s">
        <v>71</v>
      </c>
      <c r="I246" s="508">
        <v>0.16</v>
      </c>
      <c r="J246" s="420">
        <v>1299.0</v>
      </c>
      <c r="K246" s="454" t="str">
        <f>HYPERLINK("https://amzn.to/2OlyeAf","link*")</f>
        <v>link*</v>
      </c>
      <c r="L246" s="454" t="str">
        <f>HYPERLINK("https://www.bhphotovideo.com/c/product/1389169-REG/zeiss_000000_2218_783_loxia_25mm_f_2_4_lens.html/BI/19619/KBID/12129/kw/ZE2524L/DFF/d10-v2-t1-xZE2524L","link*")</f>
        <v>link*</v>
      </c>
      <c r="M246" s="454" t="str">
        <f>HYPERLINK("https://amzn.to/2OlyeAf","link*")</f>
        <v>link*</v>
      </c>
      <c r="N246" s="454" t="str">
        <f>HYPERLINK("http://rover.ebay.com/rover/1/711-53200-19255-0/1?icep_ff3=9&amp;pub=5575076376&amp;toolid=10001&amp;campid=5338573609&amp;customid=&amp;icep_uq=Zeissloxia+25mm&amp;icep_sellerId=&amp;icep_ex_kw=&amp;icep_sortBy=12&amp;icep_catId=3323&amp;icep_minPrice=&amp;icep_maxPrice=&amp;ipn=psmain&amp;icep_vectorid=2"&amp;"29466&amp;kwid=902099&amp;mtid=824&amp;kw=lg","link*")</f>
        <v>link*</v>
      </c>
      <c r="O246" s="422">
        <v>25.0</v>
      </c>
      <c r="P246" s="418" t="s">
        <v>26</v>
      </c>
      <c r="Q246" s="508">
        <v>10.0</v>
      </c>
      <c r="R246" s="423" t="s">
        <v>83</v>
      </c>
      <c r="S246" s="466" t="s">
        <v>58</v>
      </c>
      <c r="T246" s="425">
        <v>43160.0</v>
      </c>
      <c r="U246" s="173"/>
    </row>
    <row r="247">
      <c r="A247" s="516" t="s">
        <v>84</v>
      </c>
      <c r="B247" s="432">
        <v>965.0</v>
      </c>
      <c r="C247" s="509">
        <v>28.0</v>
      </c>
      <c r="D247" s="468">
        <v>1.4</v>
      </c>
      <c r="E247" s="499">
        <v>83.0</v>
      </c>
      <c r="F247" s="510">
        <v>134.0</v>
      </c>
      <c r="G247" s="418" t="s">
        <v>30</v>
      </c>
      <c r="H247" s="508" t="s">
        <v>56</v>
      </c>
      <c r="I247" s="508">
        <v>0.19</v>
      </c>
      <c r="J247" s="420">
        <v>1399.0</v>
      </c>
      <c r="K247" s="454" t="str">
        <f>HYPERLINK("https://amzn.to/2Wn0pxO","link*")</f>
        <v>link*</v>
      </c>
      <c r="L247" s="454" t="str">
        <f>HYPERLINK("https://www.bhphotovideo.com/c/product/1436285-REG/sigma_28mm_f_1_4_dg_hsm.html/BI/19619/KBID/12129/kw/SI2814DGSE/DFF/d10-v2-t1-xSI2814DGSE","link*")</f>
        <v>link*</v>
      </c>
      <c r="M247" s="454" t="str">
        <f>HYPERLINK("https://amzn.to/2WzVkHd","link*")</f>
        <v>link*</v>
      </c>
      <c r="N247" s="454"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c r="O247" s="422">
        <v>28.0</v>
      </c>
      <c r="P247" s="418" t="s">
        <v>26</v>
      </c>
      <c r="Q247" s="508">
        <v>9.0</v>
      </c>
      <c r="R247" s="423" t="s">
        <v>81</v>
      </c>
      <c r="S247" s="466" t="s">
        <v>41</v>
      </c>
      <c r="T247" s="425">
        <v>43435.0</v>
      </c>
      <c r="U247" s="173"/>
    </row>
    <row r="248" hidden="1">
      <c r="A248" s="538" t="str">
        <f>HYPERLINK("https://www.systemkamera-forum.de/blog/2015/05/sony-fe-28mm-f2-test-und-erfahrungsbericht/","Sony FE 2/28")</f>
        <v>Sony FE 2/28</v>
      </c>
      <c r="B248" s="463">
        <v>200.0</v>
      </c>
      <c r="C248" s="509">
        <v>28.0</v>
      </c>
      <c r="D248" s="475">
        <v>2.0</v>
      </c>
      <c r="E248" s="482">
        <v>60.0</v>
      </c>
      <c r="F248" s="511">
        <v>60.0</v>
      </c>
      <c r="G248" s="418" t="s">
        <v>30</v>
      </c>
      <c r="H248" s="508" t="s">
        <v>74</v>
      </c>
      <c r="I248" s="508">
        <v>0.13</v>
      </c>
      <c r="J248" s="459">
        <v>448.0</v>
      </c>
      <c r="K248" s="454" t="str">
        <f>HYPERLINK("https://amzn.to/2GXJWdo","link*")</f>
        <v>link*</v>
      </c>
      <c r="L248" s="454" t="str">
        <f>HYPERLINK("https://www.bhphotovideo.com/c/product/1402637-REG/sony_fe_28mm_f_2_lens.html/BI/19619/KBID/12129/kw/SO2820F/DFF/d10-v2-t1-xSO2820F","link*")</f>
        <v>link*</v>
      </c>
      <c r="M248" s="454" t="str">
        <f>HYPERLINK("http://amzn.to/2wyLOCO","link*")</f>
        <v>link*</v>
      </c>
      <c r="N248" s="454" t="str">
        <f>HYPERLINK("http://rover.ebay.com/rover/1/711-53200-19255-0/1?icep_ff3=10&amp;pub=5575076376&amp;toolid=10001&amp;campid=5338164340&amp;customid=&amp;icep_uq=sony+28+fe&amp;icep_sellerId=&amp;icep_ex_kw=&amp;icep_sortBy=12&amp;icep_catId=&amp;icep_minPrice=&amp;icep_maxPrice=&amp;ipn=psmain&amp;icep_vectorid=229466&amp;kw"&amp;"id=902099&amp;mtid=824&amp;kw=lg","link*")</f>
        <v>link*</v>
      </c>
      <c r="O248" s="422">
        <v>29.0</v>
      </c>
      <c r="P248" s="418" t="s">
        <v>26</v>
      </c>
      <c r="Q248" s="508">
        <v>9.0</v>
      </c>
      <c r="R248" s="423" t="s">
        <v>60</v>
      </c>
      <c r="S248" s="466" t="s">
        <v>32</v>
      </c>
      <c r="T248" s="425">
        <v>42064.0</v>
      </c>
      <c r="U248" s="173"/>
    </row>
    <row r="249" hidden="1">
      <c r="A249" s="538" t="str">
        <f>HYPERLINK("https://phillipreeve.net/blog/review-tamron-28-75mm-f-2-8-di-iii-rxd-sony-e-mount/","Tamron 2.8/28-75")</f>
        <v>Tamron 2.8/28-75</v>
      </c>
      <c r="B249" s="413">
        <v>550.0</v>
      </c>
      <c r="C249" s="509">
        <v>28.0</v>
      </c>
      <c r="D249" s="440">
        <v>2.8</v>
      </c>
      <c r="E249" s="501">
        <v>73.0</v>
      </c>
      <c r="F249" s="512">
        <v>118.0</v>
      </c>
      <c r="G249" s="418" t="s">
        <v>30</v>
      </c>
      <c r="H249" s="508" t="s">
        <v>53</v>
      </c>
      <c r="I249" s="513">
        <v>0.34</v>
      </c>
      <c r="J249" s="459">
        <v>879.0</v>
      </c>
      <c r="K249" s="454" t="str">
        <f>HYPERLINK("https://amzn.to/2ST5uxq","link*")</f>
        <v>link*</v>
      </c>
      <c r="L249" s="454" t="str">
        <f>HYPERLINK("https://www.bhphotovideo.com/c/product/1393332-REG/tamron_a036_28_75mm_f_2_8_di_iii.html/BI/19619/KBID/12129/DFF/d10-v21-t1-x892059/SID/EZ","link*")</f>
        <v>link*</v>
      </c>
      <c r="M249" s="454" t="str">
        <f>HYPERLINK("https://amzn.to/2ZmSzdU","link*")</f>
        <v>link*</v>
      </c>
      <c r="N249" s="454"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c r="O249" s="422">
        <v>19.0</v>
      </c>
      <c r="P249" s="418" t="s">
        <v>26</v>
      </c>
      <c r="Q249" s="508">
        <v>9.0</v>
      </c>
      <c r="R249" s="423" t="s">
        <v>85</v>
      </c>
      <c r="S249" s="466" t="s">
        <v>55</v>
      </c>
      <c r="T249" s="425">
        <v>43252.0</v>
      </c>
      <c r="U249" s="173"/>
    </row>
    <row r="250" hidden="1">
      <c r="A250" s="516" t="s">
        <v>88</v>
      </c>
      <c r="B250" s="427">
        <v>295.0</v>
      </c>
      <c r="C250" s="509">
        <v>28.0</v>
      </c>
      <c r="D250" s="496" t="s">
        <v>89</v>
      </c>
      <c r="E250" s="501">
        <v>73.0</v>
      </c>
      <c r="F250" s="514">
        <v>83.0</v>
      </c>
      <c r="G250" s="418" t="s">
        <v>30</v>
      </c>
      <c r="H250" s="508" t="s">
        <v>90</v>
      </c>
      <c r="I250" s="508">
        <v>0.19</v>
      </c>
      <c r="J250" s="420">
        <v>398.0</v>
      </c>
      <c r="K250" s="454" t="str">
        <f>HYPERLINK("https://www.amazon.com/gp/product/B00FYOFADE/ref=as_li_tl?ie=UTF8&amp;tag=wwwphillipree-20&amp;camp=1789&amp;creative=9325&amp;linkCode=as2&amp;creativeASIN=B00FYOFADE&amp;linkId=96720b245156eae53bb1a672d4453d3f","link*")</f>
        <v>link*</v>
      </c>
      <c r="L250" s="454" t="str">
        <f>HYPERLINK("https://www.bhphotovideo.com/c/product/1015472-REG/sony_sel2870_fe_28_70mm_f_3_5_5_6_oss.html/BI/19619/KBID/12129/DFF/d10-v21-t1-x473993/SID/EZ","link*")</f>
        <v>link*</v>
      </c>
      <c r="M250" s="454" t="str">
        <f>HYPERLINK("https://www.amazon.de/gp/product/B00HSHFPD0/ref=as_li_tl?ie=UTF8&amp;tag=wwwphillipree-21&amp;camp=1638&amp;creative=6742&amp;linkCode=as2&amp;creativeASIN=B00HSHFPD0&amp;linkId=6701f30673f8a4071232ca85e1953506","link*")</f>
        <v>link*</v>
      </c>
      <c r="N250" s="454"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c r="O250" s="422">
        <v>30.0</v>
      </c>
      <c r="P250" s="515" t="s">
        <v>49</v>
      </c>
      <c r="Q250" s="508">
        <v>7.0</v>
      </c>
      <c r="R250" s="423" t="s">
        <v>60</v>
      </c>
      <c r="S250" s="466" t="s">
        <v>32</v>
      </c>
      <c r="T250" s="425">
        <v>41548.0</v>
      </c>
      <c r="U250" s="173"/>
    </row>
    <row r="251" hidden="1">
      <c r="A251" s="516" t="s">
        <v>91</v>
      </c>
      <c r="B251" s="432">
        <v>1215.0</v>
      </c>
      <c r="C251" s="509">
        <v>28.0</v>
      </c>
      <c r="D251" s="415">
        <v>4.0</v>
      </c>
      <c r="E251" s="517">
        <v>105.0</v>
      </c>
      <c r="F251" s="518">
        <v>165.0</v>
      </c>
      <c r="G251" s="418" t="s">
        <v>30</v>
      </c>
      <c r="H251" s="519" t="s">
        <v>92</v>
      </c>
      <c r="I251" s="466"/>
      <c r="J251" s="420">
        <v>249.0</v>
      </c>
      <c r="K251" s="454" t="str">
        <f>HYPERLINK("http://amzn.to/2v2kiy9","link*")</f>
        <v>link*</v>
      </c>
      <c r="L251" s="454" t="str">
        <f>HYPERLINK("https://www.bhphotovideo.com/c/product/1082051-REG/sony_selp28135g_e_pz_28_135mm_f_4.html/BI/19619/KBID/12129/DFF/d10-v21-t1-x556056/SID/EZ","link*")</f>
        <v>link*</v>
      </c>
      <c r="M251" s="454" t="str">
        <f>HYPERLINK("http://amzn.to/2wlpg9b","link*")</f>
        <v>link*</v>
      </c>
      <c r="N251" s="454"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O251" s="422">
        <v>40.0</v>
      </c>
      <c r="P251" s="515" t="s">
        <v>49</v>
      </c>
      <c r="Q251" s="508">
        <v>9.0</v>
      </c>
      <c r="R251" s="423" t="s">
        <v>93</v>
      </c>
      <c r="S251" s="466" t="s">
        <v>32</v>
      </c>
      <c r="T251" s="425">
        <v>41883.0</v>
      </c>
      <c r="U251" s="411" t="s">
        <v>94</v>
      </c>
    </row>
    <row r="252">
      <c r="A252" s="546" t="str">
        <f>HYPERLINK("https://phillipreeve.net/blog/review-sigma-35mm-1-2-art-dg-dn/","Sigma Art 1.2/35")</f>
        <v>Sigma Art 1.2/35</v>
      </c>
      <c r="B252" s="432">
        <v>1090.0</v>
      </c>
      <c r="C252" s="520">
        <v>35.0</v>
      </c>
      <c r="D252" s="521">
        <v>1.2</v>
      </c>
      <c r="E252" s="493">
        <v>88.0</v>
      </c>
      <c r="F252" s="494">
        <v>136.0</v>
      </c>
      <c r="G252" s="466" t="s">
        <v>30</v>
      </c>
      <c r="H252" s="522" t="s">
        <v>51</v>
      </c>
      <c r="I252" s="508">
        <v>0.19</v>
      </c>
      <c r="J252" s="420">
        <v>1499.0</v>
      </c>
      <c r="K252" s="454" t="str">
        <f>HYPERLINK("https://amzn.to/2LiHhxc","link*")</f>
        <v>link*</v>
      </c>
      <c r="L252" s="454" t="str">
        <f>HYPERLINK("https://www.bhphotovideo.com/c/product/1492967-REG/sigma_341969_35mm_f_1_2_dg_dn.html/BI/19619/KBID/12129/DFF/d10-v21-t1-x976038/SID/EZ","link*")</f>
        <v>link*</v>
      </c>
      <c r="M252" s="466"/>
      <c r="N252" s="454"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c r="O252" s="422">
        <v>30.0</v>
      </c>
      <c r="P252" s="418" t="s">
        <v>26</v>
      </c>
      <c r="Q252" s="508">
        <v>11.0</v>
      </c>
      <c r="R252" s="437">
        <v>43816.0</v>
      </c>
      <c r="S252" s="466" t="s">
        <v>41</v>
      </c>
      <c r="T252" s="425">
        <v>43647.0</v>
      </c>
      <c r="U252" s="173"/>
    </row>
    <row r="253" hidden="1">
      <c r="A253" s="538" t="str">
        <f>HYPERLINK("https://phillipreeve.net/blog/review-sony-fe-35mm-1-4-za/","Sony ZA 1.4/35")</f>
        <v>Sony ZA 1.4/35</v>
      </c>
      <c r="B253" s="413">
        <v>630.0</v>
      </c>
      <c r="C253" s="520">
        <v>35.0</v>
      </c>
      <c r="D253" s="468">
        <v>1.4</v>
      </c>
      <c r="E253" s="523">
        <v>79.0</v>
      </c>
      <c r="F253" s="524">
        <v>112.0</v>
      </c>
      <c r="G253" s="466" t="s">
        <v>30</v>
      </c>
      <c r="H253" s="508" t="s">
        <v>48</v>
      </c>
      <c r="I253" s="508">
        <v>0.18</v>
      </c>
      <c r="J253" s="420">
        <v>1599.0</v>
      </c>
      <c r="K253" s="454" t="str">
        <f>HYPERLINK("https://amzn.to/2LRSMOS","link*")</f>
        <v>link*</v>
      </c>
      <c r="L253" s="454" t="str">
        <f>HYPERLINK("https://www.bhphotovideo.com/c/product/1126137-REG/sony_sel35f14z_distagon_t_fe_35mm.html/BI/19619/KBID/12129/DFF/d10-v21-t1-x612725/SID/EZ","link*")</f>
        <v>link*</v>
      </c>
      <c r="M253" s="454" t="str">
        <f>HYPERLINK("https://amzn.to/2ZmfSnX","link*")</f>
        <v>link*</v>
      </c>
      <c r="N253" s="454" t="str">
        <f>HYPERLINK("http://rover.ebay.com/rover/1/711-53200-19255-0/1?icep_ff3=9&amp;pub=5575076376&amp;toolid=10001&amp;campid=5338573609&amp;customid=&amp;icep_uq=sony+35+1.4+fe&amp;icep_sellerId=&amp;icep_ex_kw=&amp;icep_sortBy=12&amp;icep_catId=3323&amp;icep_minPrice=&amp;icep_maxPrice=&amp;ipn=psmain&amp;icep_vectorid=22"&amp;"9466&amp;kwid=902099&amp;mtid=824&amp;kw=lg","link*")</f>
        <v>link*</v>
      </c>
      <c r="O253" s="422">
        <v>30.0</v>
      </c>
      <c r="P253" s="418" t="s">
        <v>26</v>
      </c>
      <c r="Q253" s="508">
        <v>9.0</v>
      </c>
      <c r="R253" s="437">
        <v>43689.0</v>
      </c>
      <c r="S253" s="466" t="s">
        <v>32</v>
      </c>
      <c r="T253" s="425">
        <v>42064.0</v>
      </c>
      <c r="U253" s="173"/>
    </row>
    <row r="254" hidden="1">
      <c r="A254" s="516" t="s">
        <v>226</v>
      </c>
      <c r="B254" s="413">
        <v>645.0</v>
      </c>
      <c r="C254" s="520">
        <v>35.0</v>
      </c>
      <c r="D254" s="468">
        <v>1.4</v>
      </c>
      <c r="E254" s="525">
        <v>76.0</v>
      </c>
      <c r="F254" s="526">
        <v>115.0</v>
      </c>
      <c r="G254" s="466" t="s">
        <v>30</v>
      </c>
      <c r="H254" s="508" t="s">
        <v>53</v>
      </c>
      <c r="I254" s="508">
        <v>0.17</v>
      </c>
      <c r="J254" s="420">
        <v>799.0</v>
      </c>
      <c r="K254" s="454" t="str">
        <f>HYPERLINK("https://amzn.to/2K8DDXH","link*")</f>
        <v>link*</v>
      </c>
      <c r="L254" s="454" t="str">
        <f t="shared" ref="L254:L255" si="7">HYPERLINK("https://www.bhphotovideo.com/c/product/1381712-REG/voigtlander_nokton_classic_35mm_f_1_4.html/BI/19619/KBID/12129/DFF/d10-v21-t1-x877353/SID/EZ","link*")</f>
        <v>link*</v>
      </c>
      <c r="M254" s="454" t="str">
        <f>HYPERLINK("https://amzn.to/2Zhl3FI","link*")</f>
        <v>link*</v>
      </c>
      <c r="N254" s="454"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O254" s="422">
        <v>30.0</v>
      </c>
      <c r="P254" s="418" t="s">
        <v>26</v>
      </c>
      <c r="Q254" s="508">
        <v>9.0</v>
      </c>
      <c r="R254" s="437">
        <v>43719.0</v>
      </c>
      <c r="S254" s="466" t="s">
        <v>46</v>
      </c>
      <c r="T254" s="425">
        <v>43009.0</v>
      </c>
      <c r="U254" s="411" t="s">
        <v>99</v>
      </c>
    </row>
    <row r="255" hidden="1">
      <c r="A255" s="538" t="str">
        <f>HYPERLINK("https://phillipreeve.net/blog/review-voigtlander-35mm-1-4-nokton-e-classic/","Voigtlander 35mm F1.4 Nokton Classic")</f>
        <v>Voigtlander 35mm F1.4 Nokton Classic</v>
      </c>
      <c r="B255" s="427">
        <v>262.0</v>
      </c>
      <c r="C255" s="520">
        <v>35.0</v>
      </c>
      <c r="D255" s="468">
        <v>1.4</v>
      </c>
      <c r="E255" s="527">
        <v>67.0</v>
      </c>
      <c r="F255" s="485">
        <v>40.0</v>
      </c>
      <c r="G255" s="528" t="s">
        <v>24</v>
      </c>
      <c r="H255" s="508" t="s">
        <v>47</v>
      </c>
      <c r="I255" s="508">
        <v>0.16</v>
      </c>
      <c r="J255" s="420">
        <v>799.0</v>
      </c>
      <c r="K255" s="454" t="str">
        <f>HYPERLINK("https://amzn.to/2M1M8WH","link*")</f>
        <v>link*</v>
      </c>
      <c r="L255" s="454" t="str">
        <f t="shared" si="7"/>
        <v>link*</v>
      </c>
      <c r="M255" s="454" t="str">
        <f>HYPERLINK("https://amzn.to/2ZswTZ3","link*")</f>
        <v>link*</v>
      </c>
      <c r="N255" s="454"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c r="O255" s="422">
        <v>30.0</v>
      </c>
      <c r="P255" s="418" t="s">
        <v>26</v>
      </c>
      <c r="Q255" s="508">
        <v>10.0</v>
      </c>
      <c r="R255" s="437">
        <v>43624.0</v>
      </c>
      <c r="S255" s="466" t="s">
        <v>28</v>
      </c>
      <c r="T255" s="425">
        <v>43132.0</v>
      </c>
      <c r="U255" s="173"/>
    </row>
    <row r="256">
      <c r="A256" s="538" t="str">
        <f>HYPERLINK("https://phillipreeve.net/blog/review-sigma-35mm-1-4-art/","Sigma Art 1.4/35")</f>
        <v>Sigma Art 1.4/35</v>
      </c>
      <c r="B256" s="439">
        <v>740.0</v>
      </c>
      <c r="C256" s="520">
        <v>35.0</v>
      </c>
      <c r="D256" s="468">
        <v>1.4</v>
      </c>
      <c r="E256" s="529">
        <v>77.0</v>
      </c>
      <c r="F256" s="530">
        <v>94.0</v>
      </c>
      <c r="G256" s="466" t="s">
        <v>30</v>
      </c>
      <c r="H256" s="508" t="s">
        <v>53</v>
      </c>
      <c r="I256" s="508">
        <v>0.19</v>
      </c>
      <c r="J256" s="459">
        <v>899.0</v>
      </c>
      <c r="K256" s="454" t="str">
        <f>HYPERLINK("https://amzn.to/2LOaQcZ","link*")</f>
        <v>link*</v>
      </c>
      <c r="L256" s="454" t="str">
        <f>HYPERLINK("https://www.bhphotovideo.com/c/product/1393492-REG/sigma_35mm_f_1_4_dg_hsm.html/BI/19619/KBID/12129/DFF/d10-v21-t1-x881157/SID/EZ","link*")</f>
        <v>link*</v>
      </c>
      <c r="M256" s="454" t="str">
        <f>HYPERLINK("https://amzn.to/2ZrfakE","link*")</f>
        <v>link*</v>
      </c>
      <c r="N256" s="454"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O256" s="422">
        <v>30.0</v>
      </c>
      <c r="P256" s="418" t="s">
        <v>26</v>
      </c>
      <c r="Q256" s="508">
        <v>9.0</v>
      </c>
      <c r="R256" s="437">
        <v>43782.0</v>
      </c>
      <c r="S256" s="466" t="s">
        <v>41</v>
      </c>
      <c r="T256" s="425">
        <v>43221.0</v>
      </c>
      <c r="U256" s="173" t="s">
        <v>42</v>
      </c>
    </row>
    <row r="257" hidden="1">
      <c r="A257" s="542" t="s">
        <v>227</v>
      </c>
      <c r="B257" s="427">
        <v>280.0</v>
      </c>
      <c r="C257" s="520">
        <v>35.0</v>
      </c>
      <c r="D257" s="434">
        <v>1.8</v>
      </c>
      <c r="E257" s="531">
        <v>66.0</v>
      </c>
      <c r="F257" s="532">
        <v>73.0</v>
      </c>
      <c r="G257" s="466" t="s">
        <v>30</v>
      </c>
      <c r="H257" s="508" t="s">
        <v>90</v>
      </c>
      <c r="I257" s="513">
        <v>0.24</v>
      </c>
      <c r="J257" s="420">
        <v>749.0</v>
      </c>
      <c r="K257" s="466"/>
      <c r="L257" s="454" t="str">
        <f>HYPERLINK("https://www.bhphotovideo.com/c/product/1492866-REG/sony_sel35f18f_35mm_f_1_8_fe_lens.html/BI/19619/KBID/12129/DFF/d10-v21-t1-x975763/SID/EZ","link*")</f>
        <v>link*</v>
      </c>
      <c r="M257" s="454" t="str">
        <f>HYPERLINK("https://amzn.to/2PiATLC","link*")</f>
        <v>link*</v>
      </c>
      <c r="N257" s="454"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c r="O257" s="422">
        <v>22.0</v>
      </c>
      <c r="P257" s="418" t="s">
        <v>26</v>
      </c>
      <c r="Q257" s="508">
        <v>9.0</v>
      </c>
      <c r="R257" s="437">
        <v>43719.0</v>
      </c>
      <c r="S257" s="466" t="s">
        <v>32</v>
      </c>
      <c r="T257" s="425">
        <v>43647.0</v>
      </c>
      <c r="U257" s="173"/>
    </row>
    <row r="258" hidden="1">
      <c r="A258" s="538" t="str">
        <f>HYPERLINK("https://phillipreeve.net/blog/review-zeiss-loxia-35mm-2-0/","Zeiss Loxia 2/35 Biogon T*")</f>
        <v>Zeiss Loxia 2/35 Biogon T*</v>
      </c>
      <c r="B258" s="427">
        <v>340.0</v>
      </c>
      <c r="C258" s="520">
        <v>35.0</v>
      </c>
      <c r="D258" s="475">
        <v>2.0</v>
      </c>
      <c r="E258" s="482">
        <v>62.0</v>
      </c>
      <c r="F258" s="533">
        <v>66.0</v>
      </c>
      <c r="G258" s="528" t="s">
        <v>24</v>
      </c>
      <c r="H258" s="508" t="s">
        <v>71</v>
      </c>
      <c r="I258" s="508">
        <v>0.17</v>
      </c>
      <c r="J258" s="420">
        <v>1299.0</v>
      </c>
      <c r="K258" s="454" t="str">
        <f>HYPERLINK("https://amzn.to/2T2sJWe","link*")</f>
        <v>link*</v>
      </c>
      <c r="L258" s="454" t="str">
        <f>HYPERLINK("https://www.bhphotovideo.com/c/product/1080388-REG/zeiss_2103_749_loxia_35mm_f_2_biogon.html/BI/19619/KBID/12129/DFF/d10-v21-t1-x553792/SID/EZ","link*")</f>
        <v>link*</v>
      </c>
      <c r="M258" s="466" t="s">
        <v>33</v>
      </c>
      <c r="N258" s="454"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O258" s="422">
        <v>30.0</v>
      </c>
      <c r="P258" s="418" t="s">
        <v>26</v>
      </c>
      <c r="Q258" s="508">
        <v>10.0</v>
      </c>
      <c r="R258" s="437">
        <v>43625.0</v>
      </c>
      <c r="S258" s="466" t="s">
        <v>58</v>
      </c>
      <c r="T258" s="425">
        <v>41974.0</v>
      </c>
      <c r="U258" s="411" t="s">
        <v>101</v>
      </c>
    </row>
    <row r="259" hidden="1">
      <c r="A259" s="538" t="str">
        <f>HYPERLINK("http://www.photozone.de/sonyalphaff/865-zeiss35f28ff","Sony ZA 2.8/35")</f>
        <v>Sony ZA 2.8/35</v>
      </c>
      <c r="B259" s="463">
        <v>120.0</v>
      </c>
      <c r="C259" s="520">
        <v>35.0</v>
      </c>
      <c r="D259" s="440">
        <v>2.8</v>
      </c>
      <c r="E259" s="482">
        <v>62.0</v>
      </c>
      <c r="F259" s="491">
        <v>37.0</v>
      </c>
      <c r="G259" s="466" t="s">
        <v>30</v>
      </c>
      <c r="H259" s="508" t="s">
        <v>74</v>
      </c>
      <c r="I259" s="508">
        <v>0.12</v>
      </c>
      <c r="J259" s="420">
        <v>798.0</v>
      </c>
      <c r="K259" s="454" t="str">
        <f>HYPERLINK("https://amzn.to/2yvhL24","link*")</f>
        <v>link*</v>
      </c>
      <c r="L259" s="454" t="str">
        <f>HYPERLINK("https://www.bhphotovideo.com/c/product/1008123-REG/sony_sel35f28z_sonnar_t_fe_35mm.html/BI/19619/KBID/12129/DFF/d10-v21-t1-x466840/SID/EZ","link*")</f>
        <v>link*</v>
      </c>
      <c r="M259" s="466" t="s">
        <v>33</v>
      </c>
      <c r="N259" s="454"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c r="O259" s="422">
        <v>35.0</v>
      </c>
      <c r="P259" s="418" t="s">
        <v>26</v>
      </c>
      <c r="Q259" s="508">
        <v>9.0</v>
      </c>
      <c r="R259" s="437">
        <v>43592.0</v>
      </c>
      <c r="S259" s="466" t="s">
        <v>32</v>
      </c>
      <c r="T259" s="425">
        <v>41487.0</v>
      </c>
      <c r="U259" s="173"/>
    </row>
    <row r="260" hidden="1">
      <c r="A260" s="516" t="s">
        <v>102</v>
      </c>
      <c r="B260" s="463">
        <v>86.0</v>
      </c>
      <c r="C260" s="520">
        <v>35.0</v>
      </c>
      <c r="D260" s="440">
        <v>2.8</v>
      </c>
      <c r="E260" s="482">
        <v>62.0</v>
      </c>
      <c r="F260" s="534">
        <v>33.0</v>
      </c>
      <c r="G260" s="466" t="s">
        <v>30</v>
      </c>
      <c r="H260" s="508" t="s">
        <v>74</v>
      </c>
      <c r="I260" s="508">
        <v>0.12</v>
      </c>
      <c r="J260" s="535">
        <v>399.0</v>
      </c>
      <c r="K260" s="454" t="str">
        <f t="shared" ref="K260:K261" si="8">HYPERLINK("https://amzn.to/2MGKrxp","link*")</f>
        <v>link*</v>
      </c>
      <c r="L260" s="454" t="str">
        <f>HYPERLINK("https://www.bhphotovideo.com/c/product/1348365-REG/samyang_syio35af_e_35mm_f2_8_compact_wide.html/BI/19619/KBID/12129/DFF/d10-v21-t1-x832776/SID/EZ","link*")</f>
        <v>link*</v>
      </c>
      <c r="M260" s="466" t="s">
        <v>33</v>
      </c>
      <c r="N260" s="454"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O260" s="422">
        <v>35.0</v>
      </c>
      <c r="P260" s="418" t="s">
        <v>26</v>
      </c>
      <c r="Q260" s="508">
        <v>9.0</v>
      </c>
      <c r="R260" s="437">
        <v>43623.0</v>
      </c>
      <c r="S260" s="466" t="s">
        <v>46</v>
      </c>
      <c r="T260" s="425">
        <v>42917.0</v>
      </c>
      <c r="U260" s="173"/>
    </row>
    <row r="261" hidden="1">
      <c r="A261" s="538" t="str">
        <f>HYPERLINK("https://phillipreeve.net/blog/voigtlander-40mm-f1-2-nokton-aspherical-rolling-review/","Voigtlander 40mm F1.2 Nokton")</f>
        <v>Voigtlander 40mm F1.2 Nokton</v>
      </c>
      <c r="B261" s="413">
        <v>420.0</v>
      </c>
      <c r="C261" s="536">
        <v>40.0</v>
      </c>
      <c r="D261" s="521">
        <v>1.2</v>
      </c>
      <c r="E261" s="481">
        <v>70.0</v>
      </c>
      <c r="F261" s="537">
        <v>59.0</v>
      </c>
      <c r="G261" s="528" t="s">
        <v>24</v>
      </c>
      <c r="H261" s="508" t="s">
        <v>47</v>
      </c>
      <c r="I261" s="508">
        <v>0.16</v>
      </c>
      <c r="J261" s="420">
        <v>1099.0</v>
      </c>
      <c r="K261" s="454" t="str">
        <f t="shared" si="8"/>
        <v>link*</v>
      </c>
      <c r="L261" s="454" t="str">
        <f>HYPERLINK("https://www.bhphotovideo.com/c/product/1362557-REG/voigtlander_nokton_40mm_f_1_2_aspherical.html/BI/19619/KBID/12129/DFF/d10-v21-t1-x851241/SID/EZ","link*")</f>
        <v>link*</v>
      </c>
      <c r="M261" s="466" t="s">
        <v>33</v>
      </c>
      <c r="N261" s="454"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c r="O261" s="422">
        <v>35.0</v>
      </c>
      <c r="P261" s="418" t="s">
        <v>26</v>
      </c>
      <c r="Q261" s="508">
        <v>10.0</v>
      </c>
      <c r="R261" s="437">
        <v>43624.0</v>
      </c>
      <c r="S261" s="466" t="s">
        <v>28</v>
      </c>
      <c r="T261" s="425">
        <v>43040.0</v>
      </c>
      <c r="U261" s="173"/>
    </row>
    <row r="262">
      <c r="A262" s="538" t="str">
        <f>HYPERLINK("https://phillipreeve.net/blog/review-sigma-40mm-1-4-art/","Sigma Art 1.4/40")</f>
        <v>Sigma Art 1.4/40</v>
      </c>
      <c r="B262" s="432">
        <v>1200.0</v>
      </c>
      <c r="C262" s="536">
        <v>40.0</v>
      </c>
      <c r="D262" s="468">
        <v>1.4</v>
      </c>
      <c r="E262" s="493">
        <v>88.0</v>
      </c>
      <c r="F262" s="518">
        <v>157.0</v>
      </c>
      <c r="G262" s="466" t="s">
        <v>30</v>
      </c>
      <c r="H262" s="539" t="s">
        <v>51</v>
      </c>
      <c r="I262" s="508">
        <v>0.15</v>
      </c>
      <c r="J262" s="420">
        <v>1399.0</v>
      </c>
      <c r="K262" s="454" t="str">
        <f>HYPERLINK("https://amzn.to/2SYXFXq","link*")</f>
        <v>link*</v>
      </c>
      <c r="L262" s="454" t="str">
        <f>HYPERLINK("https://www.bhphotovideo.com/c/product/1436292-REG/sigma_40mm_f_1_4_dg_hsm.html/BI/19619/KBID/12129/DFF/d10-v21-t1-x925196/SID/EZ","link*")</f>
        <v>link*</v>
      </c>
      <c r="M262" s="466" t="s">
        <v>33</v>
      </c>
      <c r="N262" s="454"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O262" s="422">
        <v>40.0</v>
      </c>
      <c r="P262" s="418" t="s">
        <v>26</v>
      </c>
      <c r="Q262" s="508">
        <v>9.0</v>
      </c>
      <c r="R262" s="437">
        <v>43815.0</v>
      </c>
      <c r="S262" s="466" t="s">
        <v>41</v>
      </c>
      <c r="T262" s="425">
        <v>43435.0</v>
      </c>
      <c r="U262" s="173" t="s">
        <v>42</v>
      </c>
    </row>
    <row r="263" hidden="1">
      <c r="A263" s="538" t="str">
        <f>HYPERLINK("https://phillipreeve.net/blog/review-zeiss-batis-2-40-cf/","Zeiss Batis 2/40 CF T*")</f>
        <v>Zeiss Batis 2/40 CF T*</v>
      </c>
      <c r="B263" s="427">
        <v>361.0</v>
      </c>
      <c r="C263" s="536">
        <v>40.0</v>
      </c>
      <c r="D263" s="475">
        <v>2.0</v>
      </c>
      <c r="E263" s="540">
        <v>91.0</v>
      </c>
      <c r="F263" s="541">
        <v>93.0</v>
      </c>
      <c r="G263" s="466" t="s">
        <v>30</v>
      </c>
      <c r="H263" s="508" t="s">
        <v>53</v>
      </c>
      <c r="I263" s="513">
        <v>0.3</v>
      </c>
      <c r="J263" s="420">
        <v>1299.0</v>
      </c>
      <c r="K263" s="454" t="str">
        <f>HYPERLINK("https://amzn.to/2LUN0MF","link*")</f>
        <v>link*</v>
      </c>
      <c r="L263" s="454" t="str">
        <f>HYPERLINK("https://www.bhphotovideo.com/c/product/1436738-REG/zeiss_000000_2239_137_batis_40mm_f_2_cf.html/BI/19619/KBID/12129/DFF/d10-v21-t1-x915694/SID/EZ","link*")</f>
        <v>link*</v>
      </c>
      <c r="M263" s="466" t="s">
        <v>33</v>
      </c>
      <c r="N263" s="454"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O263" s="422">
        <v>24.0</v>
      </c>
      <c r="P263" s="418" t="s">
        <v>26</v>
      </c>
      <c r="Q263" s="508">
        <v>9.0</v>
      </c>
      <c r="R263" s="437">
        <v>43686.0</v>
      </c>
      <c r="S263" s="466" t="s">
        <v>58</v>
      </c>
      <c r="T263" s="425">
        <v>43435.0</v>
      </c>
      <c r="U263" s="411" t="s">
        <v>228</v>
      </c>
    </row>
    <row r="264" hidden="1">
      <c r="A264" s="542" t="s">
        <v>106</v>
      </c>
      <c r="B264" s="463">
        <v>162.0</v>
      </c>
      <c r="C264" s="543">
        <v>45.0</v>
      </c>
      <c r="D264" s="434">
        <v>1.8</v>
      </c>
      <c r="E264" s="482">
        <v>62.0</v>
      </c>
      <c r="F264" s="544">
        <v>56.0</v>
      </c>
      <c r="G264" s="466" t="s">
        <v>30</v>
      </c>
      <c r="H264" s="508" t="s">
        <v>74</v>
      </c>
      <c r="I264" s="508">
        <v>0.12</v>
      </c>
      <c r="J264" s="478">
        <v>399.0</v>
      </c>
      <c r="K264" s="454" t="str">
        <f>HYPERLINK("https://amzn.to/2YC6MST","link*")</f>
        <v>link*</v>
      </c>
      <c r="L264" s="454" t="str">
        <f>HYPERLINK("https://www.bhphotovideo.com/c/product/1478738-REG/samyang_af_45mm_f_1_8_fe.html/BI/19619/KBID/12129/DFF/d10-v21-t1-x964329/SID/EZ","link*")</f>
        <v>link*</v>
      </c>
      <c r="M264" s="466" t="s">
        <v>33</v>
      </c>
      <c r="N264" s="454"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c r="O264" s="422">
        <v>45.0</v>
      </c>
      <c r="P264" s="418" t="s">
        <v>26</v>
      </c>
      <c r="Q264" s="508">
        <v>9.0</v>
      </c>
      <c r="R264" s="437">
        <v>43623.0</v>
      </c>
      <c r="S264" s="466" t="s">
        <v>46</v>
      </c>
      <c r="T264" s="425">
        <v>43647.0</v>
      </c>
      <c r="U264" s="173"/>
    </row>
    <row r="265">
      <c r="A265" s="542" t="s">
        <v>107</v>
      </c>
      <c r="B265" s="427">
        <v>215.0</v>
      </c>
      <c r="C265" s="543">
        <v>45.0</v>
      </c>
      <c r="D265" s="440">
        <v>2.8</v>
      </c>
      <c r="E265" s="482">
        <v>64.0</v>
      </c>
      <c r="F265" s="545">
        <v>46.0</v>
      </c>
      <c r="G265" s="466" t="s">
        <v>30</v>
      </c>
      <c r="H265" s="508" t="s">
        <v>90</v>
      </c>
      <c r="I265" s="513">
        <v>0.25</v>
      </c>
      <c r="J265" s="420">
        <v>549.0</v>
      </c>
      <c r="K265" s="454" t="str">
        <f>HYPERLINK("https://amzn.to/2SYEvAX","link*")</f>
        <v>link*</v>
      </c>
      <c r="L265" s="454" t="str">
        <f>HYPERLINK("https://www.bhphotovideo.com/c/product/1492966-REG/sigma_360965_45mm_f_2_8_dg_dn.html/BI/19619/KBID/12129/DFF/d10-v21-t1-x976020/SID/EZ","link*")</f>
        <v>link*</v>
      </c>
      <c r="M265" s="466" t="s">
        <v>33</v>
      </c>
      <c r="N265" s="454"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O265" s="422">
        <v>24.0</v>
      </c>
      <c r="P265" s="418" t="s">
        <v>26</v>
      </c>
      <c r="Q265" s="508">
        <v>7.0</v>
      </c>
      <c r="R265" s="437">
        <v>43654.0</v>
      </c>
      <c r="S265" s="466" t="s">
        <v>41</v>
      </c>
      <c r="T265" s="425">
        <v>43647.0</v>
      </c>
      <c r="U265" s="411" t="s">
        <v>108</v>
      </c>
    </row>
    <row r="266" hidden="1">
      <c r="A266" s="546" t="str">
        <f>HYPERLINK("https://phillipreeve.net/blog/review-voigtlander-50mm-1-2-nokton-e/","Voigtlander 50mm F1.2 Nokton")</f>
        <v>Voigtlander 50mm F1.2 Nokton</v>
      </c>
      <c r="B266" s="413">
        <v>440.0</v>
      </c>
      <c r="C266" s="547">
        <v>50.0</v>
      </c>
      <c r="D266" s="521">
        <v>1.2</v>
      </c>
      <c r="E266" s="481">
        <v>70.0</v>
      </c>
      <c r="F266" s="548">
        <v>58.0</v>
      </c>
      <c r="G266" s="528" t="s">
        <v>24</v>
      </c>
      <c r="H266" s="508" t="s">
        <v>47</v>
      </c>
      <c r="I266" s="466"/>
      <c r="J266" s="420">
        <v>1099.0</v>
      </c>
      <c r="K266" s="454" t="str">
        <f>HYPERLINK("https://amzn.to/2OAfE7N","link*")</f>
        <v>link*</v>
      </c>
      <c r="L266" s="454" t="str">
        <f>HYPERLINK("https://www.bhphotovideo.com/c/product/1433349-REG/voigtlander_ba348a_nokton_50mm_f_1_2_aspherical.html/BI/19619/KBID/12129/DFF/d10-v21-t1-x915623/SID/EZ","link*")</f>
        <v>link*</v>
      </c>
      <c r="M266" s="466" t="s">
        <v>33</v>
      </c>
      <c r="N266" s="454" t="str">
        <f>HYPERLINK("http://rover.ebay.com/rover/1/711-53200-19255-0/1?icep_ff3=9&amp;pub=5575076376&amp;toolid=10001&amp;campid=5338164340&amp;customid=&amp;icep_uq=sony+50+1.2&amp;icep_sellerId=&amp;icep_ex_kw=&amp;icep_sortBy=12&amp;icep_catId=3323&amp;icep_minPrice=&amp;icep_maxPrice=&amp;ipn=psmain&amp;icep_vectorid=22946"&amp;"6&amp;kwid=902099&amp;mtid=824&amp;kw=lg","link*")</f>
        <v>link*</v>
      </c>
      <c r="O266" s="422">
        <v>45.0</v>
      </c>
      <c r="P266" s="418" t="s">
        <v>26</v>
      </c>
      <c r="Q266" s="508">
        <v>12.0</v>
      </c>
      <c r="R266" s="437">
        <v>43624.0</v>
      </c>
      <c r="S266" s="466" t="s">
        <v>28</v>
      </c>
      <c r="T266" s="425">
        <v>43556.0</v>
      </c>
      <c r="U266" s="173"/>
    </row>
    <row r="267" hidden="1">
      <c r="A267" s="516" t="s">
        <v>109</v>
      </c>
      <c r="B267" s="439">
        <v>778.0</v>
      </c>
      <c r="C267" s="547">
        <v>50.0</v>
      </c>
      <c r="D267" s="468">
        <v>1.4</v>
      </c>
      <c r="E267" s="549">
        <v>84.0</v>
      </c>
      <c r="F267" s="550">
        <v>108.0</v>
      </c>
      <c r="G267" s="466" t="s">
        <v>30</v>
      </c>
      <c r="H267" s="508" t="s">
        <v>48</v>
      </c>
      <c r="I267" s="508">
        <v>0.15</v>
      </c>
      <c r="J267" s="420">
        <v>1499.0</v>
      </c>
      <c r="K267" s="454" t="str">
        <f>HYPERLINK("https://amzn.to/2K88EL7","link*")</f>
        <v>link*</v>
      </c>
      <c r="L267" s="466" t="s">
        <v>33</v>
      </c>
      <c r="M267" s="466" t="s">
        <v>33</v>
      </c>
      <c r="N267" s="454"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c r="O267" s="422">
        <v>45.0</v>
      </c>
      <c r="P267" s="418" t="s">
        <v>26</v>
      </c>
      <c r="Q267" s="508">
        <v>11.0</v>
      </c>
      <c r="R267" s="437">
        <v>43720.0</v>
      </c>
      <c r="S267" s="466" t="s">
        <v>32</v>
      </c>
      <c r="T267" s="425">
        <v>42583.0</v>
      </c>
      <c r="U267" s="173"/>
    </row>
    <row r="268">
      <c r="A268" s="516" t="s">
        <v>110</v>
      </c>
      <c r="B268" s="439">
        <v>815.0</v>
      </c>
      <c r="C268" s="547">
        <v>50.0</v>
      </c>
      <c r="D268" s="468">
        <v>1.4</v>
      </c>
      <c r="E268" s="489">
        <v>85.0</v>
      </c>
      <c r="F268" s="551">
        <v>100.0</v>
      </c>
      <c r="G268" s="466" t="s">
        <v>30</v>
      </c>
      <c r="H268" s="508" t="s">
        <v>56</v>
      </c>
      <c r="I268" s="508">
        <v>0.18</v>
      </c>
      <c r="J268" s="420">
        <v>949.0</v>
      </c>
      <c r="K268" s="454" t="str">
        <f>HYPERLINK("https://amzn.to/2K4JmyT","link*")</f>
        <v>link*</v>
      </c>
      <c r="L268" s="454" t="str">
        <f>HYPERLINK("https://www.bhphotovideo.com/c/product/1393493-REG/sigma_50mm_f_1_4_dg_hsm.html/BI/19619/KBID/12129/kw/SI5014SO/DFF/d10-v2-t1-xSI5014SO","link*")</f>
        <v>link*</v>
      </c>
      <c r="M268" s="454" t="str">
        <f>HYPERLINK("https://amzn.to/2Wpdoz5","link*")</f>
        <v>link*</v>
      </c>
      <c r="N268" s="454" t="str">
        <f>HYPERLINK("http://rover.ebay.com/rover/1/711-53200-19255-0/1?icep_ff3=9&amp;pub=5575076376&amp;toolid=10001&amp;campid=5338164340&amp;customid=&amp;icep_uq=sony+50+1.4+za+-ssm&amp;icep_sellerId=&amp;icep_ex_kw=&amp;icep_sortBy=12&amp;icep_catId=3323&amp;icep_minPrice=&amp;icep_maxPrice=&amp;ipn=psmain&amp;icep_vector"&amp;"id=229466&amp;kwid=902099&amp;mtid=824&amp;kw=lg","link*")</f>
        <v>link*</v>
      </c>
      <c r="O268" s="422">
        <v>40.0</v>
      </c>
      <c r="P268" s="418" t="s">
        <v>26</v>
      </c>
      <c r="Q268" s="508">
        <v>9.0</v>
      </c>
      <c r="R268" s="437">
        <v>43690.0</v>
      </c>
      <c r="S268" s="466" t="s">
        <v>41</v>
      </c>
      <c r="T268" s="425">
        <v>43221.0</v>
      </c>
      <c r="U268" s="173" t="s">
        <v>42</v>
      </c>
    </row>
    <row r="269" hidden="1">
      <c r="A269" s="516" t="s">
        <v>111</v>
      </c>
      <c r="B269" s="413">
        <v>585.0</v>
      </c>
      <c r="C269" s="547">
        <v>50.0</v>
      </c>
      <c r="D269" s="468">
        <v>1.4</v>
      </c>
      <c r="E269" s="552">
        <v>74.0</v>
      </c>
      <c r="F269" s="444">
        <v>98.0</v>
      </c>
      <c r="G269" s="466" t="s">
        <v>30</v>
      </c>
      <c r="H269" s="508" t="s">
        <v>53</v>
      </c>
      <c r="I269" s="508">
        <v>0.15</v>
      </c>
      <c r="J269" s="420">
        <v>699.0</v>
      </c>
      <c r="K269" s="454" t="str">
        <f>HYPERLINK("https://amzn.to/2SY1Pyr","link*")</f>
        <v>link*</v>
      </c>
      <c r="L269" s="454" t="str">
        <f>HYPERLINK("https://www.bhphotovideo.com/c/product/1352862-REG/samyang_syio50af_e_50mm_f_1_4_auto_focus.html/BI/19619/KBID/12129/DFF/d10-v21-t1-x837927/SID/EZ","link*")</f>
        <v>link*</v>
      </c>
      <c r="M269" s="466" t="s">
        <v>33</v>
      </c>
      <c r="N269" s="454"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c r="O269" s="422">
        <v>45.0</v>
      </c>
      <c r="P269" s="418" t="s">
        <v>26</v>
      </c>
      <c r="Q269" s="508">
        <v>9.0</v>
      </c>
      <c r="R269" s="437">
        <v>43686.0</v>
      </c>
      <c r="S269" s="466" t="s">
        <v>46</v>
      </c>
      <c r="T269" s="425">
        <v>42583.0</v>
      </c>
      <c r="U269" s="173"/>
    </row>
    <row r="270" hidden="1">
      <c r="A270" s="538" t="str">
        <f>HYPERLINK("https://phillipreeve.net/blog/review-sony-fe-1-850/","Sony 50mm F1.8")</f>
        <v>Sony 50mm F1.8</v>
      </c>
      <c r="B270" s="463">
        <v>186.0</v>
      </c>
      <c r="C270" s="547">
        <v>50.0</v>
      </c>
      <c r="D270" s="434">
        <v>1.8</v>
      </c>
      <c r="E270" s="476">
        <v>69.0</v>
      </c>
      <c r="F270" s="511">
        <v>60.0</v>
      </c>
      <c r="G270" s="466" t="s">
        <v>30</v>
      </c>
      <c r="H270" s="508" t="s">
        <v>74</v>
      </c>
      <c r="I270" s="508">
        <v>0.14</v>
      </c>
      <c r="J270" s="459">
        <v>249.0</v>
      </c>
      <c r="K270" s="454" t="str">
        <f>HYPERLINK("http://amzn.to/2v2F5Se","link*")</f>
        <v>link*</v>
      </c>
      <c r="L270" s="454" t="str">
        <f>HYPERLINK("https://www.bhphotovideo.com/c/product/1242613-REG/sony_sel50f18f_fe_50mm_f_1_8_lens.html/BI/19619/KBID/12129/kw/SO5018F/DFF/d10-v2-t1-xSO5018F","link*")</f>
        <v>link*</v>
      </c>
      <c r="M270" s="454" t="str">
        <f>HYPERLINK("http://amzn.to/2wyHB25","link*")</f>
        <v>link*</v>
      </c>
      <c r="N270" s="454"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c r="O270" s="422">
        <v>45.0</v>
      </c>
      <c r="P270" s="418" t="s">
        <v>26</v>
      </c>
      <c r="Q270" s="508">
        <v>7.0</v>
      </c>
      <c r="R270" s="437">
        <v>43591.0</v>
      </c>
      <c r="S270" s="466" t="s">
        <v>32</v>
      </c>
      <c r="T270" s="425">
        <v>42430.0</v>
      </c>
      <c r="U270" s="173"/>
    </row>
    <row r="271" hidden="1">
      <c r="A271" s="538" t="str">
        <f>HYPERLINK("https://phillipreeve.net/blog/review-zeiss-loxia-planar-250-t/","Zeiss Loxia 50mm F2")</f>
        <v>Zeiss Loxia 50mm F2</v>
      </c>
      <c r="B271" s="427">
        <v>320.0</v>
      </c>
      <c r="C271" s="547">
        <v>50.0</v>
      </c>
      <c r="D271" s="475">
        <v>2.0</v>
      </c>
      <c r="E271" s="482">
        <v>62.0</v>
      </c>
      <c r="F271" s="511">
        <v>60.0</v>
      </c>
      <c r="G271" s="528" t="s">
        <v>24</v>
      </c>
      <c r="H271" s="508" t="s">
        <v>71</v>
      </c>
      <c r="I271" s="508">
        <v>0.15</v>
      </c>
      <c r="J271" s="420">
        <v>949.0</v>
      </c>
      <c r="K271" s="454" t="str">
        <f>HYPERLINK("http://amzn.to/2faVsIu","link*")</f>
        <v>link*</v>
      </c>
      <c r="L271" s="454" t="str">
        <f>HYPERLINK("https://www.bhphotovideo.com/c/product/1080387-REG/zeiss_2103_748_loxia_50mm_f_2_planar.html/BI/19619/KBID/12129/kw/ZE502LFE/DFF/d10-v2-t1-xZE502LFE","link*")</f>
        <v>link*</v>
      </c>
      <c r="M271" s="454" t="str">
        <f>HYPERLINK("http://amzn.to/2wyJAU4","link*")</f>
        <v>link*</v>
      </c>
      <c r="N271" s="454"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O271" s="422">
        <v>45.0</v>
      </c>
      <c r="P271" s="418" t="s">
        <v>26</v>
      </c>
      <c r="Q271" s="508">
        <v>10.0</v>
      </c>
      <c r="R271" s="437">
        <v>43561.0</v>
      </c>
      <c r="S271" s="466" t="s">
        <v>58</v>
      </c>
      <c r="T271" s="425">
        <v>41913.0</v>
      </c>
      <c r="U271" s="411" t="s">
        <v>101</v>
      </c>
    </row>
    <row r="272" hidden="1">
      <c r="A272" s="538" t="str">
        <f>HYPERLINK("https://phillipreeve.net/blog/rolling-review-sony-fe-2-850-macro/","Sony 50mm F/2.8 Macro")</f>
        <v>Sony 50mm F/2.8 Macro</v>
      </c>
      <c r="B272" s="427">
        <v>236.0</v>
      </c>
      <c r="C272" s="547">
        <v>50.0</v>
      </c>
      <c r="D272" s="434">
        <v>1.8</v>
      </c>
      <c r="E272" s="553">
        <v>72.0</v>
      </c>
      <c r="F272" s="554">
        <v>71.0</v>
      </c>
      <c r="G272" s="466" t="s">
        <v>30</v>
      </c>
      <c r="H272" s="508" t="s">
        <v>90</v>
      </c>
      <c r="I272" s="555">
        <v>1.0</v>
      </c>
      <c r="J272" s="478">
        <v>499.0</v>
      </c>
      <c r="K272" s="454" t="str">
        <f>HYPERLINK("http://amzn.to/2v2g0qz","link*")</f>
        <v>link*</v>
      </c>
      <c r="L272" s="454" t="str">
        <f>HYPERLINK("https://www.bhphotovideo.com/c/product/1277527-REG/sony_sel50m28_fe_50mm_f_2_8_macro.html/BI/19619/KBID/12129/kw/SO5028FF/DFF/d10-v2-t1-xSO5028FF","link*")</f>
        <v>link*</v>
      </c>
      <c r="M272" s="454" t="str">
        <f>HYPERLINK("http://amzn.to/2vbknRN","link*")</f>
        <v>link*</v>
      </c>
      <c r="N272" s="454"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O272" s="422">
        <v>16.0</v>
      </c>
      <c r="P272" s="418" t="s">
        <v>26</v>
      </c>
      <c r="Q272" s="508">
        <v>7.0</v>
      </c>
      <c r="R272" s="437">
        <v>43654.0</v>
      </c>
      <c r="S272" s="466" t="s">
        <v>32</v>
      </c>
      <c r="T272" s="425">
        <v>42614.0</v>
      </c>
      <c r="U272" s="173"/>
    </row>
    <row r="273" hidden="1">
      <c r="A273" s="538" t="str">
        <f>HYPERLINK("https://phillipreeve.net/blog/sony-fe-1-855-za-sonnar-t-review/","Sony ZA 55mm F1.8 Sonnar")</f>
        <v>Sony ZA 55mm F1.8 Sonnar</v>
      </c>
      <c r="B273" s="427">
        <v>281.0</v>
      </c>
      <c r="C273" s="556">
        <v>55.0</v>
      </c>
      <c r="D273" s="434">
        <v>1.8</v>
      </c>
      <c r="E273" s="482">
        <v>64.0</v>
      </c>
      <c r="F273" s="554">
        <v>71.0</v>
      </c>
      <c r="G273" s="466" t="s">
        <v>30</v>
      </c>
      <c r="H273" s="508" t="s">
        <v>74</v>
      </c>
      <c r="I273" s="508">
        <v>0.14</v>
      </c>
      <c r="J273" s="420">
        <v>999.0</v>
      </c>
      <c r="K273" s="454" t="str">
        <f>HYPERLINK("https://amzn.to/2ywdgEk","link*")</f>
        <v>link*</v>
      </c>
      <c r="L273" s="454" t="str">
        <f>HYPERLINK("https://www.bhphotovideo.com/c/product/1008124-REG/sony_sel55f18z_sonnar_t_fe_55mm.html/BI/19619/KBID/12129/DFF/d10-v21-t1-x466841/SID/EZ","link*")</f>
        <v>link*</v>
      </c>
      <c r="M273" s="466" t="s">
        <v>33</v>
      </c>
      <c r="N273" s="454"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O273" s="422">
        <v>50.0</v>
      </c>
      <c r="P273" s="418" t="s">
        <v>26</v>
      </c>
      <c r="Q273" s="508">
        <v>9.0</v>
      </c>
      <c r="R273" s="437">
        <v>43592.0</v>
      </c>
      <c r="S273" s="466" t="s">
        <v>32</v>
      </c>
      <c r="T273" s="425">
        <v>41548.0</v>
      </c>
      <c r="U273" s="173"/>
    </row>
    <row r="274" hidden="1">
      <c r="A274" s="538" t="str">
        <f>HYPERLINK("https://phillipreeve.net/blog/voigtlander-65-f2-apo-macro-review/","Voigtlander Macro 65mm F2 Apo Lanthar")</f>
        <v>Voigtlander Macro 65mm F2 Apo Lanthar</v>
      </c>
      <c r="B274" s="413">
        <v>635.0</v>
      </c>
      <c r="C274" s="557">
        <v>65.0</v>
      </c>
      <c r="D274" s="475">
        <v>2.0</v>
      </c>
      <c r="E274" s="558">
        <v>78.0</v>
      </c>
      <c r="F274" s="559">
        <v>91.0</v>
      </c>
      <c r="G274" s="528" t="s">
        <v>24</v>
      </c>
      <c r="H274" s="508" t="s">
        <v>53</v>
      </c>
      <c r="I274" s="560">
        <v>0.5</v>
      </c>
      <c r="J274" s="420">
        <v>999.0</v>
      </c>
      <c r="K274" s="454" t="str">
        <f>HYPERLINK("https://amzn.to/2LU48SI","link*")</f>
        <v>link*</v>
      </c>
      <c r="L274" s="454" t="str">
        <f>HYPERLINK("https://www.bhphotovideo.com/c/product/1350400-REG/voigtlander_macro_apo_lanthar_65mm_f2.html/BI/19619/KBID/12129/DFF/d10-v21-t1-x835677/SID/EZ","link*")</f>
        <v>link*</v>
      </c>
      <c r="M274" s="466" t="s">
        <v>33</v>
      </c>
      <c r="N274" s="454"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O274" s="422">
        <v>31.0</v>
      </c>
      <c r="P274" s="418" t="s">
        <v>26</v>
      </c>
      <c r="Q274" s="508">
        <v>10.0</v>
      </c>
      <c r="R274" s="437">
        <v>43687.0</v>
      </c>
      <c r="S274" s="466" t="s">
        <v>28</v>
      </c>
      <c r="T274" s="561">
        <v>42917.0</v>
      </c>
      <c r="U274" s="173"/>
    </row>
    <row r="275">
      <c r="A275" s="516" t="s">
        <v>112</v>
      </c>
      <c r="B275" s="413">
        <v>562.0</v>
      </c>
      <c r="C275" s="562">
        <v>70.0</v>
      </c>
      <c r="D275" s="440">
        <v>2.8</v>
      </c>
      <c r="E275" s="563">
        <v>71.0</v>
      </c>
      <c r="F275" s="564">
        <v>106.0</v>
      </c>
      <c r="G275" s="466" t="s">
        <v>30</v>
      </c>
      <c r="H275" s="508" t="s">
        <v>74</v>
      </c>
      <c r="I275" s="555">
        <v>1.0</v>
      </c>
      <c r="J275" s="535">
        <v>569.0</v>
      </c>
      <c r="K275" s="454" t="str">
        <f>HYPERLINK("https://amzn.to/2YGO9te","link*")</f>
        <v>link*</v>
      </c>
      <c r="L275" s="454" t="str">
        <f>HYPERLINK("https://www.bhphotovideo.com/c/product/1393483-REG/sigma_70mm_f_2_8_dg_macro.html/BI/19619/KBID/12129/DFF/d10-v21-t1-x895111/SID/EZ","link*")</f>
        <v>link*</v>
      </c>
      <c r="M275" s="466" t="s">
        <v>33</v>
      </c>
      <c r="N275" s="454"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O275" s="422">
        <v>26.0</v>
      </c>
      <c r="P275" s="418" t="s">
        <v>26</v>
      </c>
      <c r="Q275" s="508">
        <v>9.0</v>
      </c>
      <c r="R275" s="437">
        <v>43751.0</v>
      </c>
      <c r="S275" s="466" t="s">
        <v>41</v>
      </c>
      <c r="T275" s="425">
        <v>43221.0</v>
      </c>
      <c r="U275" s="173" t="s">
        <v>42</v>
      </c>
    </row>
    <row r="276" hidden="1">
      <c r="A276" s="516" t="s">
        <v>113</v>
      </c>
      <c r="B276" s="432">
        <v>1480.0</v>
      </c>
      <c r="C276" s="562">
        <v>70.0</v>
      </c>
      <c r="D276" s="440">
        <v>2.8</v>
      </c>
      <c r="E276" s="493">
        <v>88.0</v>
      </c>
      <c r="F276" s="518">
        <v>200.0</v>
      </c>
      <c r="G276" s="466" t="s">
        <v>30</v>
      </c>
      <c r="H276" s="508" t="s">
        <v>56</v>
      </c>
      <c r="I276" s="513">
        <v>0.25</v>
      </c>
      <c r="J276" s="420">
        <v>2599.0</v>
      </c>
      <c r="K276" s="454" t="str">
        <f>HYPERLINK("https://amzn.to/2KbaJGn","link*")</f>
        <v>link*</v>
      </c>
      <c r="L276" s="454" t="str">
        <f>HYPERLINK("https://www.bhphotovideo.com/c/product/1222776-REG/sony_sel70200gm_fe_70_200mm_f_2_8_gm.html/BI/19619/KBID/12129/DFF/d10-v21-t1-x746807/SID/EZ","link*")</f>
        <v>link*</v>
      </c>
      <c r="M276" s="466" t="s">
        <v>33</v>
      </c>
      <c r="N276" s="454"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c r="O276" s="422">
        <v>96.0</v>
      </c>
      <c r="P276" s="515" t="s">
        <v>49</v>
      </c>
      <c r="Q276" s="508">
        <v>11.0</v>
      </c>
      <c r="R276" s="565" t="s">
        <v>114</v>
      </c>
      <c r="S276" s="466" t="s">
        <v>32</v>
      </c>
      <c r="T276" s="425">
        <v>42401.0</v>
      </c>
      <c r="U276" s="173"/>
    </row>
    <row r="277" hidden="1">
      <c r="A277" s="516" t="s">
        <v>117</v>
      </c>
      <c r="B277" s="439">
        <v>854.0</v>
      </c>
      <c r="C277" s="562">
        <v>70.0</v>
      </c>
      <c r="D277" s="496" t="s">
        <v>118</v>
      </c>
      <c r="E277" s="549">
        <v>84.0</v>
      </c>
      <c r="F277" s="566">
        <v>144.0</v>
      </c>
      <c r="G277" s="466" t="s">
        <v>30</v>
      </c>
      <c r="H277" s="508" t="s">
        <v>48</v>
      </c>
      <c r="I277" s="513">
        <v>0.31</v>
      </c>
      <c r="J277" s="420">
        <v>1198.0</v>
      </c>
      <c r="K277" s="454" t="str">
        <f>HYPERLINK("https://amzn.to/2SVN1Ao","link*")</f>
        <v>link*</v>
      </c>
      <c r="L277" s="454" t="str">
        <f>HYPERLINK("https://www.bhphotovideo.com/c/product/1242614-REG/sony_sel70300g_fe_70_300mm_f_4_5_5_6_g.html/BI/19619/KBID/12129/DFF/d10-v21-t1-x722726/SID/EZ","link*")</f>
        <v>link*</v>
      </c>
      <c r="M277" s="466" t="s">
        <v>33</v>
      </c>
      <c r="N277" s="454"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c r="O277" s="422">
        <v>90.0</v>
      </c>
      <c r="P277" s="515" t="s">
        <v>49</v>
      </c>
      <c r="Q277" s="508">
        <v>9.0</v>
      </c>
      <c r="R277" s="565" t="s">
        <v>52</v>
      </c>
      <c r="S277" s="466" t="s">
        <v>32</v>
      </c>
      <c r="T277" s="425">
        <v>42430.0</v>
      </c>
      <c r="U277" s="173"/>
    </row>
    <row r="278" hidden="1">
      <c r="A278" s="538" t="str">
        <f>HYPERLINK("https://phillipreeve.net/blog/review-sony-fe-470-200-g-oss/https://phillipreeve.net/blog/review-sony-fe-470-200-g-oss/","Sony G 4/70-200 OSS")</f>
        <v>Sony G 4/70-200 OSS</v>
      </c>
      <c r="B278" s="439">
        <v>840.0</v>
      </c>
      <c r="C278" s="562">
        <v>70.0</v>
      </c>
      <c r="D278" s="415">
        <v>4.0</v>
      </c>
      <c r="E278" s="497">
        <v>80.0</v>
      </c>
      <c r="F278" s="518">
        <v>175.0</v>
      </c>
      <c r="G278" s="466" t="s">
        <v>30</v>
      </c>
      <c r="H278" s="508" t="s">
        <v>48</v>
      </c>
      <c r="I278" s="508">
        <v>0.18</v>
      </c>
      <c r="J278" s="420">
        <v>1498.0</v>
      </c>
      <c r="K278" s="454" t="str">
        <f>HYPERLINK("http://amzn.to/2fbeX3x","link*")</f>
        <v>link*</v>
      </c>
      <c r="L278" s="454" t="str">
        <f>HYPERLINK("https://www.bhphotovideo.com/c/product/1380865-REG/sony_fe_70_200mm_f_4_g.html/BI/19619/KBID/12129/kw/SO702004F/DFF/d10-v2-t1-xSO702004F","link*")</f>
        <v>link*</v>
      </c>
      <c r="M278" s="454" t="str">
        <f>HYPERLINK("http://amzn.to/2vbFQKj","link*")</f>
        <v>link*</v>
      </c>
      <c r="N278" s="454"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O278" s="422">
        <v>100.0</v>
      </c>
      <c r="P278" s="515" t="s">
        <v>49</v>
      </c>
      <c r="Q278" s="508">
        <v>9.0</v>
      </c>
      <c r="R278" s="565" t="s">
        <v>121</v>
      </c>
      <c r="S278" s="466" t="s">
        <v>32</v>
      </c>
      <c r="T278" s="425">
        <v>41548.0</v>
      </c>
      <c r="U278" s="173"/>
    </row>
    <row r="279" hidden="1">
      <c r="A279" s="538" t="str">
        <f>HYPERLINK("https://phillipreeve.net/blog/review-sony-fe-85mm-1-4-gm/","Sony GM 1.4/85")</f>
        <v>Sony GM 1.4/85</v>
      </c>
      <c r="B279" s="439">
        <v>854.0</v>
      </c>
      <c r="C279" s="567">
        <v>85.0</v>
      </c>
      <c r="D279" s="468">
        <v>1.4</v>
      </c>
      <c r="E279" s="549">
        <v>84.0</v>
      </c>
      <c r="F279" s="550">
        <v>108.0</v>
      </c>
      <c r="G279" s="466" t="s">
        <v>30</v>
      </c>
      <c r="H279" s="508" t="s">
        <v>56</v>
      </c>
      <c r="I279" s="508">
        <v>0.12</v>
      </c>
      <c r="J279" s="420">
        <v>1799.0</v>
      </c>
      <c r="K279" s="454" t="str">
        <f>HYPERLINK("https://amzn.to/2SZeKAh","link*")</f>
        <v>link*</v>
      </c>
      <c r="L279" s="454" t="str">
        <f>HYPERLINK("https://www.bhphotovideo.com/c/product/1222775-REG/sony_sel85f14gm_fe_85mm_f_1_4_gm.html/BI/19619/KBID/12129/DFF/d10-v21-t1-x707644/SID/EZ","link*")</f>
        <v>link*</v>
      </c>
      <c r="M279" s="466" t="s">
        <v>33</v>
      </c>
      <c r="N279" s="454"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c r="O279" s="422">
        <v>80.0</v>
      </c>
      <c r="P279" s="418" t="s">
        <v>26</v>
      </c>
      <c r="Q279" s="508">
        <v>11.0</v>
      </c>
      <c r="R279" s="437">
        <v>43688.0</v>
      </c>
      <c r="S279" s="466" t="s">
        <v>32</v>
      </c>
      <c r="T279" s="425">
        <v>42401.0</v>
      </c>
      <c r="U279" s="173"/>
    </row>
    <row r="280">
      <c r="A280" s="516" t="s">
        <v>123</v>
      </c>
      <c r="B280" s="432">
        <v>1130.0</v>
      </c>
      <c r="C280" s="567">
        <v>85.0</v>
      </c>
      <c r="D280" s="468">
        <v>1.4</v>
      </c>
      <c r="E280" s="568">
        <v>95.0</v>
      </c>
      <c r="F280" s="518">
        <v>152.0</v>
      </c>
      <c r="G280" s="466" t="s">
        <v>30</v>
      </c>
      <c r="H280" s="569" t="s">
        <v>124</v>
      </c>
      <c r="I280" s="508">
        <v>0.12</v>
      </c>
      <c r="J280" s="420">
        <v>1199.0</v>
      </c>
      <c r="K280" s="454" t="str">
        <f>HYPERLINK("https://amzn.to/2MBd68k","link*")</f>
        <v>link*</v>
      </c>
      <c r="L280" s="454" t="str">
        <f>HYPERLINK("https://www.bhphotovideo.com/c/product/1393494-REG/sigma_85mm_f_1_4_dg_hsm.html/BI/19619/KBID/12129/kw/SI8514SO/DFF/d10-v2-t1-xSI8514SO","link*")</f>
        <v>link*</v>
      </c>
      <c r="M280" s="454" t="str">
        <f>HYPERLINK("https://amzn.to/2Wto6JH","link*")</f>
        <v>link*</v>
      </c>
      <c r="N280" s="454"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O280" s="422">
        <v>85.0</v>
      </c>
      <c r="P280" s="418" t="s">
        <v>26</v>
      </c>
      <c r="Q280" s="508">
        <v>9.0</v>
      </c>
      <c r="R280" s="437">
        <v>43724.0</v>
      </c>
      <c r="S280" s="466" t="s">
        <v>41</v>
      </c>
      <c r="T280" s="425">
        <v>43221.0</v>
      </c>
      <c r="U280" s="173" t="s">
        <v>42</v>
      </c>
    </row>
    <row r="281" hidden="1">
      <c r="A281" s="542" t="s">
        <v>125</v>
      </c>
      <c r="B281" s="413">
        <v>568.0</v>
      </c>
      <c r="C281" s="567">
        <v>85.0</v>
      </c>
      <c r="D281" s="468">
        <v>1.4</v>
      </c>
      <c r="E281" s="493">
        <v>88.0</v>
      </c>
      <c r="F281" s="551">
        <v>100.0</v>
      </c>
      <c r="G281" s="466" t="s">
        <v>30</v>
      </c>
      <c r="H281" s="508" t="s">
        <v>56</v>
      </c>
      <c r="I281" s="508">
        <v>0.11</v>
      </c>
      <c r="J281" s="459">
        <v>699.0</v>
      </c>
      <c r="K281" s="454" t="str">
        <f>HYPERLINK("https://amzn.to/2T0yJ1A","link*")</f>
        <v>link*</v>
      </c>
      <c r="L281" s="454" t="str">
        <f>HYPERLINK("https://www.bhphotovideo.com/c/product/1470654-REG/samyang_syio85af_e_af_85mm_f_1_4_lens.html/BI/19619/KBID/12129/DFF/d10-v21-t1-x955078/SID/EZ","link*")</f>
        <v>link*</v>
      </c>
      <c r="M281" s="466" t="s">
        <v>33</v>
      </c>
      <c r="N281" s="454"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c r="O281" s="422">
        <v>90.0</v>
      </c>
      <c r="P281" s="418" t="s">
        <v>26</v>
      </c>
      <c r="Q281" s="508">
        <v>9.0</v>
      </c>
      <c r="R281" s="437">
        <v>43688.0</v>
      </c>
      <c r="S281" s="466" t="s">
        <v>46</v>
      </c>
      <c r="T281" s="425">
        <v>43586.0</v>
      </c>
      <c r="U281" s="173"/>
    </row>
    <row r="282" hidden="1">
      <c r="A282" s="538" t="str">
        <f>HYPERLINK("https://phillipreeve.net/blog/review-sony-fe-85-mm-1-8/","Sony FE 85mm f/1.8")</f>
        <v>Sony FE 85mm f/1.8</v>
      </c>
      <c r="B282" s="427">
        <v>371.0</v>
      </c>
      <c r="C282" s="567">
        <v>85.0</v>
      </c>
      <c r="D282" s="434">
        <v>1.8</v>
      </c>
      <c r="E282" s="529">
        <v>77.0</v>
      </c>
      <c r="F282" s="477">
        <v>82.0</v>
      </c>
      <c r="G282" s="466" t="s">
        <v>30</v>
      </c>
      <c r="H282" s="508" t="s">
        <v>53</v>
      </c>
      <c r="I282" s="508">
        <v>0.13</v>
      </c>
      <c r="J282" s="459">
        <v>599.0</v>
      </c>
      <c r="K282" s="454" t="str">
        <f>HYPERLINK("https://amzn.to/2YB4RxU","link*")</f>
        <v>link*</v>
      </c>
      <c r="L282" s="454" t="str">
        <f t="shared" ref="L282:L283" si="9">HYPERLINK("https://www.bhphotovideo.com/c/product/1140833-REG/zeiss_2103_751_85mm_f_1_8_batis_short.html/BI/19619/KBID/12129/DFF/d10-v21-t1-x627139/SID/EZ","link*")</f>
        <v>link*</v>
      </c>
      <c r="M282" s="466" t="s">
        <v>33</v>
      </c>
      <c r="N282" s="454"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c r="O282" s="422">
        <v>80.0</v>
      </c>
      <c r="P282" s="418" t="s">
        <v>26</v>
      </c>
      <c r="Q282" s="508">
        <v>9.0</v>
      </c>
      <c r="R282" s="437">
        <v>43686.0</v>
      </c>
      <c r="S282" s="466" t="s">
        <v>32</v>
      </c>
      <c r="T282" s="425">
        <v>42767.0</v>
      </c>
      <c r="U282" s="173"/>
    </row>
    <row r="283" hidden="1">
      <c r="A283" s="538" t="str">
        <f>HYPERLINK("https://phillipreeve.net/blog/zeiss-batis-sonnar-t-85mm-f1-8-a-review/","Zeiss Batis 1.8/85")</f>
        <v>Zeiss Batis 1.8/85</v>
      </c>
      <c r="B283" s="413">
        <v>475.0</v>
      </c>
      <c r="C283" s="567">
        <v>85.0</v>
      </c>
      <c r="D283" s="434">
        <v>1.8</v>
      </c>
      <c r="E283" s="504">
        <v>92.0</v>
      </c>
      <c r="F283" s="570">
        <v>81.0</v>
      </c>
      <c r="G283" s="466" t="s">
        <v>30</v>
      </c>
      <c r="H283" s="508" t="s">
        <v>53</v>
      </c>
      <c r="I283" s="508">
        <v>0.13</v>
      </c>
      <c r="J283" s="420">
        <v>1199.0</v>
      </c>
      <c r="K283" s="454" t="str">
        <f>HYPERLINK("https://amzn.to/2T8oWqt","link*")</f>
        <v>link*</v>
      </c>
      <c r="L283" s="454" t="str">
        <f t="shared" si="9"/>
        <v>link*</v>
      </c>
      <c r="M283" s="466" t="s">
        <v>33</v>
      </c>
      <c r="N283" s="454"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c r="O283" s="422">
        <v>80.0</v>
      </c>
      <c r="P283" s="515" t="s">
        <v>49</v>
      </c>
      <c r="Q283" s="508">
        <v>9.0</v>
      </c>
      <c r="R283" s="437">
        <v>43688.0</v>
      </c>
      <c r="S283" s="466" t="s">
        <v>58</v>
      </c>
      <c r="T283" s="425">
        <v>42125.0</v>
      </c>
      <c r="U283" s="173"/>
    </row>
    <row r="284" hidden="1">
      <c r="A284" s="542" t="s">
        <v>129</v>
      </c>
      <c r="B284" s="439">
        <v>665.0</v>
      </c>
      <c r="C284" s="567">
        <v>85.0</v>
      </c>
      <c r="D284" s="434">
        <v>1.8</v>
      </c>
      <c r="E284" s="523">
        <v>79.0</v>
      </c>
      <c r="F284" s="488">
        <v>92.0</v>
      </c>
      <c r="G284" s="528" t="s">
        <v>24</v>
      </c>
      <c r="H284" s="508" t="s">
        <v>48</v>
      </c>
      <c r="I284" s="508">
        <v>0.13</v>
      </c>
      <c r="J284" s="420">
        <v>299.0</v>
      </c>
      <c r="K284" s="454" t="str">
        <f>HYPERLINK("https://amzn.to/2LVVOBV","link*")</f>
        <v>link*</v>
      </c>
      <c r="L284" s="454" t="str">
        <f>HYPERLINK("https://www.bhphotovideo.com/c/product/1469189-REG/viltrox_pfu_rbmh_85mm_f1_8_e_mount_85mm_f_1_8_for_sony.html/BI/19619/KBID/12129/DFF/d10-v21-t1-x954301/SID/EZ","link*")</f>
        <v>link*</v>
      </c>
      <c r="M284" s="466" t="s">
        <v>33</v>
      </c>
      <c r="N284" s="454"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O284" s="422">
        <v>80.0</v>
      </c>
      <c r="P284" s="418" t="s">
        <v>26</v>
      </c>
      <c r="Q284" s="508">
        <v>9.0</v>
      </c>
      <c r="R284" s="437">
        <v>43656.0</v>
      </c>
      <c r="S284" s="466" t="s">
        <v>63</v>
      </c>
      <c r="T284" s="571">
        <v>43586.0</v>
      </c>
      <c r="U284" s="411" t="s">
        <v>236</v>
      </c>
    </row>
    <row r="285" hidden="1">
      <c r="A285" s="542" t="s">
        <v>229</v>
      </c>
      <c r="B285" s="413">
        <v>636.0</v>
      </c>
      <c r="C285" s="567">
        <v>85.0</v>
      </c>
      <c r="D285" s="434">
        <v>1.8</v>
      </c>
      <c r="E285" s="523">
        <v>79.0</v>
      </c>
      <c r="F285" s="488">
        <v>92.0</v>
      </c>
      <c r="G285" s="466" t="s">
        <v>30</v>
      </c>
      <c r="H285" s="508" t="s">
        <v>48</v>
      </c>
      <c r="I285" s="508">
        <v>0.13</v>
      </c>
      <c r="J285" s="420">
        <v>379.0</v>
      </c>
      <c r="K285" s="454" t="str">
        <f>HYPERLINK("https://amzn.to/2SZfd5v","link*")</f>
        <v>link*</v>
      </c>
      <c r="L285" s="454" t="str">
        <f>HYPERLINK("https://www.bhphotovideo.com/c/product/1470585-REG/viltrox_pfu_rbmh_85mm_f1_8_stm_e_mount_85mm_f_1_8_lens_for.html/BI/19619/KBID/12129/DFF/d10-v21-t1-x955239/SID/EZ","link*")</f>
        <v>link*</v>
      </c>
      <c r="M285" s="466" t="s">
        <v>33</v>
      </c>
      <c r="N285" s="454"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c r="O285" s="422">
        <v>80.0</v>
      </c>
      <c r="P285" s="418" t="s">
        <v>26</v>
      </c>
      <c r="Q285" s="508">
        <v>9.0</v>
      </c>
      <c r="R285" s="437">
        <v>43656.0</v>
      </c>
      <c r="S285" s="466" t="s">
        <v>63</v>
      </c>
      <c r="T285" s="425">
        <v>43586.0</v>
      </c>
      <c r="U285" s="173"/>
    </row>
    <row r="286" hidden="1">
      <c r="A286" s="538" t="str">
        <f>HYPERLINK("https://phillipreeve.net/blog/rolling-review-zeiss-loxia-85mm-2-4/","Zeiss Loxia 2.4/85")</f>
        <v>Zeiss Loxia 2.4/85</v>
      </c>
      <c r="B286" s="413">
        <v>594.0</v>
      </c>
      <c r="C286" s="567">
        <v>85.0</v>
      </c>
      <c r="D286" s="506">
        <v>2.4</v>
      </c>
      <c r="E286" s="482">
        <v>63.0</v>
      </c>
      <c r="F286" s="502">
        <v>95.0</v>
      </c>
      <c r="G286" s="528" t="s">
        <v>24</v>
      </c>
      <c r="H286" s="508" t="s">
        <v>71</v>
      </c>
      <c r="I286" s="508">
        <v>0.14</v>
      </c>
      <c r="J286" s="420">
        <v>1399.0</v>
      </c>
      <c r="K286" s="454" t="str">
        <f>HYPERLINK("https://amzn.to/2SY4PLd","link*")</f>
        <v>link*</v>
      </c>
      <c r="L286" s="454" t="str">
        <f>HYPERLINK("https://www.bhphotovideo.com/c/product/1282150-REG/zeiss_2162_636_loxia_85mm_f_2_4_lens.html/BI/19619/KBID/12129/DFF/d10-v21-t1-x762761/SID/EZ","link*")</f>
        <v>link*</v>
      </c>
      <c r="M286" s="466" t="s">
        <v>33</v>
      </c>
      <c r="N286" s="454"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O286" s="422">
        <v>80.0</v>
      </c>
      <c r="P286" s="418" t="s">
        <v>26</v>
      </c>
      <c r="Q286" s="508">
        <v>10.0</v>
      </c>
      <c r="R286" s="437">
        <v>43653.0</v>
      </c>
      <c r="S286" s="466" t="s">
        <v>58</v>
      </c>
      <c r="T286" s="425">
        <v>42644.0</v>
      </c>
      <c r="U286" s="173"/>
    </row>
    <row r="287" hidden="1">
      <c r="A287" s="538" t="str">
        <f>HYPERLINK("https://phillipreeve.net/blog/review-sony-fe-90mm-f2-8-macro-oss-one-of-sonys-finest/","Sony 2.8/90 G OSS")</f>
        <v>Sony 2.8/90 G OSS</v>
      </c>
      <c r="B287" s="413">
        <v>602.0</v>
      </c>
      <c r="C287" s="572">
        <v>90.0</v>
      </c>
      <c r="D287" s="440">
        <v>2.8</v>
      </c>
      <c r="E287" s="523">
        <v>79.0</v>
      </c>
      <c r="F287" s="442">
        <v>131.0</v>
      </c>
      <c r="G287" s="466" t="s">
        <v>30</v>
      </c>
      <c r="H287" s="508" t="s">
        <v>66</v>
      </c>
      <c r="I287" s="555">
        <v>1.0</v>
      </c>
      <c r="J287" s="420">
        <v>1099.0</v>
      </c>
      <c r="K287" s="454" t="str">
        <f>HYPERLINK("http://amzn.to/2fbeX3x","link*")</f>
        <v>link*</v>
      </c>
      <c r="L287" s="454" t="str">
        <f>HYPERLINK("https://www.bhphotovideo.com/c/product/1380868-REG/sony_fe_90mm_f_2_8_macro.html/BI/19619/KBID/12129/kw/SO9028F/DFF/d10-v2-t1-xSO9028F","link*")</f>
        <v>link*</v>
      </c>
      <c r="M287" s="454" t="str">
        <f>HYPERLINK("http://amzn.to/2vvvHcw","link*")</f>
        <v>link*</v>
      </c>
      <c r="N287" s="454"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287" s="422">
        <v>28.0</v>
      </c>
      <c r="P287" s="515" t="s">
        <v>49</v>
      </c>
      <c r="Q287" s="508">
        <v>9.0</v>
      </c>
      <c r="R287" s="437">
        <v>43784.0</v>
      </c>
      <c r="S287" s="466" t="s">
        <v>32</v>
      </c>
      <c r="T287" s="425">
        <v>42064.0</v>
      </c>
      <c r="U287" s="173"/>
    </row>
    <row r="288" hidden="1">
      <c r="A288" s="538" t="str">
        <f>HYPERLINK("https://phillipreeve.net/blog/review-sony-fe-100-f-2-8-stf-gm-oss-lens/","Sony GM 2.8/100 STF OSS")</f>
        <v>Sony GM 2.8/100 STF OSS</v>
      </c>
      <c r="B288" s="439">
        <v>700.0</v>
      </c>
      <c r="C288" s="573">
        <v>100.0</v>
      </c>
      <c r="D288" s="440">
        <v>2.8</v>
      </c>
      <c r="E288" s="489">
        <v>85.0</v>
      </c>
      <c r="F288" s="512">
        <v>118.0</v>
      </c>
      <c r="G288" s="466" t="s">
        <v>30</v>
      </c>
      <c r="H288" s="508" t="s">
        <v>48</v>
      </c>
      <c r="I288" s="513">
        <v>0.25</v>
      </c>
      <c r="J288" s="420">
        <v>1499.0</v>
      </c>
      <c r="K288" s="454" t="str">
        <f>HYPERLINK("https://amzn.to/2YD8rn4","link*")</f>
        <v>link*</v>
      </c>
      <c r="L288" s="454" t="str">
        <f>HYPERLINK("https://www.bhphotovideo.com/c/product/1317561-REG/sony_sel100f28gm_fe_100mm_f_2_8_stf.html/BI/19619/KBID/12129/DFF/d10-v21-t1-x795192/SID/EZ","link*")</f>
        <v>link*</v>
      </c>
      <c r="M288" s="466" t="s">
        <v>33</v>
      </c>
      <c r="N288" s="454"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O288" s="422">
        <v>57.0</v>
      </c>
      <c r="P288" s="515" t="s">
        <v>49</v>
      </c>
      <c r="Q288" s="508">
        <v>11.0</v>
      </c>
      <c r="R288" s="437">
        <v>43752.0</v>
      </c>
      <c r="S288" s="466" t="s">
        <v>32</v>
      </c>
      <c r="T288" s="425">
        <v>42767.0</v>
      </c>
      <c r="U288" s="411" t="s">
        <v>132</v>
      </c>
    </row>
    <row r="289" hidden="1">
      <c r="A289" s="546" t="str">
        <f>HYPERLINK("https://phillipreeve.net/blog/review-tokina-firin-100mm-f2-8-fe-macro/","Tokina Firin 2.8/100 Macro")</f>
        <v>Tokina Firin 2.8/100 Macro</v>
      </c>
      <c r="B289" s="413">
        <v>570.0</v>
      </c>
      <c r="C289" s="573">
        <v>100.0</v>
      </c>
      <c r="D289" s="440">
        <v>2.8</v>
      </c>
      <c r="E289" s="552">
        <v>74.0</v>
      </c>
      <c r="F289" s="574">
        <v>123.0</v>
      </c>
      <c r="G289" s="466" t="s">
        <v>30</v>
      </c>
      <c r="H289" s="508" t="s">
        <v>90</v>
      </c>
      <c r="I289" s="555">
        <v>1.0</v>
      </c>
      <c r="J289" s="478">
        <v>599.0</v>
      </c>
      <c r="K289" s="454" t="str">
        <f>HYPERLINK("http://amzn.to/2fbeX3x","link*")</f>
        <v>link*</v>
      </c>
      <c r="L289" s="454" t="str">
        <f>HYPERLINK("https://www.bhphotovideo.com/c/product/1473390-REG/tokina_frn_afm100fxse_firin_100mm_f_2_8_fe.html/BI/19619/KBID/12129/kw/TO100AF/DFF/d10-v2-t1-xTO100AF","link*")</f>
        <v>link*</v>
      </c>
      <c r="M289" s="454"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N289" s="454"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O289" s="422">
        <v>30.0</v>
      </c>
      <c r="P289" s="418" t="s">
        <v>26</v>
      </c>
      <c r="Q289" s="508">
        <v>9.0</v>
      </c>
      <c r="R289" s="437">
        <v>43686.0</v>
      </c>
      <c r="S289" s="466" t="s">
        <v>67</v>
      </c>
      <c r="T289" s="425">
        <v>43617.0</v>
      </c>
      <c r="U289" s="173" t="s">
        <v>42</v>
      </c>
    </row>
    <row r="290" hidden="1">
      <c r="A290" s="516" t="s">
        <v>135</v>
      </c>
      <c r="B290" s="432">
        <v>1395.0</v>
      </c>
      <c r="C290" s="573">
        <v>100.0</v>
      </c>
      <c r="D290" s="496" t="s">
        <v>118</v>
      </c>
      <c r="E290" s="575">
        <v>94.0</v>
      </c>
      <c r="F290" s="518">
        <v>205.0</v>
      </c>
      <c r="G290" s="466" t="s">
        <v>30</v>
      </c>
      <c r="H290" s="508" t="s">
        <v>56</v>
      </c>
      <c r="I290" s="513">
        <v>0.35</v>
      </c>
      <c r="J290" s="420">
        <v>2499.0</v>
      </c>
      <c r="K290" s="454" t="str">
        <f>HYPERLINK("https://amzn.to/2SZ0aZO","link*")</f>
        <v>link*</v>
      </c>
      <c r="L290" s="454" t="str">
        <f>HYPERLINK("https://www.bhphotovideo.com/c/product/1333230-REG/sony_sel100400gm_fe_100_400mm_f_4_5_5_6_gm.html/BI/19619/KBID/12129/DFF/d10-v21-t1-x817745/SID/EZ","link*")</f>
        <v>link*</v>
      </c>
      <c r="M290" s="466" t="s">
        <v>33</v>
      </c>
      <c r="N290" s="454"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O290" s="422">
        <v>98.0</v>
      </c>
      <c r="P290" s="515" t="s">
        <v>49</v>
      </c>
      <c r="Q290" s="508">
        <v>11.0</v>
      </c>
      <c r="R290" s="565" t="s">
        <v>134</v>
      </c>
      <c r="S290" s="466" t="s">
        <v>32</v>
      </c>
      <c r="T290" s="425">
        <v>42826.0</v>
      </c>
      <c r="U290" s="173"/>
    </row>
    <row r="291">
      <c r="A291" s="516" t="s">
        <v>136</v>
      </c>
      <c r="B291" s="432">
        <v>1600.0</v>
      </c>
      <c r="C291" s="576">
        <v>105.0</v>
      </c>
      <c r="D291" s="468">
        <v>1.4</v>
      </c>
      <c r="E291" s="517">
        <v>116.0</v>
      </c>
      <c r="F291" s="577">
        <v>132.0</v>
      </c>
      <c r="G291" s="466" t="s">
        <v>30</v>
      </c>
      <c r="H291" s="578" t="s">
        <v>137</v>
      </c>
      <c r="I291" s="508">
        <v>0.12</v>
      </c>
      <c r="J291" s="420">
        <v>1599.0</v>
      </c>
      <c r="K291" s="454" t="str">
        <f>HYPERLINK("https://amzn.to/2EWeThZ","link*")</f>
        <v>link*</v>
      </c>
      <c r="L291" s="454" t="str">
        <f>HYPERLINK("https://www.bhphotovideo.com/c/product/1393488-REG/sigma_105mm_f_1_4_dg_hsm.html/BI/19619/KBID/12129/kw/SI10514SO/DFF/d10-v2-t1-xSI10514SO","link*")</f>
        <v>link*</v>
      </c>
      <c r="M291" s="454" t="str">
        <f>HYPERLINK("https://amzn.to/2WpOvTy","link*")</f>
        <v>link*</v>
      </c>
      <c r="N291" s="454" t="str">
        <f>HYPERLINK("http://rover.ebay.com/rover/1/711-53200-19255-0/1?icep_ff3=9&amp;pub=5575076376&amp;toolid=10001&amp;campid=5338164340&amp;customid=&amp;icep_uq=sigma+art+100+1.4+sony&amp;icep_sellerId=&amp;icep_ex_kw=&amp;icep_sortBy=12&amp;icep_catId=3323&amp;icep_minPrice=&amp;icep_maxPrice=&amp;ipn=psmain&amp;icep_vec"&amp;"torid=229466&amp;kwid=902099&amp;mtid=824&amp;kw=lg","link*")</f>
        <v>link*</v>
      </c>
      <c r="O291" s="422">
        <v>100.0</v>
      </c>
      <c r="P291" s="418" t="s">
        <v>26</v>
      </c>
      <c r="Q291" s="508">
        <v>9.0</v>
      </c>
      <c r="R291" s="437">
        <v>43816.0</v>
      </c>
      <c r="S291" s="466" t="s">
        <v>138</v>
      </c>
      <c r="T291" s="425">
        <v>43221.0</v>
      </c>
      <c r="U291" s="173" t="s">
        <v>42</v>
      </c>
    </row>
    <row r="292" hidden="1">
      <c r="A292" s="538" t="str">
        <f>HYPERLINK("https://phillipreeve.net/blog/voigtlander-110mm-f2-5-apo-review/","Voigtlander 110mm F2.5 APO Macro")</f>
        <v>Voigtlander 110mm F2.5 APO Macro</v>
      </c>
      <c r="B292" s="439">
        <v>771.0</v>
      </c>
      <c r="C292" s="579">
        <v>110.0</v>
      </c>
      <c r="D292" s="580">
        <v>2.5</v>
      </c>
      <c r="E292" s="558">
        <v>78.0</v>
      </c>
      <c r="F292" s="551">
        <v>100.0</v>
      </c>
      <c r="G292" s="528" t="s">
        <v>24</v>
      </c>
      <c r="H292" s="508" t="s">
        <v>47</v>
      </c>
      <c r="I292" s="555">
        <v>1.0</v>
      </c>
      <c r="J292" s="420">
        <v>1099.0</v>
      </c>
      <c r="K292" s="454" t="str">
        <f>HYPERLINK("https://amzn.to/2SXYsrm","link*")</f>
        <v>link*</v>
      </c>
      <c r="L292" s="454" t="str">
        <f>HYPERLINK("https://www.bhphotovideo.com/c/product/1418780-REG/voigtlander_ba349a_macro_apo_lanthar_110mm_f_2_5.html/BI/19619/KBID/12129/kw/VO11025/DFF/d10-v2-t1-xVO11025","link*")</f>
        <v>link*</v>
      </c>
      <c r="M292" s="466" t="s">
        <v>33</v>
      </c>
      <c r="N292" s="454"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O292" s="422">
        <v>35.0</v>
      </c>
      <c r="P292" s="418" t="s">
        <v>26</v>
      </c>
      <c r="Q292" s="508">
        <v>10.0</v>
      </c>
      <c r="R292" s="437">
        <v>43813.0</v>
      </c>
      <c r="S292" s="466" t="s">
        <v>28</v>
      </c>
      <c r="T292" s="425">
        <v>43405.0</v>
      </c>
      <c r="U292" s="173"/>
    </row>
    <row r="293" hidden="1">
      <c r="A293" s="538" t="str">
        <f>HYPERLINK("https://phillipreeve.net/blog/review-sony-fe-135mm-f1-8-gm/","Sony 1.8/135 GM")</f>
        <v>Sony 1.8/135 GM</v>
      </c>
      <c r="B293" s="432">
        <v>950.0</v>
      </c>
      <c r="C293" s="581">
        <v>135.0</v>
      </c>
      <c r="D293" s="434">
        <v>1.8</v>
      </c>
      <c r="E293" s="582">
        <v>90.0</v>
      </c>
      <c r="F293" s="583">
        <v>127.0</v>
      </c>
      <c r="G293" s="466" t="s">
        <v>30</v>
      </c>
      <c r="H293" s="522" t="s">
        <v>51</v>
      </c>
      <c r="I293" s="513">
        <v>0.25</v>
      </c>
      <c r="J293" s="420">
        <v>1899.0</v>
      </c>
      <c r="K293" s="454" t="str">
        <f>HYPERLINK("https://amzn.to/2WtonMJ","link*")</f>
        <v>link*</v>
      </c>
      <c r="L293" s="454" t="str">
        <f>HYPERLINK("https://www.bhphotovideo.com/c/product/1393495-REG/sigma_135mm_f_1_8_dg_hsm.html/BI/19619/KBID/12129/kw/SI13518SO/DFF/d10-v2-t1-xSI13518SO","link*")</f>
        <v>link*</v>
      </c>
      <c r="M293" s="454" t="str">
        <f>HYPERLINK("https://amzn.to/2Z9KKDE","link*")</f>
        <v>link*</v>
      </c>
      <c r="N293" s="454"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c r="O293" s="422">
        <v>70.0</v>
      </c>
      <c r="P293" s="418" t="s">
        <v>26</v>
      </c>
      <c r="Q293" s="508">
        <v>11.0</v>
      </c>
      <c r="R293" s="437">
        <v>43751.0</v>
      </c>
      <c r="S293" s="466" t="s">
        <v>32</v>
      </c>
      <c r="T293" s="425">
        <v>43525.0</v>
      </c>
      <c r="U293" s="173"/>
    </row>
    <row r="294">
      <c r="A294" s="516" t="s">
        <v>142</v>
      </c>
      <c r="B294" s="432">
        <v>1130.0</v>
      </c>
      <c r="C294" s="581">
        <v>135.0</v>
      </c>
      <c r="D294" s="434">
        <v>1.8</v>
      </c>
      <c r="E294" s="540">
        <v>91.0</v>
      </c>
      <c r="F294" s="526">
        <v>115.0</v>
      </c>
      <c r="G294" s="466" t="s">
        <v>30</v>
      </c>
      <c r="H294" s="522" t="s">
        <v>51</v>
      </c>
      <c r="I294" s="508">
        <v>0.2</v>
      </c>
      <c r="J294" s="478">
        <v>1399.0</v>
      </c>
      <c r="K294" s="454" t="str">
        <f>HYPERLINK("https://amzn.to/2yxIM4R","link*")</f>
        <v>link*</v>
      </c>
      <c r="L294" s="454" t="str">
        <f>HYPERLINK("https://www.bhphotovideo.com/c/product/1393495-REG/sigma_135mm_f_1_8_dg_hsm.html/BI/19619/KBID/12129/DFF/d10-v21-t1-x881160/SID/EZ","link*")</f>
        <v>link*</v>
      </c>
      <c r="M294" s="466" t="s">
        <v>33</v>
      </c>
      <c r="N294" s="454"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O294" s="422">
        <v>87.0</v>
      </c>
      <c r="P294" s="418" t="s">
        <v>26</v>
      </c>
      <c r="Q294" s="508">
        <v>9.0</v>
      </c>
      <c r="R294" s="437">
        <v>43751.0</v>
      </c>
      <c r="S294" s="466" t="s">
        <v>41</v>
      </c>
      <c r="T294" s="425">
        <v>43221.0</v>
      </c>
      <c r="U294" s="173" t="s">
        <v>42</v>
      </c>
    </row>
    <row r="295" hidden="1">
      <c r="A295" s="538" t="str">
        <f>HYPERLINK("https://phillipreeve.net/blog/zeiss-batis-apo-sonnar-t-135mm-f2-8/","Zeiss 2.8/135 APO")</f>
        <v>Zeiss 2.8/135 APO</v>
      </c>
      <c r="B295" s="413">
        <v>614.0</v>
      </c>
      <c r="C295" s="581">
        <v>135.0</v>
      </c>
      <c r="D295" s="440">
        <v>2.8</v>
      </c>
      <c r="E295" s="584">
        <v>99.0</v>
      </c>
      <c r="F295" s="585">
        <v>120.0</v>
      </c>
      <c r="G295" s="466" t="s">
        <v>30</v>
      </c>
      <c r="H295" s="508" t="s">
        <v>53</v>
      </c>
      <c r="I295" s="508">
        <v>0.19</v>
      </c>
      <c r="J295" s="420">
        <v>1699.0</v>
      </c>
      <c r="K295" s="454" t="str">
        <f>HYPERLINK("https://amzn.to/319GJA4","link*")</f>
        <v>link*</v>
      </c>
      <c r="L295" s="454" t="str">
        <f>HYPERLINK("https://www.bhphotovideo.com/c/product/1330083-REG/zeiss_2136_695_batis_135mm_f_2_8_lens.html/BI/19619/KBID/12129/DFF/d10-v21-t1-x814884/SID/EZ","link*")</f>
        <v>link*</v>
      </c>
      <c r="M295" s="466" t="s">
        <v>33</v>
      </c>
      <c r="N295" s="454" t="str">
        <f>HYPERLINK("http://rover.ebay.com/rover/1/711-53200-19255-0/1?icep_ff3=9&amp;pub=5575076376&amp;toolid=10001&amp;campid=5338164340&amp;customid=&amp;icep_uq=zeiss+135+2.8&amp;icep_sellerId=&amp;icep_ex_kw=&amp;icep_sortBy=12&amp;icep_catId=3323&amp;icep_minPrice=&amp;icep_maxPrice=&amp;ipn=psmain&amp;icep_vectorid=229"&amp;"466&amp;kwid=902099&amp;mtid=824&amp;kw=lg","link*")</f>
        <v>link*</v>
      </c>
      <c r="O295" s="422">
        <v>87.0</v>
      </c>
      <c r="P295" s="515" t="s">
        <v>49</v>
      </c>
      <c r="Q295" s="508">
        <v>9.0</v>
      </c>
      <c r="R295" s="437">
        <v>43783.0</v>
      </c>
      <c r="S295" s="466" t="s">
        <v>58</v>
      </c>
      <c r="T295" s="425">
        <v>42826.0</v>
      </c>
      <c r="U295" s="173"/>
    </row>
    <row r="296" hidden="1">
      <c r="A296" s="542" t="s">
        <v>144</v>
      </c>
      <c r="B296" s="432">
        <v>2215.0</v>
      </c>
      <c r="C296" s="586">
        <v>200.0</v>
      </c>
      <c r="D296" s="496" t="s">
        <v>145</v>
      </c>
      <c r="E296" s="517">
        <v>112.0</v>
      </c>
      <c r="F296" s="518">
        <v>318.0</v>
      </c>
      <c r="G296" s="466" t="s">
        <v>30</v>
      </c>
      <c r="H296" s="539" t="s">
        <v>92</v>
      </c>
      <c r="I296" s="508">
        <v>0.2</v>
      </c>
      <c r="J296" s="420">
        <v>1999.0</v>
      </c>
      <c r="K296" s="466"/>
      <c r="L296" s="454" t="str">
        <f>HYPERLINK("https://www.bhphotovideo.com/c/product/1485540-REG/sony_sel200600g_fe_200_600mm_f_5_6_6_3_g.html/BI/19619/KBID/12129/DFF/d10-v21-t1-x968882/SID/EZ","link*")</f>
        <v>link*</v>
      </c>
      <c r="M296" s="466" t="s">
        <v>33</v>
      </c>
      <c r="N296" s="454"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O296" s="422">
        <v>240.0</v>
      </c>
      <c r="P296" s="515" t="s">
        <v>49</v>
      </c>
      <c r="Q296" s="508">
        <v>11.0</v>
      </c>
      <c r="R296" s="565" t="s">
        <v>146</v>
      </c>
      <c r="S296" s="466" t="s">
        <v>32</v>
      </c>
      <c r="T296" s="425">
        <v>43647.0</v>
      </c>
      <c r="U296" s="173"/>
    </row>
    <row r="297" hidden="1">
      <c r="A297" s="516" t="s">
        <v>147</v>
      </c>
      <c r="B297" s="432">
        <v>2895.0</v>
      </c>
      <c r="C297" s="587">
        <v>400.0</v>
      </c>
      <c r="D297" s="440">
        <v>2.8</v>
      </c>
      <c r="E297" s="517">
        <v>158.0</v>
      </c>
      <c r="F297" s="518">
        <v>359.0</v>
      </c>
      <c r="G297" s="466" t="s">
        <v>30</v>
      </c>
      <c r="H297" s="508" t="s">
        <v>148</v>
      </c>
      <c r="I297" s="508">
        <v>0.16</v>
      </c>
      <c r="J297" s="420">
        <v>11999.0</v>
      </c>
      <c r="K297" s="466"/>
      <c r="L297" s="454" t="str">
        <f>HYPERLINK("https://www.bhphotovideo.com/c/product/1369634-REG/sony_fe_400mm_f_2_8_gm.html/BI/19619/KBID/12129/DFF/d10-v21-t1-x905722/SID/EZ","link*")</f>
        <v>link*</v>
      </c>
      <c r="M297" s="466" t="s">
        <v>33</v>
      </c>
      <c r="N297" s="454"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O297" s="422">
        <v>270.0</v>
      </c>
      <c r="P297" s="515" t="s">
        <v>49</v>
      </c>
      <c r="Q297" s="508">
        <v>11.0</v>
      </c>
      <c r="R297" s="565" t="s">
        <v>149</v>
      </c>
      <c r="S297" s="466" t="s">
        <v>32</v>
      </c>
      <c r="T297" s="425">
        <v>43313.0</v>
      </c>
      <c r="U297" s="173"/>
    </row>
    <row r="298" hidden="1">
      <c r="A298" s="588" t="s">
        <v>150</v>
      </c>
      <c r="B298" s="589">
        <v>3040.0</v>
      </c>
      <c r="C298" s="590">
        <v>600.0</v>
      </c>
      <c r="D298" s="591">
        <v>4.0</v>
      </c>
      <c r="E298" s="517">
        <v>164.0</v>
      </c>
      <c r="F298" s="518">
        <v>449.0</v>
      </c>
      <c r="G298" s="592" t="s">
        <v>30</v>
      </c>
      <c r="H298" s="593" t="s">
        <v>25</v>
      </c>
      <c r="I298" s="593">
        <v>0.14</v>
      </c>
      <c r="J298" s="594" t="s">
        <v>230</v>
      </c>
      <c r="K298" s="466"/>
      <c r="L298" s="454" t="str">
        <f>HYPERLINK("https://www.bhphotovideo.com/c/product/1485539-REG/sony_sel600f40gm_fe_600mm_f_4_gm.html/BI/19619/KBID/12129/DFF/d10-v21-t1-x968881/SID/EZ","link*")</f>
        <v>link*</v>
      </c>
      <c r="M298" s="466" t="s">
        <v>33</v>
      </c>
      <c r="N298" s="454"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c r="O298" s="595">
        <v>451.0</v>
      </c>
      <c r="P298" s="515" t="s">
        <v>49</v>
      </c>
      <c r="Q298" s="593">
        <v>11.0</v>
      </c>
      <c r="R298" s="596" t="s">
        <v>151</v>
      </c>
      <c r="S298" s="592" t="s">
        <v>32</v>
      </c>
      <c r="T298" s="597">
        <v>43678.0</v>
      </c>
      <c r="U298" s="173"/>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sheetData>
  <autoFilter ref="$A$1:$U$298">
    <filterColumn colId="18">
      <filters>
        <filter val="Sigma"/>
      </filters>
    </filterColumn>
  </autoFilter>
  <conditionalFormatting sqref="C82:C212">
    <cfRule type="colorScale" priority="1">
      <colorScale>
        <cfvo type="formula" val="10"/>
        <cfvo type="formula" val="50"/>
        <cfvo type="formula" val="400"/>
        <color rgb="FFCFE2F3"/>
        <color rgb="FF709CE0"/>
        <color rgb="FF1155CC"/>
      </colorScale>
    </cfRule>
  </conditionalFormatting>
  <conditionalFormatting sqref="B1 B3:B1058">
    <cfRule type="cellIs" dxfId="0" priority="2" operator="between">
      <formula>50</formula>
      <formula>200</formula>
    </cfRule>
  </conditionalFormatting>
  <conditionalFormatting sqref="B1 B3:B1058">
    <cfRule type="cellIs" dxfId="1" priority="3" operator="between">
      <formula>201</formula>
      <formula>400</formula>
    </cfRule>
  </conditionalFormatting>
  <conditionalFormatting sqref="B3:B1053">
    <cfRule type="cellIs" dxfId="2" priority="4" operator="between">
      <formula>401</formula>
      <formula>650</formula>
    </cfRule>
  </conditionalFormatting>
  <conditionalFormatting sqref="B3:B1053">
    <cfRule type="cellIs" dxfId="3" priority="5" operator="between">
      <formula>651</formula>
      <formula>900</formula>
    </cfRule>
  </conditionalFormatting>
  <conditionalFormatting sqref="B3:B1053">
    <cfRule type="cellIs" dxfId="4" priority="6" operator="greaterThan">
      <formula>900</formula>
    </cfRule>
  </conditionalFormatting>
  <conditionalFormatting sqref="P3:P1053">
    <cfRule type="containsText" dxfId="5" priority="7" operator="containsText" text="yes">
      <formula>NOT(ISERROR(SEARCH(("yes"),(P3))))</formula>
    </cfRule>
  </conditionalFormatting>
  <conditionalFormatting sqref="F1:F1058">
    <cfRule type="colorScale" priority="8">
      <colorScale>
        <cfvo type="min"/>
        <cfvo type="formula" val="150"/>
        <color rgb="FFEAD1DC"/>
        <color rgb="FFA64D79"/>
      </colorScale>
    </cfRule>
  </conditionalFormatting>
  <conditionalFormatting sqref="D3:D212">
    <cfRule type="colorScale" priority="9">
      <colorScale>
        <cfvo type="formula" val="1.2"/>
        <cfvo type="formula" val="4"/>
        <color rgb="FF0B5394"/>
        <color rgb="FFFFFFFF"/>
      </colorScale>
    </cfRule>
  </conditionalFormatting>
  <conditionalFormatting sqref="E3:E212">
    <cfRule type="colorScale" priority="10">
      <colorScale>
        <cfvo type="formula" val="65"/>
        <cfvo type="formula" val="100"/>
        <color rgb="FFD9D2E9"/>
        <color rgb="FF674EA7"/>
      </colorScale>
    </cfRule>
  </conditionalFormatting>
  <conditionalFormatting sqref="D3:D212">
    <cfRule type="containsText" dxfId="6" priority="11" operator="containsText" text="1.2">
      <formula>NOT(ISERROR(SEARCH(("1.2"),(D3))))</formula>
    </cfRule>
  </conditionalFormatting>
  <conditionalFormatting sqref="D3:D147">
    <cfRule type="containsText" dxfId="6" priority="12" operator="containsText" text="1.2">
      <formula>NOT(ISERROR(SEARCH(("1.2"),(D3))))</formula>
    </cfRule>
  </conditionalFormatting>
  <conditionalFormatting sqref="D3:D212">
    <cfRule type="containsText" dxfId="8" priority="13" operator="containsText" text="1.4">
      <formula>NOT(ISERROR(SEARCH(("1.4"),(D3))))</formula>
    </cfRule>
  </conditionalFormatting>
  <conditionalFormatting sqref="D3:D231 E3:AA81">
    <cfRule type="containsText" dxfId="9" priority="14" operator="containsText" text="1.8">
      <formula>NOT(ISERROR(SEARCH(("1.8"),(D3))))</formula>
    </cfRule>
  </conditionalFormatting>
  <conditionalFormatting sqref="D3:D147 E3:AA81">
    <cfRule type="containsText" dxfId="9" priority="15" operator="containsText" text="1.8">
      <formula>NOT(ISERROR(SEARCH(("1.8"),(D3))))</formula>
    </cfRule>
  </conditionalFormatting>
  <conditionalFormatting sqref="D3:AA81">
    <cfRule type="containsText" dxfId="9" priority="16" operator="containsText" text="1.8">
      <formula>NOT(ISERROR(SEARCH(("1.8"),(D3))))</formula>
    </cfRule>
  </conditionalFormatting>
  <conditionalFormatting sqref="D3:AA81">
    <cfRule type="containsText" dxfId="9" priority="17" operator="containsText" text="1.8">
      <formula>NOT(ISERROR(SEARCH(("1.8"),(D3))))</formula>
    </cfRule>
  </conditionalFormatting>
  <conditionalFormatting sqref="D3:AA81">
    <cfRule type="containsText" dxfId="9" priority="18" operator="containsText" text="1.8">
      <formula>NOT(ISERROR(SEARCH(("1.8"),(D3))))</formula>
    </cfRule>
  </conditionalFormatting>
  <conditionalFormatting sqref="D3:AA81">
    <cfRule type="containsText" dxfId="9" priority="19" operator="containsText" text="1.8">
      <formula>NOT(ISERROR(SEARCH(("1.8"),(D3))))</formula>
    </cfRule>
  </conditionalFormatting>
  <conditionalFormatting sqref="D3:AA81">
    <cfRule type="containsText" dxfId="9" priority="20" operator="containsText" text="1.8">
      <formula>NOT(ISERROR(SEARCH(("1.8"),(D3))))</formula>
    </cfRule>
  </conditionalFormatting>
  <conditionalFormatting sqref="D3:AA81">
    <cfRule type="containsText" dxfId="9" priority="21" operator="containsText" text="1.8">
      <formula>NOT(ISERROR(SEARCH(("1.8"),(D3))))</formula>
    </cfRule>
  </conditionalFormatting>
  <conditionalFormatting sqref="D3:AA81">
    <cfRule type="containsText" dxfId="9" priority="22" operator="containsText" text="1.8">
      <formula>NOT(ISERROR(SEARCH(("1.8"),(D3))))</formula>
    </cfRule>
  </conditionalFormatting>
  <conditionalFormatting sqref="D3:AA81">
    <cfRule type="containsText" dxfId="9" priority="23" operator="containsText" text="1.8">
      <formula>NOT(ISERROR(SEARCH(("1.8"),(D3))))</formula>
    </cfRule>
  </conditionalFormatting>
  <conditionalFormatting sqref="D3:AA81">
    <cfRule type="containsText" dxfId="9" priority="24" operator="containsText" text="1.8">
      <formula>NOT(ISERROR(SEARCH(("1.8"),(D3))))</formula>
    </cfRule>
  </conditionalFormatting>
  <conditionalFormatting sqref="D3:AA81">
    <cfRule type="containsText" dxfId="9" priority="25" operator="containsText" text="1.8">
      <formula>NOT(ISERROR(SEARCH(("1.8"),(D3))))</formula>
    </cfRule>
  </conditionalFormatting>
  <conditionalFormatting sqref="D3:AA81">
    <cfRule type="containsText" dxfId="9" priority="26" operator="containsText" text="1.8">
      <formula>NOT(ISERROR(SEARCH(("1.8"),(D3))))</formula>
    </cfRule>
  </conditionalFormatting>
  <conditionalFormatting sqref="D3:AA81">
    <cfRule type="containsText" dxfId="9" priority="27" operator="containsText" text="1.8">
      <formula>NOT(ISERROR(SEARCH(("1.8"),(D3))))</formula>
    </cfRule>
  </conditionalFormatting>
  <dataValidations>
    <dataValidation type="list" allowBlank="1" sqref="S3:S212">
      <formula1>"Sony,Voigtlander,Zeiss,Sigma,Samyang,Viltrox,Tokina,Tamron"</formula1>
    </dataValidation>
  </dataValidations>
  <hyperlinks>
    <hyperlink r:id="rId1" ref="K1"/>
    <hyperlink r:id="rId2" ref="M1"/>
    <hyperlink r:id="rId3" ref="N1"/>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2" width="4.0"/>
    <col customWidth="1" min="3" max="3" width="29.14"/>
    <col customWidth="1" min="4" max="4" width="6.57"/>
    <col customWidth="1" min="5" max="5" width="8.14"/>
    <col customWidth="1" min="6" max="6" width="8.0"/>
    <col customWidth="1" min="7" max="8" width="7.29"/>
    <col customWidth="1" min="9" max="9" width="4.0"/>
    <col customWidth="1" min="10" max="10" width="7.14"/>
    <col customWidth="1" min="11" max="11" width="4.43"/>
    <col customWidth="1" min="12" max="12" width="7.57"/>
    <col customWidth="1" min="13" max="13" width="5.43"/>
    <col customWidth="1" min="14" max="14" width="5.0"/>
    <col customWidth="1" min="15" max="15" width="6.14"/>
    <col customWidth="1" min="16" max="16" width="13.29"/>
    <col customWidth="1" min="17" max="17" width="7.43"/>
    <col customWidth="1" min="18" max="19" width="7.71"/>
    <col customWidth="1" min="20" max="23" width="4.0"/>
    <col customWidth="1" min="24" max="24" width="7.43"/>
  </cols>
  <sheetData>
    <row r="1" ht="76.5" customHeight="1">
      <c r="A1" s="685"/>
      <c r="B1" s="685"/>
      <c r="C1" s="1" t="s">
        <v>0</v>
      </c>
      <c r="D1" s="2" t="s">
        <v>1</v>
      </c>
      <c r="E1" s="3" t="s">
        <v>2</v>
      </c>
      <c r="F1" s="4" t="s">
        <v>3</v>
      </c>
      <c r="G1" s="5" t="s">
        <v>4</v>
      </c>
      <c r="H1" s="6" t="s">
        <v>5</v>
      </c>
      <c r="I1" s="7" t="s">
        <v>6</v>
      </c>
      <c r="J1" s="8" t="s">
        <v>7</v>
      </c>
      <c r="K1" s="3" t="s">
        <v>8</v>
      </c>
      <c r="L1" s="3" t="s">
        <v>9</v>
      </c>
      <c r="M1" s="5" t="s">
        <v>10</v>
      </c>
      <c r="N1" s="3" t="s">
        <v>11</v>
      </c>
      <c r="O1" s="3" t="s">
        <v>12</v>
      </c>
      <c r="P1" s="3" t="s">
        <v>13</v>
      </c>
      <c r="Q1" s="3" t="s">
        <v>14</v>
      </c>
      <c r="R1" s="11" t="s">
        <v>15</v>
      </c>
      <c r="S1" s="11" t="s">
        <v>308</v>
      </c>
      <c r="T1" s="13" t="s">
        <v>17</v>
      </c>
      <c r="U1" s="14" t="s">
        <v>18</v>
      </c>
      <c r="V1" s="13" t="s">
        <v>19</v>
      </c>
      <c r="W1" s="15" t="s">
        <v>20</v>
      </c>
      <c r="X1" s="16" t="s">
        <v>21</v>
      </c>
    </row>
    <row r="2" ht="18.0" customHeight="1">
      <c r="A2" s="685"/>
      <c r="B2" s="685"/>
      <c r="C2" s="17" t="s">
        <v>166</v>
      </c>
      <c r="D2" s="18"/>
      <c r="E2" s="18"/>
      <c r="F2" s="18"/>
      <c r="G2" s="18"/>
      <c r="H2" s="18"/>
      <c r="I2" s="19"/>
      <c r="J2" s="20"/>
      <c r="K2" s="18"/>
      <c r="L2" s="18"/>
      <c r="M2" s="19"/>
      <c r="N2" s="18"/>
      <c r="O2" s="19"/>
      <c r="P2" s="21"/>
      <c r="Q2" s="19"/>
      <c r="R2" s="18"/>
      <c r="S2" s="18"/>
      <c r="T2" s="18"/>
      <c r="U2" s="18"/>
      <c r="V2" s="18"/>
      <c r="W2" s="18"/>
    </row>
    <row r="3" ht="76.5" customHeight="1">
      <c r="A3" s="686"/>
      <c r="B3" s="686"/>
      <c r="C3" s="22" t="str">
        <f>HYPERLINK("https://phillipreeve.net/blog/review-voigtlander-10mm-5-6-e-hyper-wide-heliar/","Voigtlander 10mm F5.6 Hyper Wide ")</f>
        <v>Voigtlander 10mm F5.6 Hyper Wide </v>
      </c>
      <c r="D3" s="23">
        <v>375.0</v>
      </c>
      <c r="E3" s="24">
        <v>10.0</v>
      </c>
      <c r="F3" s="25">
        <v>5.6</v>
      </c>
      <c r="G3" s="26">
        <v>67.0</v>
      </c>
      <c r="H3" s="27" t="s">
        <v>23</v>
      </c>
      <c r="I3" s="28" t="s">
        <v>24</v>
      </c>
      <c r="J3" s="29" t="s">
        <v>25</v>
      </c>
      <c r="K3" s="30">
        <v>0.067</v>
      </c>
      <c r="L3" s="31">
        <v>30.0</v>
      </c>
      <c r="M3" s="32" t="s">
        <v>26</v>
      </c>
      <c r="N3" s="30">
        <v>10.0</v>
      </c>
      <c r="O3" s="33" t="s">
        <v>27</v>
      </c>
      <c r="P3" s="30" t="s">
        <v>28</v>
      </c>
      <c r="Q3" s="34">
        <v>42552.0</v>
      </c>
      <c r="R3" s="35">
        <v>1099.0</v>
      </c>
      <c r="S3" s="35" t="s">
        <v>36</v>
      </c>
      <c r="T3" s="36" t="str">
        <f>HYPERLINK("https://amzn.to/2jJ8WxH","link*")</f>
        <v>link*</v>
      </c>
      <c r="U3" s="36" t="str">
        <f>HYPERLINK("https://www.bhphotovideo.com/c/product/1219550-REG/voigtlander_ba334b_heliar_hyper_wide_10mm_f_5_6.html/BI/19619/KBID/12129/DFF/d10-v21-t1-x732282/SID/EZ","link*")</f>
        <v>link*</v>
      </c>
      <c r="V3" s="36" t="str">
        <f>HYPERLINK("https://amzn.to/2jG72hr","link*")</f>
        <v>link*</v>
      </c>
      <c r="W3" s="36" t="str">
        <f>HYPERLINK("http://rover.ebay.com/rover/1/711-53200-19255-0/1?icep_ff3=9&amp;pub=5575076376&amp;toolid=10001&amp;campid=5338573609&amp;customid=&amp;icep_uq=Voigtlander+Sony+10mm+5.6+&amp;icep_sellerId=&amp;icep_ex_kw=&amp;icep_sortBy=12&amp;icep_catId=3323&amp;icep_minPrice=&amp;icep_maxPrice=&amp;ipn=psmain&amp;icep"&amp;"_vectorid=229466&amp;kwid=902099&amp;mtid=824&amp;kw=lg","link*")</f>
        <v>link*</v>
      </c>
      <c r="X3" s="37" t="s">
        <v>225</v>
      </c>
    </row>
    <row r="4" ht="18.0" customHeight="1">
      <c r="A4" s="17"/>
      <c r="B4" s="17"/>
      <c r="C4" s="38" t="s">
        <v>29</v>
      </c>
      <c r="D4" s="39">
        <v>565.0</v>
      </c>
      <c r="E4" s="40">
        <v>12.0</v>
      </c>
      <c r="F4" s="41">
        <v>4.0</v>
      </c>
      <c r="G4" s="42">
        <v>87.0</v>
      </c>
      <c r="H4" s="43">
        <v>117.0</v>
      </c>
      <c r="I4" s="44" t="s">
        <v>30</v>
      </c>
      <c r="J4" s="45" t="s">
        <v>25</v>
      </c>
      <c r="K4" s="46">
        <v>0.14</v>
      </c>
      <c r="L4" s="47">
        <v>24.0</v>
      </c>
      <c r="M4" s="44" t="s">
        <v>26</v>
      </c>
      <c r="N4" s="46">
        <v>7.0</v>
      </c>
      <c r="O4" s="48" t="s">
        <v>31</v>
      </c>
      <c r="P4" s="46" t="s">
        <v>32</v>
      </c>
      <c r="Q4" s="49">
        <v>42856.0</v>
      </c>
      <c r="R4" s="50">
        <v>1699.0</v>
      </c>
      <c r="S4" s="50">
        <v>1250.0</v>
      </c>
      <c r="T4" s="51" t="str">
        <f>HYPERLINK("https://amzn.to/2SSzKc4","link*")</f>
        <v>link*</v>
      </c>
      <c r="U4" s="51" t="str">
        <f>HYPERLINK("https://www.bhphotovideo.com/c/product/1338517-REG/sony_sel1224g_fe_12_24mm_f_4_g.html/BI/19619/KBID/12129/DFF/d10-v21-t1-x822838/SID/EZ","link*")</f>
        <v>link*</v>
      </c>
      <c r="V4" s="51" t="str">
        <f>HYPERLINK("https://amzn.to/2Kg94zb","link*")</f>
        <v>link*</v>
      </c>
      <c r="W4" s="51" t="str">
        <f>HYPERLINK("http://rover.ebay.com/rover/1/711-53200-19255-0/1?icep_ff3=9&amp;pub=5575076376&amp;toolid=10001&amp;campid=5338573609&amp;customid=&amp;icep_uq=sony+12-24&amp;icep_sellerId=&amp;icep_ex_kw=&amp;icep_sortBy=12&amp;icep_catId=3323&amp;icep_minPrice=&amp;icep_maxPrice=&amp;ipn=psmain&amp;icep_vectorid=229466"&amp;"&amp;kwid=902099&amp;mtid=824&amp;kw=lg","link*")</f>
        <v>link*</v>
      </c>
    </row>
    <row r="5">
      <c r="A5" s="342" t="b">
        <v>0</v>
      </c>
      <c r="B5" s="687" t="b">
        <v>0</v>
      </c>
      <c r="C5" s="22" t="str">
        <f>HYPERLINK("https://phillipreeve.net/blog/review-voigtlander-12mm-5-6-aspherical-ultra-wide-heliar/","Voigtlander 12mm F5.6 Ultra Wide-Heliar Aspherical")</f>
        <v>Voigtlander 12mm F5.6 Ultra Wide-Heliar Aspherical</v>
      </c>
      <c r="D5" s="23">
        <v>350.0</v>
      </c>
      <c r="E5" s="24">
        <v>12.0</v>
      </c>
      <c r="F5" s="25">
        <v>5.6</v>
      </c>
      <c r="G5" s="69">
        <v>67.0</v>
      </c>
      <c r="H5" s="27">
        <v>68.0</v>
      </c>
      <c r="I5" s="32" t="s">
        <v>24</v>
      </c>
      <c r="J5" s="29" t="s">
        <v>25</v>
      </c>
      <c r="K5" s="30"/>
      <c r="L5" s="31">
        <v>30.0</v>
      </c>
      <c r="M5" s="32" t="s">
        <v>26</v>
      </c>
      <c r="N5" s="30">
        <v>10.0</v>
      </c>
      <c r="O5" s="33" t="s">
        <v>38</v>
      </c>
      <c r="P5" s="30" t="s">
        <v>28</v>
      </c>
      <c r="Q5" s="34">
        <v>42583.0</v>
      </c>
      <c r="R5" s="35">
        <v>749.0</v>
      </c>
      <c r="S5" s="35" t="s">
        <v>36</v>
      </c>
      <c r="T5" s="70"/>
      <c r="U5" s="70"/>
      <c r="V5" s="70"/>
      <c r="W5" s="36" t="str">
        <f>HYPERLINK("http://rover.ebay.com/rover/1/711-53200-19255-0/1?icep_ff3=9&amp;pub=5575076376&amp;toolid=10001&amp;campid=5338573609&amp;customid=&amp;icep_uq=Voigtlander+Sony+12mm+5.6+&amp;icep_sellerId=&amp;icep_ex_kw=&amp;icep_sortBy=12&amp;icep_catId=3323&amp;icep_minPrice=&amp;icep_maxPrice=&amp;ipn=psmain&amp;icep"&amp;"_vectorid=229466&amp;kwid=902099&amp;mtid=824&amp;kw=lg","link*")</f>
        <v>link*</v>
      </c>
      <c r="X5" s="37" t="s">
        <v>39</v>
      </c>
    </row>
    <row r="6">
      <c r="A6" s="275" t="b">
        <v>0</v>
      </c>
      <c r="B6" s="688" t="b">
        <v>0</v>
      </c>
      <c r="C6" s="38" t="s">
        <v>40</v>
      </c>
      <c r="D6" s="39">
        <v>1220.0</v>
      </c>
      <c r="E6" s="40">
        <v>14.0</v>
      </c>
      <c r="F6" s="71">
        <v>1.8</v>
      </c>
      <c r="G6" s="72">
        <v>95.0</v>
      </c>
      <c r="H6" s="73">
        <v>152.0</v>
      </c>
      <c r="I6" s="46" t="s">
        <v>30</v>
      </c>
      <c r="J6" s="45" t="s">
        <v>25</v>
      </c>
      <c r="K6" s="46">
        <v>0.1</v>
      </c>
      <c r="L6" s="47">
        <v>27.0</v>
      </c>
      <c r="M6" s="44" t="s">
        <v>26</v>
      </c>
      <c r="N6" s="46">
        <v>9.0</v>
      </c>
      <c r="O6" s="74">
        <v>43785.0</v>
      </c>
      <c r="P6" s="46" t="s">
        <v>41</v>
      </c>
      <c r="Q6" s="49">
        <v>43221.0</v>
      </c>
      <c r="R6" s="50">
        <v>1599.0</v>
      </c>
      <c r="S6" s="50" t="s">
        <v>36</v>
      </c>
      <c r="T6" s="51" t="str">
        <f>HYPERLINK("https://amzn.to/2SOWTvV","link*")</f>
        <v>link*</v>
      </c>
      <c r="U6" s="51" t="str">
        <f>HYPERLINK("https://www.bhphotovideo.com/c/product/1393489-REG/sigma_14mm_f_1_8_dg_hsm.html/BI/19619/KBID/12129/DFF/d10-v21-t1-x881154/SID/EZ","link*")</f>
        <v>link*</v>
      </c>
      <c r="V6" s="51" t="str">
        <f>HYPERLINK("https://amzn.to/2ZDl4QJ","link*")</f>
        <v>link*</v>
      </c>
      <c r="W6" s="51" t="str">
        <f>HYPERLINK("http://rover.ebay.com/rover/1/711-53200-19255-0/1?icep_ff3=9&amp;pub=5575076376&amp;toolid=10001&amp;campid=5338573609&amp;customid=&amp;icep_uq=sigma+14+1.8+sony&amp;icep_sellerId=&amp;icep_ex_kw=&amp;icep_sortBy=12&amp;icep_catId=3323&amp;icep_minPrice=&amp;icep_maxPrice=&amp;ipn=psmain&amp;icep_vectorid"&amp;"=229466&amp;kwid=902099&amp;mtid=824&amp;kw=lg","link*")</f>
        <v>link*</v>
      </c>
      <c r="X6" s="68" t="s">
        <v>42</v>
      </c>
    </row>
    <row r="7">
      <c r="A7" s="342" t="b">
        <v>0</v>
      </c>
      <c r="B7" s="687" t="b">
        <v>0</v>
      </c>
      <c r="C7" s="75" t="s">
        <v>43</v>
      </c>
      <c r="D7" s="76">
        <v>795.0</v>
      </c>
      <c r="E7" s="77">
        <v>14.0</v>
      </c>
      <c r="F7" s="78">
        <v>2.8</v>
      </c>
      <c r="G7" s="79">
        <v>85.0</v>
      </c>
      <c r="H7" s="80">
        <v>131.0</v>
      </c>
      <c r="I7" s="81" t="s">
        <v>30</v>
      </c>
      <c r="J7" s="82" t="s">
        <v>25</v>
      </c>
      <c r="K7" s="81">
        <v>0.14</v>
      </c>
      <c r="L7" s="83">
        <v>28.0</v>
      </c>
      <c r="M7" s="84" t="s">
        <v>26</v>
      </c>
      <c r="N7" s="81">
        <v>11.0</v>
      </c>
      <c r="O7" s="85" t="s">
        <v>44</v>
      </c>
      <c r="P7" s="81" t="s">
        <v>41</v>
      </c>
      <c r="Q7" s="86">
        <v>43693.0</v>
      </c>
      <c r="R7" s="87">
        <v>1399.0</v>
      </c>
      <c r="S7" s="87" t="s">
        <v>36</v>
      </c>
      <c r="T7" s="88" t="str">
        <f>HYPERLINK("https://amzn.to/2zt8rMC","link*")</f>
        <v>link*</v>
      </c>
      <c r="U7" s="88" t="str">
        <f>HYPERLINK("https://www.bhphotovideo.com/c/product/1492972-REG/sigma_213965_14_24mm_f_2_8_dg_dn.html/BI/19619/KBID/12129/DFF/d10-v21-t1-x976041/SID/EZ","link*")</f>
        <v>link*</v>
      </c>
      <c r="V7" s="89" t="s">
        <v>33</v>
      </c>
      <c r="W7" s="88" t="str">
        <f>HYPERLINK("http://rover.ebay.com/rover/1/711-53200-19255-0/1?icep_ff3=9&amp;pub=5575076376&amp;toolid=10001&amp;campid=5338573609&amp;customid=&amp;icep_uq=sigma+14-24+2.8+sony&amp;icep_sellerId=&amp;icep_ex_kw=&amp;icep_sortBy=12&amp;icep_catId=3323&amp;icep_minPrice=&amp;icep_maxPrice=&amp;ipn=psmain&amp;icep_vecto"&amp;"rid=229466&amp;kwid=902099&amp;mtid=824&amp;kw=lg","link*")</f>
        <v>link*</v>
      </c>
      <c r="X7" s="68" t="s">
        <v>37</v>
      </c>
    </row>
    <row r="8">
      <c r="A8" s="275" t="b">
        <v>0</v>
      </c>
      <c r="B8" s="688" t="b">
        <v>0</v>
      </c>
      <c r="C8" s="90" t="s">
        <v>45</v>
      </c>
      <c r="D8" s="23">
        <v>505.0</v>
      </c>
      <c r="E8" s="24">
        <v>14.0</v>
      </c>
      <c r="F8" s="25">
        <v>2.8</v>
      </c>
      <c r="G8" s="91">
        <v>86.0</v>
      </c>
      <c r="H8" s="92">
        <v>98.0</v>
      </c>
      <c r="I8" s="30" t="s">
        <v>30</v>
      </c>
      <c r="J8" s="29" t="s">
        <v>25</v>
      </c>
      <c r="K8" s="30">
        <v>0.12</v>
      </c>
      <c r="L8" s="31">
        <v>20.0</v>
      </c>
      <c r="M8" s="32" t="s">
        <v>26</v>
      </c>
      <c r="N8" s="30">
        <v>7.0</v>
      </c>
      <c r="O8" s="93">
        <v>43752.0</v>
      </c>
      <c r="P8" s="30" t="s">
        <v>46</v>
      </c>
      <c r="Q8" s="34">
        <v>43221.0</v>
      </c>
      <c r="R8" s="35">
        <v>799.0</v>
      </c>
      <c r="S8" s="35">
        <v>450.0</v>
      </c>
      <c r="T8" s="36" t="str">
        <f>HYPERLINK("https://amzn.to/2SX2HUi","link*")</f>
        <v>link*</v>
      </c>
      <c r="U8" s="36" t="str">
        <f>HYPERLINK("https://www.bhphotovideo.com/c/product/1352863-REG/samyang_syio14af_e_14mm_f_2_8_f_f_wide.html/BI/19619/KBID/12129/DFF/d10-v21-t1-x837928/SID/EZ","link*")</f>
        <v>link*</v>
      </c>
      <c r="V8" s="36" t="str">
        <f>HYPERLINK("https://amzn.to/31hwSIL","link*")</f>
        <v>link*</v>
      </c>
      <c r="W8" s="36" t="str">
        <f>HYPERLINK("http://rover.ebay.com/rover/1/711-53200-19255-0/1?icep_ff3=9&amp;pub=5575076376&amp;toolid=10001&amp;campid=5338573609&amp;customid=&amp;icep_uq=samyang+af+14+2.8+sony&amp;icep_sellerId=&amp;icep_ex_kw=&amp;icep_sortBy=12&amp;icep_catId=3323&amp;icep_minPrice=&amp;icep_maxPrice=&amp;ipn=psmain&amp;icep_vec"&amp;"torid=229466&amp;kwid=902099&amp;mtid=824&amp;kw=lg","link*")</f>
        <v>link*</v>
      </c>
      <c r="X8" s="94"/>
    </row>
    <row r="9">
      <c r="A9" s="275" t="b">
        <v>0</v>
      </c>
      <c r="B9" s="688" t="b">
        <v>0</v>
      </c>
      <c r="C9" s="95" t="str">
        <f>HYPERLINK("https://phillipreeve.net/blog/review-voigtlander-15mm-4-5-e-super-wide-heliar/","Voigtlander 15mm F4.5 Super Wide Heliar")</f>
        <v>Voigtlander 15mm F4.5 Super Wide Heliar</v>
      </c>
      <c r="D9" s="96">
        <v>298.0</v>
      </c>
      <c r="E9" s="97">
        <v>15.0</v>
      </c>
      <c r="F9" s="98">
        <v>4.5</v>
      </c>
      <c r="G9" s="99">
        <v>67.0</v>
      </c>
      <c r="H9" s="100">
        <v>62.0</v>
      </c>
      <c r="I9" s="101" t="s">
        <v>24</v>
      </c>
      <c r="J9" s="102" t="s">
        <v>47</v>
      </c>
      <c r="K9" s="103">
        <v>0.083</v>
      </c>
      <c r="L9" s="104">
        <v>30.0</v>
      </c>
      <c r="M9" s="101" t="s">
        <v>26</v>
      </c>
      <c r="N9" s="103">
        <v>10.0</v>
      </c>
      <c r="O9" s="105" t="s">
        <v>38</v>
      </c>
      <c r="P9" s="103" t="s">
        <v>28</v>
      </c>
      <c r="Q9" s="106">
        <v>42401.0</v>
      </c>
      <c r="R9" s="107">
        <v>799.0</v>
      </c>
      <c r="S9" s="107" t="s">
        <v>36</v>
      </c>
      <c r="T9" s="108" t="str">
        <f>HYPERLINK("https://amzn.to/2YwplrQ","link*")</f>
        <v>link*</v>
      </c>
      <c r="U9" s="108" t="str">
        <f>HYPERLINK("https://www.bhphotovideo.com/c/product/1219549-REG/voigtlander_ba329b_super_wide_heliar_15mm_f_4_5.html/BI/19619/KBID/12129/DFF/d10-v21-t1-x618202/SID/EZ","link*")</f>
        <v>link*</v>
      </c>
      <c r="V9" s="108" t="str">
        <f>HYPERLINK("https://amzn.to/2ZpTKt5","link*")</f>
        <v>link*</v>
      </c>
      <c r="W9" s="108" t="str">
        <f>HYPERLINK("http://rover.ebay.com/rover/1/711-53200-19255-0/1?icep_ff3=9&amp;pub=5575076376&amp;toolid=10001&amp;campid=5338573609&amp;customid=&amp;icep_uq=Voigtlander+Sony+15mm+4.5&amp;icep_sellerId=&amp;icep_ex_kw=&amp;icep_sortBy=12&amp;icep_catId=3323&amp;icep_minPrice=&amp;icep_maxPrice=&amp;ipn=psmain&amp;icep_"&amp;"vectorid=229466&amp;kwid=902099&amp;mtid=824&amp;kw=lg","link*")</f>
        <v>link*</v>
      </c>
      <c r="X9" s="94"/>
    </row>
    <row r="10">
      <c r="A10" s="275" t="b">
        <v>0</v>
      </c>
      <c r="B10" s="688" t="b">
        <v>0</v>
      </c>
      <c r="C10" s="109" t="str">
        <f>HYPERLINK("https://phillipreeve.net/blog/sony-fe-16-35mm-f4-za-t-review/","Sony ZA 4/16-35 OSS ")</f>
        <v>Sony ZA 4/16-35 OSS </v>
      </c>
      <c r="D10" s="39">
        <v>523.0</v>
      </c>
      <c r="E10" s="40">
        <v>16.0</v>
      </c>
      <c r="F10" s="41">
        <v>4.0</v>
      </c>
      <c r="G10" s="42">
        <v>78.0</v>
      </c>
      <c r="H10" s="43">
        <v>98.0</v>
      </c>
      <c r="I10" s="44" t="s">
        <v>30</v>
      </c>
      <c r="J10" s="45" t="s">
        <v>48</v>
      </c>
      <c r="K10" s="46">
        <v>0.19</v>
      </c>
      <c r="L10" s="47">
        <v>28.0</v>
      </c>
      <c r="M10" s="110" t="s">
        <v>49</v>
      </c>
      <c r="N10" s="46">
        <v>7.0</v>
      </c>
      <c r="O10" s="111" t="s">
        <v>38</v>
      </c>
      <c r="P10" s="46" t="s">
        <v>32</v>
      </c>
      <c r="Q10" s="49">
        <v>41883.0</v>
      </c>
      <c r="R10" s="50">
        <v>1349.0</v>
      </c>
      <c r="S10" s="50">
        <v>800.0</v>
      </c>
      <c r="T10" s="51" t="str">
        <f>HYPERLINK("http://amzn.to/2v2sY7q","link*")</f>
        <v>link*</v>
      </c>
      <c r="U10" s="51" t="str">
        <f>HYPERLINK("https://www.bhphotovideo.com/c/product/1380866-REG/sony_16_35mm_f_4_vario_tsr.html/BI/19619/KBID/12129/kw/SO16354F/DFF/d10-v2-t1-xSO16354F","link*")</f>
        <v>link*</v>
      </c>
      <c r="V10" s="51" t="str">
        <f>HYPERLINK("http://amzn.to/2wyMLuP","link*")</f>
        <v>link*</v>
      </c>
      <c r="W10" s="51" t="str">
        <f>HYPERLINK("http://rover.ebay.com/rover/1/711-53200-19255-0/1?icep_ff3=10&amp;pub=5575076376&amp;toolid=10001&amp;campid=5338164340&amp;customid=&amp;icep_uq=sony+16-35+za+oss&amp;icep_sellerId=&amp;icep_ex_kw=&amp;icep_sortBy=12&amp;icep_catId=&amp;icep_minPrice=&amp;icep_maxPrice=&amp;ipn=psmain&amp;icep_vectorid=22"&amp;"9466&amp;kwid=902099&amp;mtid=824&amp;kw=lg","link*")</f>
        <v>link*</v>
      </c>
    </row>
    <row r="11">
      <c r="A11" s="342" t="b">
        <v>0</v>
      </c>
      <c r="B11" s="687" t="b">
        <v>0</v>
      </c>
      <c r="C11" s="90" t="s">
        <v>50</v>
      </c>
      <c r="D11" s="23">
        <v>680.0</v>
      </c>
      <c r="E11" s="24">
        <v>16.0</v>
      </c>
      <c r="F11" s="25">
        <v>2.8</v>
      </c>
      <c r="G11" s="91">
        <v>89.0</v>
      </c>
      <c r="H11" s="92">
        <v>122.0</v>
      </c>
      <c r="I11" s="32" t="s">
        <v>30</v>
      </c>
      <c r="J11" s="29" t="s">
        <v>51</v>
      </c>
      <c r="K11" s="30">
        <v>0.19</v>
      </c>
      <c r="L11" s="31">
        <v>28.0</v>
      </c>
      <c r="M11" s="32" t="s">
        <v>26</v>
      </c>
      <c r="N11" s="30">
        <v>11.0</v>
      </c>
      <c r="O11" s="112" t="s">
        <v>52</v>
      </c>
      <c r="P11" s="30" t="s">
        <v>32</v>
      </c>
      <c r="Q11" s="34">
        <v>42856.0</v>
      </c>
      <c r="R11" s="35">
        <v>2199.0</v>
      </c>
      <c r="S11" s="35">
        <v>1800.0</v>
      </c>
      <c r="T11" s="36" t="str">
        <f>HYPERLINK("https://amzn.to/2SR0IRl","link*")</f>
        <v>link*</v>
      </c>
      <c r="U11" s="36" t="str">
        <f>HYPERLINK("https://www.bhphotovideo.com/c/product/1338516-REG/sony_sel1635gm_fe_16_35mm_f_2_8_gm.html/BI/19619/KBID/12129/DFF/d10-v21-t1-x822837/SID/EZ","link*")</f>
        <v>link*</v>
      </c>
      <c r="V11" s="36" t="str">
        <f>HYPERLINK("https://amzn.to/2T1ZxOU","link*")</f>
        <v>link*</v>
      </c>
      <c r="W11" s="36" t="str">
        <f>HYPERLINK("http://rover.ebay.com/rover/1/711-53200-19255-0/1?icep_ff3=9&amp;pub=5575076376&amp;toolid=10001&amp;campid=5338573609&amp;customid=&amp;icep_uq=sony+gm+16-35&amp;icep_sellerId=&amp;icep_ex_kw=&amp;icep_sortBy=12&amp;icep_catId=3323&amp;icep_minPrice=&amp;icep_maxPrice=&amp;ipn=psmain&amp;icep_vectorid=229"&amp;"466&amp;kwid=902099&amp;mtid=824&amp;kw=lg","link*")</f>
        <v>link*</v>
      </c>
      <c r="X11" s="94"/>
    </row>
    <row r="12">
      <c r="A12" s="342" t="b">
        <v>0</v>
      </c>
      <c r="B12" s="687" t="b">
        <v>0</v>
      </c>
      <c r="C12" s="95" t="str">
        <f>HYPERLINK("https://phillipreeve.net/blog/review-tamron-17-28mm-f-2-8-di-iii-rxd/","Tamron 17-28mm f/2.8 Di III RXD")</f>
        <v>Tamron 17-28mm f/2.8 Di III RXD</v>
      </c>
      <c r="D12" s="96">
        <v>420.0</v>
      </c>
      <c r="E12" s="97">
        <v>17.0</v>
      </c>
      <c r="F12" s="98">
        <v>2.8</v>
      </c>
      <c r="G12" s="113">
        <v>73.0</v>
      </c>
      <c r="H12" s="114">
        <v>99.0</v>
      </c>
      <c r="I12" s="101" t="s">
        <v>30</v>
      </c>
      <c r="J12" s="102" t="s">
        <v>53</v>
      </c>
      <c r="K12" s="103">
        <v>0.19</v>
      </c>
      <c r="L12" s="104">
        <v>19.0</v>
      </c>
      <c r="M12" s="101" t="s">
        <v>26</v>
      </c>
      <c r="N12" s="103">
        <v>9.0</v>
      </c>
      <c r="O12" s="105" t="s">
        <v>54</v>
      </c>
      <c r="P12" s="103" t="s">
        <v>55</v>
      </c>
      <c r="Q12" s="106">
        <v>43647.0</v>
      </c>
      <c r="R12" s="115">
        <v>899.0</v>
      </c>
      <c r="S12" s="107" t="s">
        <v>36</v>
      </c>
      <c r="T12" s="108" t="str">
        <f>HYPERLINK("https://amzn.to/2Hv3AyB","link*")</f>
        <v>link*</v>
      </c>
      <c r="U12" s="108" t="str">
        <f>HYPERLINK("https://www.bhphotovideo.com/c/product/1461529-REG/tamron_a046_17_28mm_f_2_8_di_iii.html/BI/19619/KBID/12129/DFF/d10-v21-t1-x946694/SID/EZ","link*")</f>
        <v>link*</v>
      </c>
      <c r="V12" s="108" t="str">
        <f>HYPERLINK("https://amzn.to/2YkrkQB","link*")</f>
        <v>link*</v>
      </c>
      <c r="W12" s="108" t="str">
        <f>HYPERLINK("http://rover.ebay.com/rover/1/711-53200-19255-0/1?icep_ff3=9&amp;pub=5575076376&amp;toolid=10001&amp;campid=5338573609&amp;customid=&amp;icep_uq=tamron+17-28+sony&amp;icep_sellerId=&amp;icep_ex_kw=&amp;icep_sortBy=12&amp;icep_catId=3323&amp;icep_minPrice=&amp;icep_maxPrice=&amp;ipn=psmain&amp;icep_vectorid"&amp;"=229466&amp;kwid=902099&amp;mtid=824&amp;kw=lg","link*")</f>
        <v>link*</v>
      </c>
      <c r="X12" s="94"/>
      <c r="Y12" s="116"/>
    </row>
    <row r="13">
      <c r="A13" s="275" t="b">
        <v>0</v>
      </c>
      <c r="B13" s="688" t="b">
        <v>0</v>
      </c>
      <c r="C13" s="109" t="str">
        <f>HYPERLINK("https://phillipreeve.net/blog/review-zeiss-batis-18mm-2-8/","Zeiss Batis 2.8/18")</f>
        <v>Zeiss Batis 2.8/18</v>
      </c>
      <c r="D13" s="39">
        <v>330.0</v>
      </c>
      <c r="E13" s="40">
        <v>18.0</v>
      </c>
      <c r="F13" s="41">
        <v>2.8</v>
      </c>
      <c r="G13" s="42">
        <v>100.0</v>
      </c>
      <c r="H13" s="43">
        <v>80.0</v>
      </c>
      <c r="I13" s="44" t="s">
        <v>30</v>
      </c>
      <c r="J13" s="45" t="s">
        <v>56</v>
      </c>
      <c r="K13" s="46">
        <v>0.1</v>
      </c>
      <c r="L13" s="47">
        <v>25.0</v>
      </c>
      <c r="M13" s="44" t="s">
        <v>26</v>
      </c>
      <c r="N13" s="46">
        <v>9.0</v>
      </c>
      <c r="O13" s="111" t="s">
        <v>57</v>
      </c>
      <c r="P13" s="46" t="s">
        <v>58</v>
      </c>
      <c r="Q13" s="49">
        <v>42491.0</v>
      </c>
      <c r="R13" s="50">
        <v>1499.0</v>
      </c>
      <c r="S13" s="50">
        <v>1000.0</v>
      </c>
      <c r="T13" s="51" t="str">
        <f>HYPERLINK("https://amzn.to/2SRFBhL","link*")</f>
        <v>link*</v>
      </c>
      <c r="U13" s="51" t="str">
        <f>HYPERLINK("https://www.bhphotovideo.com/c/product/1243591-REG/zeiss_2136_691_batis_18mm_f_2_8_lens.html/BI/19619/KBID/12129/DFF/d10-v21-t1-x727488/SID/EZ","link*")</f>
        <v>link*</v>
      </c>
      <c r="V13" s="51" t="str">
        <f>HYPERLINK("https://amzn.to/334PqNT","link*")</f>
        <v>link*</v>
      </c>
      <c r="W13" s="51" t="str">
        <f>HYPERLINK("http://rover.ebay.com/rover/1/711-53200-19255-0/1?icep_ff3=9&amp;pub=5575076376&amp;toolid=10001&amp;campid=5338573609&amp;customid=&amp;icep_uq=batis+18+2.8&amp;icep_sellerId=&amp;icep_ex_kw=&amp;icep_sortBy=12&amp;icep_catId=3323&amp;icep_minPrice=&amp;icep_maxPrice=&amp;ipn=psmain&amp;icep_vectorid=2294"&amp;"66&amp;kwid=902099&amp;mtid=824&amp;kw=lg","link*")</f>
        <v>link*</v>
      </c>
    </row>
    <row r="14">
      <c r="A14" s="342" t="b">
        <v>0</v>
      </c>
      <c r="B14" s="687" t="b">
        <v>0</v>
      </c>
      <c r="C14" s="117" t="s">
        <v>59</v>
      </c>
      <c r="D14" s="23">
        <v>145.0</v>
      </c>
      <c r="E14" s="24">
        <v>18.0</v>
      </c>
      <c r="F14" s="25">
        <v>2.8</v>
      </c>
      <c r="G14" s="91">
        <v>63.5</v>
      </c>
      <c r="H14" s="92">
        <v>60.5</v>
      </c>
      <c r="I14" s="32" t="s">
        <v>30</v>
      </c>
      <c r="J14" s="29" t="s">
        <v>47</v>
      </c>
      <c r="K14" s="30">
        <v>0.09</v>
      </c>
      <c r="L14" s="31">
        <v>25.0</v>
      </c>
      <c r="M14" s="32" t="s">
        <v>26</v>
      </c>
      <c r="N14" s="30">
        <v>7.0</v>
      </c>
      <c r="O14" s="112" t="s">
        <v>60</v>
      </c>
      <c r="P14" s="30" t="s">
        <v>46</v>
      </c>
      <c r="Q14" s="34">
        <v>43723.0</v>
      </c>
      <c r="R14" s="35">
        <v>399.0</v>
      </c>
      <c r="S14" s="35" t="s">
        <v>36</v>
      </c>
      <c r="T14" s="119"/>
      <c r="U14" s="36" t="str">
        <f>HYPERLINK("https://www.bhphotovideo.com/c/product/1503295-REG/samyang_syio18af_e_af_18mm_f_2_8_fe.html/BI/19619/KBID/12129/DFF/d10-v21-t1-x985623/SID/EZ","link*")</f>
        <v>link*</v>
      </c>
      <c r="V14" s="119"/>
      <c r="W14" s="119"/>
      <c r="X14" s="94"/>
    </row>
    <row r="15" customHeight="1">
      <c r="A15" s="342" t="b">
        <v>0</v>
      </c>
      <c r="B15" s="687" t="b">
        <v>0</v>
      </c>
      <c r="C15" s="38" t="s">
        <v>61</v>
      </c>
      <c r="D15" s="39">
        <v>1050.0</v>
      </c>
      <c r="E15" s="40">
        <v>20.0</v>
      </c>
      <c r="F15" s="120">
        <v>1.4</v>
      </c>
      <c r="G15" s="42">
        <v>91.0</v>
      </c>
      <c r="H15" s="43">
        <v>155.8</v>
      </c>
      <c r="I15" s="46" t="s">
        <v>30</v>
      </c>
      <c r="J15" s="45" t="s">
        <v>25</v>
      </c>
      <c r="K15" s="46">
        <v>0.14</v>
      </c>
      <c r="L15" s="47">
        <v>28.0</v>
      </c>
      <c r="M15" s="44" t="s">
        <v>26</v>
      </c>
      <c r="N15" s="46">
        <v>9.0</v>
      </c>
      <c r="O15" s="74">
        <v>43784.0</v>
      </c>
      <c r="P15" s="46" t="s">
        <v>41</v>
      </c>
      <c r="Q15" s="49">
        <v>43221.0</v>
      </c>
      <c r="R15" s="50">
        <v>899.0</v>
      </c>
      <c r="S15" s="50">
        <v>700.0</v>
      </c>
      <c r="T15" s="51" t="str">
        <f>HYPERLINK("https://amzn.to/2K4J7nh","link*")</f>
        <v>link*</v>
      </c>
      <c r="U15" s="51" t="str">
        <f>HYPERLINK("https://www.bhphotovideo.com/c/product/1393490-REG/sigma_20mm_f_1_4_dg_hsm.html/BI/19619/KBID/12129/DFF/d10-v21-t1-x881155/SID/EZ","link*")</f>
        <v>link*</v>
      </c>
      <c r="V15" s="51" t="str">
        <f>HYPERLINK("https://amzn.to/2Wy0d3F","link*")</f>
        <v>link*</v>
      </c>
      <c r="W15" s="51" t="str">
        <f>HYPERLINK("http://rover.ebay.com/rover/1/711-53200-19255-0/1?icep_ff3=9&amp;pub=5575076376&amp;toolid=10001&amp;campid=5338573609&amp;customid=&amp;icep_uq=sigma+art+20+1.4+sony&amp;icep_sellerId=&amp;icep_ex_kw=&amp;icep_sortBy=12&amp;icep_catId=3323&amp;icep_minPrice=&amp;icep_maxPrice=&amp;ipn=psmain&amp;icep_vect"&amp;"orid=229466&amp;kwid=902099&amp;mtid=824&amp;kw=lg","link*")</f>
        <v>link*</v>
      </c>
      <c r="X15" s="68" t="s">
        <v>42</v>
      </c>
    </row>
    <row r="16">
      <c r="A16" s="342" t="b">
        <v>0</v>
      </c>
      <c r="B16" s="687" t="b">
        <v>0</v>
      </c>
      <c r="C16" s="75" t="s">
        <v>62</v>
      </c>
      <c r="D16" s="76">
        <v>775.0</v>
      </c>
      <c r="E16" s="77">
        <v>20.0</v>
      </c>
      <c r="F16" s="121">
        <v>1.8</v>
      </c>
      <c r="G16" s="79">
        <v>77.0</v>
      </c>
      <c r="H16" s="122">
        <v>102.0</v>
      </c>
      <c r="I16" s="81" t="s">
        <v>24</v>
      </c>
      <c r="J16" s="82" t="s">
        <v>51</v>
      </c>
      <c r="K16" s="81">
        <v>0.12</v>
      </c>
      <c r="L16" s="83">
        <v>25.0</v>
      </c>
      <c r="M16" s="84" t="s">
        <v>26</v>
      </c>
      <c r="N16" s="81">
        <v>14.0</v>
      </c>
      <c r="O16" s="123">
        <v>43720.0</v>
      </c>
      <c r="P16" s="81" t="s">
        <v>63</v>
      </c>
      <c r="Q16" s="86">
        <v>43586.0</v>
      </c>
      <c r="R16" s="87">
        <v>486.0</v>
      </c>
      <c r="S16" s="87" t="s">
        <v>36</v>
      </c>
      <c r="T16" s="88" t="str">
        <f>HYPERLINK("https://amzn.to/2LRRbJ5","link*")</f>
        <v>link*</v>
      </c>
      <c r="U16" s="88" t="str">
        <f>HYPERLINK("https://www.bhphotovideo.com/c/product/1469187-REG/viltrox_pfu_rbmh_20mm_f1_8_asph_e_mount_20mm_f_1_8_for_sony.html/BI/19619/KBID/12129/DFF/d10-v21-t1-x954299/SID/EZ","link*")</f>
        <v>link*</v>
      </c>
      <c r="V16" s="88" t="str">
        <f>HYPERLINK("https://amzn.to/2GL8iYV","link*")</f>
        <v>link*</v>
      </c>
      <c r="W16" s="88" t="str">
        <f>HYPERLINK("http://rover.ebay.com/rover/1/711-53200-19255-0/1?icep_ff3=9&amp;pub=5575076376&amp;toolid=10001&amp;campid=5338573609&amp;customid=&amp;icep_uq=viltrox+20+1.8+sony&amp;icep_sellerId=&amp;icep_ex_kw=&amp;icep_sortBy=12&amp;icep_catId=3323&amp;icep_minPrice=&amp;icep_maxPrice=&amp;ipn=psmain&amp;icep_vector"&amp;"id=229466&amp;kwid=902099&amp;mtid=824&amp;kw=lg","link*")</f>
        <v>link*</v>
      </c>
    </row>
    <row r="17" customHeight="1">
      <c r="A17" s="275" t="b">
        <v>0</v>
      </c>
      <c r="B17" s="688" t="b">
        <v>0</v>
      </c>
      <c r="C17" s="131" t="str">
        <f>HYPERLINK("https://phillipreeve.net/blog/tokina-firin-20mm-f2-fe-review-a-good-deal/","Tokina Firin 2/20")</f>
        <v>Tokina Firin 2/20</v>
      </c>
      <c r="D17" s="76">
        <v>492.0</v>
      </c>
      <c r="E17" s="77">
        <v>20.0</v>
      </c>
      <c r="F17" s="125">
        <v>2.0</v>
      </c>
      <c r="G17" s="132">
        <v>69.0</v>
      </c>
      <c r="H17" s="133">
        <v>82.0</v>
      </c>
      <c r="I17" s="84" t="s">
        <v>24</v>
      </c>
      <c r="J17" s="82" t="s">
        <v>66</v>
      </c>
      <c r="K17" s="81">
        <v>0.1</v>
      </c>
      <c r="L17" s="83">
        <v>30.0</v>
      </c>
      <c r="M17" s="84" t="s">
        <v>26</v>
      </c>
      <c r="N17" s="81">
        <v>9.0</v>
      </c>
      <c r="O17" s="128" t="s">
        <v>54</v>
      </c>
      <c r="P17" s="81" t="s">
        <v>67</v>
      </c>
      <c r="Q17" s="86">
        <v>42856.0</v>
      </c>
      <c r="R17" s="129">
        <v>799.0</v>
      </c>
      <c r="S17" s="129">
        <v>400.0</v>
      </c>
      <c r="T17" s="88" t="str">
        <f>HYPERLINK("http://amzn.to/2vlG2Yq","link*")</f>
        <v>link*</v>
      </c>
      <c r="U17" s="88" t="str">
        <f>HYPERLINK("https://www.bhphotovideo.com/c/product/1281299-REG/tokina_firin_20mm_f_2_fe.html/BI/19619/KBID/12129/kw/TO202E/DFF/d10-v2-t1-xTO202E","link*")</f>
        <v>link*</v>
      </c>
      <c r="V17" s="88" t="str">
        <f>HYPERLINK("http://amzn.to/2vvtDkM","link*")</f>
        <v>link*</v>
      </c>
      <c r="W17" s="88" t="str">
        <f>HYPERLINK("http://rover.ebay.com/rover/1/711-53200-19255-0/1?icep_ff3=10&amp;pub=5575076376&amp;toolid=10001&amp;campid=5338164340&amp;customid=&amp;icep_uq=tokina+firin+20&amp;icep_sellerId=&amp;icep_ex_kw=&amp;icep_sortBy=12&amp;icep_catId=&amp;icep_minPrice=&amp;icep_maxPrice=&amp;ipn=psmain&amp;icep_vectorid=2294"&amp;"66&amp;kwid=902099&amp;mtid=824&amp;kw=lg","link*")</f>
        <v>link*</v>
      </c>
    </row>
    <row r="18">
      <c r="A18" s="275" t="b">
        <v>0</v>
      </c>
      <c r="B18" s="688" t="b">
        <v>0</v>
      </c>
      <c r="C18" s="90" t="s">
        <v>68</v>
      </c>
      <c r="D18" s="23">
        <v>464.0</v>
      </c>
      <c r="E18" s="24">
        <v>20.0</v>
      </c>
      <c r="F18" s="134">
        <v>2.0</v>
      </c>
      <c r="G18" s="135">
        <v>73.0</v>
      </c>
      <c r="H18" s="136">
        <v>82.0</v>
      </c>
      <c r="I18" s="32" t="s">
        <v>30</v>
      </c>
      <c r="J18" s="29" t="s">
        <v>66</v>
      </c>
      <c r="K18" s="30">
        <v>0.1</v>
      </c>
      <c r="L18" s="31">
        <v>30.0</v>
      </c>
      <c r="M18" s="32" t="s">
        <v>26</v>
      </c>
      <c r="N18" s="30">
        <v>9.0</v>
      </c>
      <c r="O18" s="112" t="s">
        <v>54</v>
      </c>
      <c r="P18" s="30" t="s">
        <v>67</v>
      </c>
      <c r="Q18" s="34">
        <v>43221.0</v>
      </c>
      <c r="R18" s="35">
        <v>949.0</v>
      </c>
      <c r="S18" s="35">
        <v>600.0</v>
      </c>
      <c r="T18" s="36" t="str">
        <f>HYPERLINK("https://amzn.to/2GDurZb","link*")</f>
        <v>link*</v>
      </c>
      <c r="U18" s="36" t="str">
        <f>HYPERLINK("https://www.bhphotovideo.com/c/product/1393327-REG/tokina_firin_20mm_f_2_fe.html/BI/19619/KBID/12129/DFF/d10-v21-t1-x880327/SID/EZ","link*")</f>
        <v>link*</v>
      </c>
      <c r="V18" s="36" t="str">
        <f>HYPERLINK("https://amzn.to/2GJYCxw","link*")</f>
        <v>link*</v>
      </c>
      <c r="W18" s="36" t="str">
        <f>HYPERLINK("http://rover.ebay.com/rover/1/711-53200-19255-0/1?icep_ff3=9&amp;pub=5575076376&amp;toolid=10001&amp;campid=5338573609&amp;customid=&amp;icep_uq=tokina+firin+20mm+af&amp;icep_sellerId=&amp;icep_ex_kw=&amp;icep_sortBy=12&amp;icep_catId=3323&amp;icep_minPrice=&amp;icep_maxPrice=&amp;ipn=psmain&amp;icep_vecto"&amp;"rid=229466&amp;kwid=902099&amp;mtid=824&amp;kw=lg","link*")</f>
        <v>link*</v>
      </c>
      <c r="X18" s="94"/>
    </row>
    <row r="19">
      <c r="A19" s="342" t="b">
        <v>0</v>
      </c>
      <c r="B19" s="687" t="b">
        <v>0</v>
      </c>
      <c r="C19" s="109" t="str">
        <f>HYPERLINK("https://phillipreeve.net/blog/review_voigtlander_21mm_f14_e/","Voigtlander 21mm F1.4 Nokton")</f>
        <v>Voigtlander 21mm F1.4 Nokton</v>
      </c>
      <c r="D19" s="39">
        <v>540.0</v>
      </c>
      <c r="E19" s="40">
        <v>21.0</v>
      </c>
      <c r="F19" s="143">
        <v>1.4</v>
      </c>
      <c r="G19" s="144">
        <v>70.0</v>
      </c>
      <c r="H19" s="145">
        <v>80.0</v>
      </c>
      <c r="I19" s="44" t="s">
        <v>24</v>
      </c>
      <c r="J19" s="45" t="s">
        <v>66</v>
      </c>
      <c r="K19" s="46"/>
      <c r="L19" s="47">
        <v>25.0</v>
      </c>
      <c r="M19" s="44" t="s">
        <v>26</v>
      </c>
      <c r="N19" s="46">
        <v>12.0</v>
      </c>
      <c r="O19" s="111" t="s">
        <v>54</v>
      </c>
      <c r="P19" s="46" t="s">
        <v>28</v>
      </c>
      <c r="Q19" s="49">
        <v>43617.0</v>
      </c>
      <c r="R19" s="50">
        <v>1199.0</v>
      </c>
      <c r="S19" s="50" t="s">
        <v>36</v>
      </c>
      <c r="T19" s="51" t="str">
        <f>HYPERLINK("https://amzn.to/2K7gHrC","link*")</f>
        <v>link*</v>
      </c>
      <c r="U19" s="51" t="str">
        <f>HYPERLINK("https://www.bhphotovideo.com/c/product/1480269-REG/voigtlander_ba352a_nokton_21mm_f_1_4_aspherical.html/BI/19619/KBID/12129/DFF/d10-v21-t1-x963269/SID/EZ","link*")</f>
        <v>link*</v>
      </c>
      <c r="V19" s="146"/>
      <c r="W19" s="51" t="str">
        <f>HYPERLINK("http://rover.ebay.com/rover/1/711-53200-19255-0/1?icep_ff3=9&amp;pub=5575076376&amp;toolid=10001&amp;campid=5338573609&amp;customid=&amp;icep_uq=Voigtlander+Sony+21mm+1.4&amp;icep_sellerId=&amp;icep_ex_kw=&amp;icep_sortBy=12&amp;icep_catId=3323&amp;icep_minPrice=&amp;icep_maxPrice=&amp;ipn=psmain&amp;icep_"&amp;"vectorid=229466&amp;kwid=902099&amp;mtid=824&amp;kw=lg","link*")</f>
        <v>link*</v>
      </c>
    </row>
    <row r="20">
      <c r="A20" s="275" t="b">
        <v>0</v>
      </c>
      <c r="B20" s="688" t="b">
        <v>0</v>
      </c>
      <c r="C20" s="131" t="str">
        <f>HYPERLINK("https://phillipreeve.net/blog/rolling-review-zeiss-loxia-distagon-2-821mm-t/https://phillipreeve.net/blog/rolling-review-zeiss-loxia-distagon-2-821mm-t/","Zeiss Loxia 2.8/21 Distagon T*")</f>
        <v>Zeiss Loxia 2.8/21 Distagon T*</v>
      </c>
      <c r="D20" s="76">
        <v>394.0</v>
      </c>
      <c r="E20" s="77">
        <v>21.0</v>
      </c>
      <c r="F20" s="78">
        <v>2.8</v>
      </c>
      <c r="G20" s="144">
        <v>62.0</v>
      </c>
      <c r="H20" s="145">
        <v>72.0</v>
      </c>
      <c r="I20" s="84" t="s">
        <v>24</v>
      </c>
      <c r="J20" s="82" t="s">
        <v>71</v>
      </c>
      <c r="K20" s="81">
        <v>0.13</v>
      </c>
      <c r="L20" s="83">
        <v>25.0</v>
      </c>
      <c r="M20" s="84" t="s">
        <v>26</v>
      </c>
      <c r="N20" s="81">
        <v>10.0</v>
      </c>
      <c r="O20" s="128" t="s">
        <v>72</v>
      </c>
      <c r="P20" s="81" t="s">
        <v>58</v>
      </c>
      <c r="Q20" s="86">
        <v>42339.0</v>
      </c>
      <c r="R20" s="87">
        <v>1499.0</v>
      </c>
      <c r="S20" s="87">
        <v>830.0</v>
      </c>
      <c r="T20" s="88" t="str">
        <f>HYPERLINK("https://amzn.to/2yspzBm","link*")</f>
        <v>link*</v>
      </c>
      <c r="U20" s="88" t="str">
        <f>HYPERLINK("https://www.bhphotovideo.com/c/product/1189220-REG/zeiss_2131_999_loxia_21mm_f_2_8_lens.html/BI/19619/KBID/12129/DFF/d10-v21-t1-x677077/SID/EZ","link*")</f>
        <v>link*</v>
      </c>
      <c r="V20" s="88" t="str">
        <f>HYPERLINK("https://amzn.to/2GHSOoA","link*")</f>
        <v>link*</v>
      </c>
      <c r="W20" s="88" t="str">
        <f>HYPERLINK("http://rover.ebay.com/rover/1/711-53200-19255-0/1?icep_ff3=9&amp;pub=5575076376&amp;toolid=10001&amp;campid=5338573609&amp;customid=&amp;icep_uq=Loxia+21mm&amp;icep_sellerId=&amp;icep_ex_kw=&amp;icep_sortBy=12&amp;icep_catId=3323&amp;icep_minPrice=&amp;icep_maxPrice=&amp;ipn=psmain&amp;icep_vectorid=229466"&amp;"&amp;kwid=902099&amp;mtid=824&amp;kw=lg","link*")</f>
        <v>link*</v>
      </c>
    </row>
    <row r="21">
      <c r="A21" s="342" t="b">
        <v>0</v>
      </c>
      <c r="B21" s="687" t="b">
        <v>0</v>
      </c>
      <c r="C21" s="22" t="str">
        <f>HYPERLINK("https://phillipreeve.net/blog/voigtlander-21mm-f35-review/","Voigtlander 21mm F3.5 Color-Skopar")</f>
        <v>Voigtlander 21mm F3.5 Color-Skopar</v>
      </c>
      <c r="D21" s="23">
        <v>230.0</v>
      </c>
      <c r="E21" s="24">
        <v>21.0</v>
      </c>
      <c r="F21" s="25">
        <v>3.5</v>
      </c>
      <c r="G21" s="147">
        <v>63.0</v>
      </c>
      <c r="H21" s="136">
        <v>40.0</v>
      </c>
      <c r="I21" s="32" t="s">
        <v>24</v>
      </c>
      <c r="J21" s="29" t="s">
        <v>71</v>
      </c>
      <c r="K21" s="148"/>
      <c r="L21" s="31">
        <v>20.0</v>
      </c>
      <c r="M21" s="32" t="s">
        <v>26</v>
      </c>
      <c r="N21" s="30">
        <v>10.0</v>
      </c>
      <c r="O21" s="112" t="s">
        <v>60</v>
      </c>
      <c r="P21" s="30" t="s">
        <v>28</v>
      </c>
      <c r="Q21" s="34">
        <v>43374.0</v>
      </c>
      <c r="R21" s="35">
        <v>699.0</v>
      </c>
      <c r="S21" s="35">
        <v>525.0</v>
      </c>
      <c r="T21" s="36" t="str">
        <f>HYPERLINK("https://amzn.to/2JCie75","link*")</f>
        <v>link*</v>
      </c>
      <c r="U21" s="36" t="str">
        <f>HYPERLINK("https://www.bhphotovideo.com/c/product/1437613-REG/voigtlander_color_skopar_21mm_f_3_5_aspherical.html/BI/19619/KBID/12129/kw/VO2135E/DFF/d10-v2-t1-xVO2135E","link*")</f>
        <v>link*</v>
      </c>
      <c r="V21" s="36" t="str">
        <f>HYPERLINK("https://amzn.to/2ZoERan","link*")</f>
        <v>link*</v>
      </c>
      <c r="W21" s="36" t="str">
        <f>HYPERLINK("http://rover.ebay.com/rover/1/707-53477-19255-0/1?icep_ff3=9&amp;pub=5575076376&amp;toolid=10001&amp;campid=5338423810&amp;customid=&amp;icep_uq=voigtlander+21mm+3.5&amp;icep_sellerId=&amp;icep_ex_kw=&amp;icep_sortBy=12&amp;icep_catId=3323&amp;icep_minPrice=&amp;icep_maxPrice=&amp;ipn=psmain&amp;icep_vecto"&amp;"rid=229487&amp;kwid=902099&amp;mtid=824&amp;kw=lg","link*")</f>
        <v>link*</v>
      </c>
      <c r="X21" s="94"/>
    </row>
    <row r="22">
      <c r="A22" s="342" t="b">
        <v>0</v>
      </c>
      <c r="B22" s="687" t="b">
        <v>0</v>
      </c>
      <c r="C22" s="109" t="str">
        <f>HYPERLINK("https://phillipreeve.net/blog/review-sony-fe-24mm-1-4-gm/","Sony GM 1.4/24")</f>
        <v>Sony GM 1.4/24</v>
      </c>
      <c r="D22" s="39">
        <v>445.0</v>
      </c>
      <c r="E22" s="40">
        <v>24.0</v>
      </c>
      <c r="F22" s="143">
        <v>1.4</v>
      </c>
      <c r="G22" s="144">
        <v>75.0</v>
      </c>
      <c r="H22" s="145">
        <v>92.0</v>
      </c>
      <c r="I22" s="44" t="s">
        <v>30</v>
      </c>
      <c r="J22" s="45" t="s">
        <v>53</v>
      </c>
      <c r="K22" s="46">
        <v>0.17</v>
      </c>
      <c r="L22" s="47">
        <v>25.0</v>
      </c>
      <c r="M22" s="44" t="s">
        <v>26</v>
      </c>
      <c r="N22" s="46">
        <v>11.0</v>
      </c>
      <c r="O22" s="111" t="s">
        <v>27</v>
      </c>
      <c r="P22" s="46" t="s">
        <v>32</v>
      </c>
      <c r="Q22" s="49">
        <v>43374.0</v>
      </c>
      <c r="R22" s="50">
        <v>1399.0</v>
      </c>
      <c r="S22" s="50">
        <v>1500.0</v>
      </c>
      <c r="T22" s="51" t="str">
        <f>HYPERLINK("https://amzn.to/2ywcbw1","link*")</f>
        <v>link*</v>
      </c>
      <c r="U22" s="51" t="str">
        <f>HYPERLINK("https://www.bhphotovideo.com/c/product/1435887-REG/sony_fe_24mm_f_1_4_gm.html/BI/19619/KBID/12129/DFF/d10-v21-t1-x915647/SID/EZ","link*")</f>
        <v>link*</v>
      </c>
      <c r="V22" s="51" t="str">
        <f>HYPERLINK("https://amzn.to/2L2tV9y","link*")</f>
        <v>link*</v>
      </c>
      <c r="W22" s="51" t="str">
        <f>HYPERLINK("http://rover.ebay.com/rover/1/711-53200-19255-0/1?icep_ff3=9&amp;pub=5575076376&amp;toolid=10001&amp;campid=5338573609&amp;customid=&amp;icep_uq=sony+gm+24mm&amp;icep_sellerId=&amp;icep_ex_kw=&amp;icep_sortBy=12&amp;icep_catId=3323&amp;icep_minPrice=&amp;icep_maxPrice=&amp;ipn=psmain&amp;icep_vectorid=2294"&amp;"66&amp;kwid=902099&amp;mtid=824&amp;kw=lg","link*")</f>
        <v>link*</v>
      </c>
    </row>
    <row r="23">
      <c r="A23" s="342" t="b">
        <v>0</v>
      </c>
      <c r="B23" s="687" t="b">
        <v>0</v>
      </c>
      <c r="C23" s="75" t="s">
        <v>73</v>
      </c>
      <c r="D23" s="76">
        <v>760.0</v>
      </c>
      <c r="E23" s="77">
        <v>24.0</v>
      </c>
      <c r="F23" s="149">
        <v>1.4</v>
      </c>
      <c r="G23" s="144">
        <v>85.0</v>
      </c>
      <c r="H23" s="150">
        <v>116.0</v>
      </c>
      <c r="I23" s="81" t="s">
        <v>30</v>
      </c>
      <c r="J23" s="82" t="s">
        <v>56</v>
      </c>
      <c r="K23" s="81">
        <v>0.19</v>
      </c>
      <c r="L23" s="83">
        <v>25.0</v>
      </c>
      <c r="M23" s="84" t="s">
        <v>26</v>
      </c>
      <c r="N23" s="81">
        <v>9.0</v>
      </c>
      <c r="O23" s="123">
        <v>43784.0</v>
      </c>
      <c r="P23" s="81" t="s">
        <v>41</v>
      </c>
      <c r="Q23" s="86">
        <v>43221.0</v>
      </c>
      <c r="R23" s="87">
        <v>849.0</v>
      </c>
      <c r="S23" s="87">
        <v>620.0</v>
      </c>
      <c r="T23" s="88" t="str">
        <f>HYPERLINK("https://amzn.to/2Isw2Rv","link*")</f>
        <v>link*</v>
      </c>
      <c r="U23" s="88" t="str">
        <f>HYPERLINK("https://www.bhphotovideo.com/c/product/1393491-REG/sigma_24mm_f_1_4_dg_hsm.html/BI/19619/KBID/12129/kw/SI2414SO/DFF/d10-v2-t1-xSI2414SO","link*")</f>
        <v>link*</v>
      </c>
      <c r="V23" s="88" t="str">
        <f>HYPERLINK("https://amzn.to/2K7sIP4","link*")</f>
        <v>link*</v>
      </c>
      <c r="W23" s="88" t="str">
        <f>HYPERLINK("http://rover.ebay.com/rover/1/711-53200-19255-0/1?icep_ff3=9&amp;pub=5575076376&amp;toolid=10001&amp;campid=5338573609&amp;customid=&amp;icep_uq=sigma+art+24mm+e-mount&amp;icep_sellerId=&amp;icep_ex_kw=&amp;icep_sortBy=12&amp;icep_catId=3323&amp;icep_minPrice=&amp;icep_maxPrice=&amp;ipn=psmain&amp;icep_vec"&amp;"torid=229466&amp;kwid=902099&amp;mtid=824&amp;kw=lg","link*")</f>
        <v>link*</v>
      </c>
      <c r="X23" s="68" t="s">
        <v>42</v>
      </c>
    </row>
    <row r="24">
      <c r="A24" s="342" t="b">
        <v>0</v>
      </c>
      <c r="B24" s="687" t="b">
        <v>0</v>
      </c>
      <c r="C24" s="131" t="str">
        <f>HYPERLINK("https://phillipreeve.net/blog/review-samyang-af-2-4-28-fe-at-least-its-small/","Samyang AF 24mm F/2.8")</f>
        <v>Samyang AF 24mm F/2.8</v>
      </c>
      <c r="D24" s="76">
        <v>93.0</v>
      </c>
      <c r="E24" s="77">
        <v>24.0</v>
      </c>
      <c r="F24" s="78">
        <v>2.8</v>
      </c>
      <c r="G24" s="144">
        <v>61.0</v>
      </c>
      <c r="H24" s="151">
        <v>37.0</v>
      </c>
      <c r="I24" s="84" t="s">
        <v>30</v>
      </c>
      <c r="J24" s="82" t="s">
        <v>74</v>
      </c>
      <c r="K24" s="81">
        <v>0.15</v>
      </c>
      <c r="L24" s="83">
        <v>20.0</v>
      </c>
      <c r="M24" s="84" t="s">
        <v>26</v>
      </c>
      <c r="N24" s="81">
        <v>9.0</v>
      </c>
      <c r="O24" s="128" t="s">
        <v>75</v>
      </c>
      <c r="P24" s="81" t="s">
        <v>46</v>
      </c>
      <c r="Q24" s="86">
        <v>43282.0</v>
      </c>
      <c r="R24" s="129">
        <v>279.0</v>
      </c>
      <c r="S24" s="129">
        <v>210.0</v>
      </c>
      <c r="T24" s="88" t="str">
        <f>HYPERLINK("https://amzn.to/2NEHZ7c","link*")</f>
        <v>link*</v>
      </c>
      <c r="U24" s="88" t="str">
        <f>HYPERLINK("https://www.bhphotovideo.com/c/product/1413350-REG/samyang_syio24af_e_af_24mm_f_2_8_fe.html/BI/19619/KBID/12129/kw/SASYIO24AFE/DFF/d10-v2-t1-xSASYIO24AFE","link*")</f>
        <v>link*</v>
      </c>
      <c r="V24" s="88" t="str">
        <f>HYPERLINK("https://amzn.to/2Onv1QE","link*")</f>
        <v>link*</v>
      </c>
      <c r="W24" s="88" t="str">
        <f>HYPERLINK("http://rover.ebay.com/rover/1/711-53200-19255-0/1?icep_ff3=9&amp;pub=5575076376&amp;toolid=10001&amp;campid=5338573609&amp;customid=&amp;icep_uq=samyang+af+24mm+2.8+sony&amp;icep_sellerId=&amp;icep_ex_kw=&amp;icep_sortBy=12&amp;icep_catId=3323&amp;icep_minPrice=&amp;icep_maxPrice=&amp;ipn=psmain&amp;icep_v"&amp;"ectorid=229466&amp;kwid=902099&amp;mtid=824&amp;kw=lg","link*")</f>
        <v>link*</v>
      </c>
    </row>
    <row r="25">
      <c r="A25" s="275" t="b">
        <v>0</v>
      </c>
      <c r="B25" s="688" t="b">
        <v>0</v>
      </c>
      <c r="C25" s="152" t="str">
        <f>HYPERLINK("https://phillipreeve.net/blog/review-sony-fe-2-824-70mm-gm/","Sony GM 2.8/24-70")</f>
        <v>Sony GM 2.8/24-70</v>
      </c>
      <c r="D25" s="76">
        <v>886.0</v>
      </c>
      <c r="E25" s="77">
        <v>24.0</v>
      </c>
      <c r="F25" s="78">
        <v>2.8</v>
      </c>
      <c r="G25" s="144">
        <v>88.0</v>
      </c>
      <c r="H25" s="151">
        <v>136.0</v>
      </c>
      <c r="I25" s="84" t="s">
        <v>30</v>
      </c>
      <c r="J25" s="82" t="s">
        <v>51</v>
      </c>
      <c r="K25" s="140">
        <v>0.25</v>
      </c>
      <c r="L25" s="83">
        <v>38.0</v>
      </c>
      <c r="M25" s="84" t="s">
        <v>26</v>
      </c>
      <c r="N25" s="81">
        <v>11.0</v>
      </c>
      <c r="O25" s="128" t="s">
        <v>44</v>
      </c>
      <c r="P25" s="81" t="s">
        <v>32</v>
      </c>
      <c r="Q25" s="86">
        <v>42401.0</v>
      </c>
      <c r="R25" s="87">
        <v>2199.0</v>
      </c>
      <c r="S25" s="87">
        <v>1500.0</v>
      </c>
      <c r="T25" s="88" t="str">
        <f>HYPERLINK("https://amzn.to/2STHavK","link*")</f>
        <v>link*</v>
      </c>
      <c r="U25" s="88" t="str">
        <f>HYPERLINK("https://www.bhphotovideo.com/c/search?Ntt=gm%2024-70&amp;N=0&amp;InitialSearch=yes&amp;sts=ma&amp;Top+Nav-Search=&amp;BI=19619&amp;KBID=12129&amp;KWID=EZ","link*")</f>
        <v>link*</v>
      </c>
      <c r="V25" s="88" t="str">
        <f>HYPERLINK("https://amzn.to/2ZwoyU7","link*")</f>
        <v>link*</v>
      </c>
      <c r="W25" s="88" t="str">
        <f>HYPERLINK("http://rover.ebay.com/rover/1/711-53200-19255-0/1?icep_ff3=9&amp;pub=5575076376&amp;toolid=10001&amp;campid=5338573609&amp;customid=&amp;icep_uq=sony+gm+24-70+2.8&amp;icep_sellerId=&amp;icep_ex_kw=&amp;icep_sortBy=12&amp;icep_catId=3323&amp;icep_minPrice=&amp;icep_maxPrice=&amp;ipn=psmain&amp;icep_vectorid"&amp;"=229466&amp;kwid=902099&amp;mtid=824&amp;kw=lg","link*")</f>
        <v>link*</v>
      </c>
    </row>
    <row r="26">
      <c r="A26" s="342" t="b">
        <v>0</v>
      </c>
      <c r="B26" s="687" t="b">
        <v>0</v>
      </c>
      <c r="C26" s="75" t="s">
        <v>79</v>
      </c>
      <c r="D26" s="76">
        <v>780.0</v>
      </c>
      <c r="E26" s="77">
        <v>24.0</v>
      </c>
      <c r="F26" s="78" t="s">
        <v>80</v>
      </c>
      <c r="G26" s="144">
        <v>80.0</v>
      </c>
      <c r="H26" s="151">
        <v>119.0</v>
      </c>
      <c r="I26" s="84" t="s">
        <v>30</v>
      </c>
      <c r="J26" s="82" t="s">
        <v>48</v>
      </c>
      <c r="K26" s="140">
        <v>0.27</v>
      </c>
      <c r="L26" s="83">
        <v>50.0</v>
      </c>
      <c r="M26" s="154" t="s">
        <v>49</v>
      </c>
      <c r="N26" s="81">
        <v>7.0</v>
      </c>
      <c r="O26" s="128" t="s">
        <v>81</v>
      </c>
      <c r="P26" s="81" t="s">
        <v>32</v>
      </c>
      <c r="Q26" s="86">
        <v>42064.0</v>
      </c>
      <c r="R26" s="87">
        <v>998.0</v>
      </c>
      <c r="S26" s="87">
        <v>600.0</v>
      </c>
      <c r="T26" s="88" t="str">
        <f>HYPERLINK("http://amzn.to/2fbX5FU","link*")</f>
        <v>link*</v>
      </c>
      <c r="U26" s="88" t="str">
        <f>HYPERLINK("https://www.bhphotovideo.com/c/search?Ntt=sony%2024-240&amp;N=0&amp;InitialSearch=yes&amp;sts=ma&amp;Top+Nav-Search=&amp;BI=19619&amp;KBID=12129&amp;KWID=EZ","link*")</f>
        <v>link*</v>
      </c>
      <c r="V26" s="88" t="str">
        <f>HYPERLINK("http://amzn.to/2wyrL7A","link*")</f>
        <v>link*</v>
      </c>
      <c r="W26" s="88" t="str">
        <f>HYPERLINK("http://rover.ebay.com/rover/1/711-53200-19255-0/1?icep_ff3=10&amp;pub=5575076376&amp;toolid=10001&amp;campid=5338164340&amp;customid=&amp;icep_uq=sony+24-240&amp;icep_sellerId=&amp;icep_ex_kw=&amp;icep_sortBy=12&amp;icep_catId=&amp;icep_minPrice=&amp;icep_maxPrice=&amp;ipn=psmain&amp;icep_vectorid=229466&amp;k"&amp;"wid=902099&amp;mtid=824&amp;kw=lg","link*")</f>
        <v>link*</v>
      </c>
    </row>
    <row r="27">
      <c r="A27" s="342" t="b">
        <v>0</v>
      </c>
      <c r="B27" s="342" t="b">
        <v>0</v>
      </c>
      <c r="C27" s="75" t="s">
        <v>82</v>
      </c>
      <c r="D27" s="76">
        <v>663.0</v>
      </c>
      <c r="E27" s="77">
        <v>24.0</v>
      </c>
      <c r="F27" s="78">
        <v>4.0</v>
      </c>
      <c r="G27" s="144">
        <v>83.0</v>
      </c>
      <c r="H27" s="145">
        <v>113.0</v>
      </c>
      <c r="I27" s="84" t="s">
        <v>30</v>
      </c>
      <c r="J27" s="82" t="s">
        <v>56</v>
      </c>
      <c r="K27" s="140">
        <v>0.31</v>
      </c>
      <c r="L27" s="83">
        <v>38.0</v>
      </c>
      <c r="M27" s="154" t="s">
        <v>49</v>
      </c>
      <c r="N27" s="81">
        <v>9.0</v>
      </c>
      <c r="O27" s="128" t="s">
        <v>35</v>
      </c>
      <c r="P27" s="81" t="s">
        <v>32</v>
      </c>
      <c r="Q27" s="86">
        <v>43009.0</v>
      </c>
      <c r="R27" s="87">
        <v>1398.0</v>
      </c>
      <c r="S27" s="68">
        <v>1050.0</v>
      </c>
      <c r="T27" s="88" t="str">
        <f>HYPERLINK("https://amzn.to/2K7LwMR","link*")</f>
        <v>link*</v>
      </c>
      <c r="U27" s="88" t="str">
        <f>HYPERLINK("https://www.bhphotovideo.com/c/search?Ntt=sony%2024-105&amp;N=0&amp;InitialSearch=yes&amp;sts=ma&amp;Top+Nav-Search=&amp;BI=19619&amp;KBID=12129&amp;KWID=EZ","link*")</f>
        <v>link*</v>
      </c>
      <c r="V27" s="88" t="str">
        <f>HYPERLINK("https://amzn.to/2Ld8hOS","link*")</f>
        <v>link*</v>
      </c>
      <c r="W27" s="88" t="str">
        <f>HYPERLINK("http://rover.ebay.com/rover/1/711-53200-19255-0/1?icep_ff3=9&amp;pub=5575076376&amp;toolid=10001&amp;campid=5338573609&amp;customid=&amp;icep_uq=sony+g+24-105&amp;icep_sellerId=&amp;icep_ex_kw=&amp;icep_sortBy=12&amp;icep_catId=3323&amp;icep_minPrice=&amp;icep_maxPrice=&amp;ipn=psmain&amp;icep_vectorid=229"&amp;"466&amp;kwid=902099&amp;mtid=824&amp;kw=lg","link*")</f>
        <v>link*</v>
      </c>
    </row>
    <row r="28">
      <c r="A28" s="275" t="b">
        <v>0</v>
      </c>
      <c r="B28" s="688" t="b">
        <v>0</v>
      </c>
      <c r="C28" s="22" t="str">
        <f>HYPERLINK("https://phillipreeve.net/blog/rolling-review-carl-zeiss-vario-tessar-t-fe-424-70-za/","Sony ZA 4/24-70 OSS")</f>
        <v>Sony ZA 4/24-70 OSS</v>
      </c>
      <c r="D28" s="23">
        <v>426.0</v>
      </c>
      <c r="E28" s="24">
        <v>24.0</v>
      </c>
      <c r="F28" s="25">
        <v>4.0</v>
      </c>
      <c r="G28" s="147">
        <v>73.0</v>
      </c>
      <c r="H28" s="155">
        <v>95.0</v>
      </c>
      <c r="I28" s="32" t="s">
        <v>30</v>
      </c>
      <c r="J28" s="29" t="s">
        <v>53</v>
      </c>
      <c r="K28" s="30">
        <v>0.2</v>
      </c>
      <c r="L28" s="31">
        <v>40.0</v>
      </c>
      <c r="M28" s="156" t="s">
        <v>49</v>
      </c>
      <c r="N28" s="30">
        <v>7.0</v>
      </c>
      <c r="O28" s="112" t="s">
        <v>38</v>
      </c>
      <c r="P28" s="30" t="s">
        <v>32</v>
      </c>
      <c r="Q28" s="34">
        <v>41640.0</v>
      </c>
      <c r="R28" s="35">
        <v>898.0</v>
      </c>
      <c r="S28" s="35">
        <v>420.0</v>
      </c>
      <c r="T28" s="36" t="str">
        <f>HYPERLINK("http://amzn.to/2vlG2Yq","link*")</f>
        <v>link*</v>
      </c>
      <c r="U28" s="36" t="str">
        <f>HYPERLINK("https://www.bhphotovideo.com/c/product/1008126-REG/sony_sel2470z_vario_tessar_t_fe_24_70mm.html/BI/19619/KBID/12129/DFF/d10-v21-t1-x466842/SID/EZ","link*")</f>
        <v>link*</v>
      </c>
      <c r="V28" s="36" t="str">
        <f>HYPERLINK("http://amzn.to/2fl1XZk","link*")</f>
        <v>link*</v>
      </c>
      <c r="W28" s="36" t="str">
        <f>HYPERLINK("http://rover.ebay.com/rover/1/711-53200-19255-0/1?icep_ff3=10&amp;pub=5575076376&amp;toolid=10001&amp;campid=5338164340&amp;customid=&amp;icep_uq=sony+24-70+za&amp;icep_sellerId=&amp;icep_ex_kw=&amp;icep_sortBy=12&amp;icep_catId=&amp;icep_minPrice=&amp;icep_maxPrice=&amp;ipn=psmain&amp;icep_vectorid=229466"&amp;"&amp;kwid=902099&amp;mtid=824&amp;kw=lg","link*")</f>
        <v>link*</v>
      </c>
      <c r="X28" s="94"/>
    </row>
    <row r="29">
      <c r="A29" s="275" t="b">
        <v>0</v>
      </c>
      <c r="B29" s="688" t="b">
        <v>0</v>
      </c>
      <c r="C29" s="109" t="str">
        <f>HYPERLINK("https://phillipreeve.net/blog/review-zeiss-batis-distagon-t-25mm-f2/","Zeiss Batis 2/25")</f>
        <v>Zeiss Batis 2/25</v>
      </c>
      <c r="D29" s="39">
        <v>335.0</v>
      </c>
      <c r="E29" s="40">
        <v>25.0</v>
      </c>
      <c r="F29" s="41">
        <v>2.0</v>
      </c>
      <c r="G29" s="144">
        <v>92.0</v>
      </c>
      <c r="H29" s="145">
        <v>78.0</v>
      </c>
      <c r="I29" s="44" t="s">
        <v>30</v>
      </c>
      <c r="J29" s="45" t="s">
        <v>53</v>
      </c>
      <c r="K29" s="46">
        <v>0.19</v>
      </c>
      <c r="L29" s="47">
        <v>20.0</v>
      </c>
      <c r="M29" s="44" t="s">
        <v>26</v>
      </c>
      <c r="N29" s="46">
        <v>9.0</v>
      </c>
      <c r="O29" s="111" t="s">
        <v>83</v>
      </c>
      <c r="P29" s="46" t="s">
        <v>58</v>
      </c>
      <c r="Q29" s="49">
        <v>42125.0</v>
      </c>
      <c r="R29" s="50">
        <v>1299.0</v>
      </c>
      <c r="S29" s="50">
        <v>675.0</v>
      </c>
      <c r="T29" s="51" t="str">
        <f>HYPERLINK("https://amzn.to/2ypHQiT","link*")</f>
        <v>link*</v>
      </c>
      <c r="U29" s="51" t="str">
        <f>HYPERLINK("https://www.bhphotovideo.com/c/product/1140832-REG/zeiss_2103_750_25mm_f_2_0_batis_wide.html/BI/19619/KBID/12129/DFF/d10-v21-t1-x627141/SID/EZ","link*")</f>
        <v>link*</v>
      </c>
      <c r="V29" s="51" t="str">
        <f>HYPERLINK("https://amzn.to/2L20DIj","link*")</f>
        <v>link*</v>
      </c>
      <c r="W29" s="51" t="str">
        <f>HYPERLINK("http://rover.ebay.com/rover/1/711-53200-19255-0/1?icep_ff3=9&amp;pub=5575076376&amp;toolid=10001&amp;campid=5338573609&amp;customid=&amp;icep_uq=Zeiss+batis+25mm&amp;icep_sellerId=&amp;icep_ex_kw=&amp;icep_sortBy=12&amp;icep_catId=3323&amp;icep_minPrice=&amp;icep_maxPrice=&amp;ipn=psmain&amp;icep_vectorid="&amp;"229466&amp;kwid=902099&amp;mtid=824&amp;kw=lg","link*")</f>
        <v>link*</v>
      </c>
    </row>
    <row r="30">
      <c r="A30" s="342" t="b">
        <v>0</v>
      </c>
      <c r="B30" s="687" t="b">
        <v>0</v>
      </c>
      <c r="C30" s="22" t="str">
        <f>HYPERLINK("https://phillipreeve.net/blog/review-zeiss-loxia-2-4-25mm-distagon/","Zeiss Loxia 2.4/25")</f>
        <v>Zeiss Loxia 2.4/25</v>
      </c>
      <c r="D30" s="23">
        <v>393.0</v>
      </c>
      <c r="E30" s="24">
        <v>25.0</v>
      </c>
      <c r="F30" s="25">
        <v>2.4</v>
      </c>
      <c r="G30" s="147">
        <v>62.0</v>
      </c>
      <c r="H30" s="155">
        <v>75.0</v>
      </c>
      <c r="I30" s="32" t="s">
        <v>24</v>
      </c>
      <c r="J30" s="29" t="s">
        <v>71</v>
      </c>
      <c r="K30" s="30">
        <v>0.16</v>
      </c>
      <c r="L30" s="31">
        <v>25.0</v>
      </c>
      <c r="M30" s="32" t="s">
        <v>26</v>
      </c>
      <c r="N30" s="30">
        <v>10.0</v>
      </c>
      <c r="O30" s="112" t="s">
        <v>83</v>
      </c>
      <c r="P30" s="30" t="s">
        <v>58</v>
      </c>
      <c r="Q30" s="34">
        <v>43160.0</v>
      </c>
      <c r="R30" s="35">
        <v>1299.0</v>
      </c>
      <c r="S30" s="35" t="s">
        <v>36</v>
      </c>
      <c r="T30" s="36" t="str">
        <f>HYPERLINK("https://amzn.to/2OlyeAf","link*")</f>
        <v>link*</v>
      </c>
      <c r="U30" s="36" t="str">
        <f>HYPERLINK("https://www.bhphotovideo.com/c/product/1389169-REG/zeiss_000000_2218_783_loxia_25mm_f_2_4_lens.html/BI/19619/KBID/12129/kw/ZE2524L/DFF/d10-v2-t1-xZE2524L","link*")</f>
        <v>link*</v>
      </c>
      <c r="V30" s="36" t="str">
        <f>HYPERLINK("https://amzn.to/2OlyeAf","link*")</f>
        <v>link*</v>
      </c>
      <c r="W30" s="36" t="str">
        <f>HYPERLINK("http://rover.ebay.com/rover/1/711-53200-19255-0/1?icep_ff3=9&amp;pub=5575076376&amp;toolid=10001&amp;campid=5338573609&amp;customid=&amp;icep_uq=Zeiss+loxia+25mm&amp;icep_sellerId=&amp;icep_ex_kw=&amp;icep_sortBy=12&amp;icep_catId=3323&amp;icep_minPrice=&amp;icep_maxPrice=&amp;ipn=psmain&amp;icep_vectorid="&amp;"229466&amp;kwid=902099&amp;mtid=824&amp;kw=lg","link*")</f>
        <v>link*</v>
      </c>
      <c r="X30" s="94"/>
    </row>
    <row r="31">
      <c r="A31" s="342" t="b">
        <v>0</v>
      </c>
      <c r="B31" s="687" t="b">
        <v>0</v>
      </c>
      <c r="C31" s="38" t="s">
        <v>84</v>
      </c>
      <c r="D31" s="39">
        <v>965.0</v>
      </c>
      <c r="E31" s="40">
        <v>28.0</v>
      </c>
      <c r="F31" s="41">
        <v>1.4</v>
      </c>
      <c r="G31" s="144">
        <v>83.0</v>
      </c>
      <c r="H31" s="145">
        <v>134.0</v>
      </c>
      <c r="I31" s="44" t="s">
        <v>30</v>
      </c>
      <c r="J31" s="45" t="s">
        <v>56</v>
      </c>
      <c r="K31" s="46">
        <v>0.19</v>
      </c>
      <c r="L31" s="47">
        <v>28.0</v>
      </c>
      <c r="M31" s="44" t="s">
        <v>26</v>
      </c>
      <c r="N31" s="46">
        <v>9.0</v>
      </c>
      <c r="O31" s="111" t="s">
        <v>81</v>
      </c>
      <c r="P31" s="46" t="s">
        <v>41</v>
      </c>
      <c r="Q31" s="49">
        <v>43435.0</v>
      </c>
      <c r="R31" s="50">
        <v>1399.0</v>
      </c>
      <c r="S31" s="50" t="s">
        <v>36</v>
      </c>
      <c r="T31" s="51" t="str">
        <f>HYPERLINK("https://amzn.to/2Wn0pxO","link*")</f>
        <v>link*</v>
      </c>
      <c r="U31" s="51" t="str">
        <f>HYPERLINK("https://www.bhphotovideo.com/c/product/1436285-REG/sigma_28mm_f_1_4_dg_hsm.html/BI/19619/KBID/12129/kw/SI2814DGSE/DFF/d10-v2-t1-xSI2814DGSE","link*")</f>
        <v>link*</v>
      </c>
      <c r="V31" s="51" t="str">
        <f>HYPERLINK("https://amzn.to/2WzVkHd","link*")</f>
        <v>link*</v>
      </c>
      <c r="W31" s="51" t="str">
        <f>HYPERLINK("http://rover.ebay.com/rover/1/711-53200-19255-0/1?icep_ff3=9&amp;pub=5575076376&amp;toolid=10001&amp;campid=5338573609&amp;customid=&amp;icep_uq=sigma+art+28mm+e-mount&amp;icep_sellerId=&amp;icep_ex_kw=&amp;icep_sortBy=12&amp;icep_catId=3323&amp;icep_minPrice=&amp;icep_maxPrice=&amp;ipn=psmain&amp;icep_vec"&amp;"torid=229466&amp;kwid=902099&amp;mtid=824&amp;kw=lg","link*")</f>
        <v>link*</v>
      </c>
    </row>
    <row r="32">
      <c r="A32" s="342" t="b">
        <v>0</v>
      </c>
      <c r="B32" s="687" t="b">
        <v>0</v>
      </c>
      <c r="C32" s="131" t="str">
        <f>HYPERLINK("https://www.systemkamera-forum.de/blog/2015/05/sony-fe-28mm-f2-test-und-erfahrungsbericht/","Sony FE 2/28")</f>
        <v>Sony FE 2/28</v>
      </c>
      <c r="D32" s="76">
        <v>200.0</v>
      </c>
      <c r="E32" s="77">
        <v>28.0</v>
      </c>
      <c r="F32" s="78">
        <v>2.0</v>
      </c>
      <c r="G32" s="144">
        <v>60.0</v>
      </c>
      <c r="H32" s="145">
        <v>60.0</v>
      </c>
      <c r="I32" s="84" t="s">
        <v>30</v>
      </c>
      <c r="J32" s="82" t="s">
        <v>74</v>
      </c>
      <c r="K32" s="81">
        <v>0.13</v>
      </c>
      <c r="L32" s="83">
        <v>29.0</v>
      </c>
      <c r="M32" s="84" t="s">
        <v>26</v>
      </c>
      <c r="N32" s="81">
        <v>9.0</v>
      </c>
      <c r="O32" s="128" t="s">
        <v>60</v>
      </c>
      <c r="P32" s="81" t="s">
        <v>32</v>
      </c>
      <c r="Q32" s="86">
        <v>42064.0</v>
      </c>
      <c r="R32" s="153">
        <v>448.0</v>
      </c>
      <c r="S32" s="153">
        <v>280.0</v>
      </c>
      <c r="T32" s="88" t="str">
        <f>HYPERLINK("https://amzn.to/2GXJWdo","link*")</f>
        <v>link*</v>
      </c>
      <c r="U32" s="88" t="str">
        <f>HYPERLINK("https://www.bhphotovideo.com/c/product/1402637-REG/sony_fe_28mm_f_2_lens.html/BI/19619/KBID/12129/kw/SO2820F/DFF/d10-v2-t1-xSO2820F","link*")</f>
        <v>link*</v>
      </c>
      <c r="V32" s="88" t="str">
        <f>HYPERLINK("http://amzn.to/2wyLOCO","link*")</f>
        <v>link*</v>
      </c>
      <c r="W32" s="88" t="str">
        <f>HYPERLINK("http://rover.ebay.com/rover/1/711-53200-19255-0/1?icep_ff3=10&amp;pub=5575076376&amp;toolid=10001&amp;campid=5338164340&amp;customid=&amp;icep_uq=sony+28+f2&amp;icep_sellerId=&amp;icep_ex_kw=&amp;icep_sortBy=12&amp;icep_catId=&amp;icep_minPrice=&amp;icep_maxPrice=&amp;ipn=psmain&amp;icep_vectorid=229466&amp;kw"&amp;"id=902099&amp;mtid=824&amp;kw=lg","link*")</f>
        <v>link*</v>
      </c>
    </row>
    <row r="33">
      <c r="A33" s="275" t="b">
        <v>0</v>
      </c>
      <c r="B33" s="688" t="b">
        <v>0</v>
      </c>
      <c r="C33" s="131" t="str">
        <f>HYPERLINK("https://phillipreeve.net/blog/review-tamron-28-75mm-f-2-8-di-iii-rxd-sony-e-mount/","Tamron 2.8/28-75")</f>
        <v>Tamron 2.8/28-75</v>
      </c>
      <c r="D33" s="76">
        <v>550.0</v>
      </c>
      <c r="E33" s="77">
        <v>28.0</v>
      </c>
      <c r="F33" s="78">
        <v>2.8</v>
      </c>
      <c r="G33" s="144">
        <v>73.0</v>
      </c>
      <c r="H33" s="145">
        <v>118.0</v>
      </c>
      <c r="I33" s="84" t="s">
        <v>30</v>
      </c>
      <c r="J33" s="82" t="s">
        <v>53</v>
      </c>
      <c r="K33" s="140">
        <v>0.34</v>
      </c>
      <c r="L33" s="83">
        <v>19.0</v>
      </c>
      <c r="M33" s="84" t="s">
        <v>26</v>
      </c>
      <c r="N33" s="81">
        <v>9.0</v>
      </c>
      <c r="O33" s="128" t="s">
        <v>85</v>
      </c>
      <c r="P33" s="81" t="s">
        <v>55</v>
      </c>
      <c r="Q33" s="86">
        <v>43252.0</v>
      </c>
      <c r="R33" s="153">
        <v>879.0</v>
      </c>
      <c r="S33" s="87">
        <v>790.0</v>
      </c>
      <c r="T33" s="88" t="str">
        <f>HYPERLINK("https://amzn.to/2ST5uxq","link*")</f>
        <v>link*</v>
      </c>
      <c r="U33" s="88" t="str">
        <f>HYPERLINK("https://www.bhphotovideo.com/c/product/1393332-REG/tamron_a036_28_75mm_f_2_8_di_iii.html/BI/19619/KBID/12129/DFF/d10-v21-t1-x892059/SID/EZ","link*")</f>
        <v>link*</v>
      </c>
      <c r="V33" s="88" t="str">
        <f>HYPERLINK("https://amzn.to/2ZmSzdU","link*")</f>
        <v>link*</v>
      </c>
      <c r="W33" s="88" t="str">
        <f>HYPERLINK("http://rover.ebay.com/rover/1/711-53200-19255-0/1?icep_ff3=9&amp;pub=5575076376&amp;toolid=10001&amp;campid=5338573609&amp;customid=&amp;icep_uq=tamron+28-75+sony&amp;icep_sellerId=&amp;icep_ex_kw=&amp;icep_sortBy=12&amp;icep_catId=3323&amp;icep_minPrice=&amp;icep_maxPrice=&amp;ipn=psmain&amp;icep_vectorid"&amp;"=229466&amp;kwid=902099&amp;mtid=824&amp;kw=lg","link*")</f>
        <v>link*</v>
      </c>
    </row>
    <row r="34">
      <c r="A34" s="342" t="b">
        <v>0</v>
      </c>
      <c r="B34" s="687" t="b">
        <v>0</v>
      </c>
      <c r="C34" s="75" t="s">
        <v>88</v>
      </c>
      <c r="D34" s="76">
        <v>295.0</v>
      </c>
      <c r="E34" s="77">
        <v>28.0</v>
      </c>
      <c r="F34" s="78" t="s">
        <v>89</v>
      </c>
      <c r="G34" s="144">
        <v>73.0</v>
      </c>
      <c r="H34" s="145">
        <v>83.0</v>
      </c>
      <c r="I34" s="84" t="s">
        <v>30</v>
      </c>
      <c r="J34" s="82" t="s">
        <v>90</v>
      </c>
      <c r="K34" s="81">
        <v>0.19</v>
      </c>
      <c r="L34" s="83">
        <v>30.0</v>
      </c>
      <c r="M34" s="154" t="s">
        <v>49</v>
      </c>
      <c r="N34" s="81">
        <v>7.0</v>
      </c>
      <c r="O34" s="128" t="s">
        <v>60</v>
      </c>
      <c r="P34" s="81" t="s">
        <v>32</v>
      </c>
      <c r="Q34" s="86">
        <v>41548.0</v>
      </c>
      <c r="R34" s="87">
        <v>398.0</v>
      </c>
      <c r="S34" s="87">
        <v>110.0</v>
      </c>
      <c r="T34" s="88" t="str">
        <f>HYPERLINK("https://www.amazon.com/gp/product/B00FYOFADE/ref=as_li_tl?ie=UTF8&amp;tag=wwwphillipree-20&amp;camp=1789&amp;creative=9325&amp;linkCode=as2&amp;creativeASIN=B00FYOFADE&amp;linkId=96720b245156eae53bb1a672d4453d3f","link*")</f>
        <v>link*</v>
      </c>
      <c r="U34" s="88" t="str">
        <f>HYPERLINK("https://www.bhphotovideo.com/c/product/1015472-REG/sony_sel2870_fe_28_70mm_f_3_5_5_6_oss.html/BI/19619/KBID/12129/DFF/d10-v21-t1-x473993/SID/EZ","link*")</f>
        <v>link*</v>
      </c>
      <c r="V34" s="88" t="str">
        <f>HYPERLINK("https://www.amazon.de/gp/product/B00HSHFPD0/ref=as_li_tl?ie=UTF8&amp;tag=wwwphillipree-21&amp;camp=1638&amp;creative=6742&amp;linkCode=as2&amp;creativeASIN=B00HSHFPD0&amp;linkId=6701f30673f8a4071232ca85e1953506","link*")</f>
        <v>link*</v>
      </c>
      <c r="W34" s="88" t="str">
        <f>HYPERLINK("http://rover.ebay.com/rover/1/711-53200-19255-0/1?icep_ff3=10&amp;pub=5575153444&amp;toolid=10001&amp;campid=5338162593&amp;customid=&amp;icep_uq=Sony+28-70+FE&amp;icep_sellerId=&amp;icep_ex_kw=&amp;icep_sortBy=12&amp;icep_catId=&amp;icep_minPrice=&amp;icep_maxPrice=&amp;ipn=psmain&amp;icep_vectorid=229466"&amp;"&amp;kwid=902099&amp;mtid=824&amp;kw=lg","link*")</f>
        <v>link*</v>
      </c>
    </row>
    <row r="35">
      <c r="A35" s="342" t="b">
        <v>0</v>
      </c>
      <c r="B35" s="687" t="b">
        <v>0</v>
      </c>
      <c r="C35" s="90" t="s">
        <v>91</v>
      </c>
      <c r="D35" s="23">
        <v>1215.0</v>
      </c>
      <c r="E35" s="24">
        <v>28.0</v>
      </c>
      <c r="F35" s="25">
        <v>4.0</v>
      </c>
      <c r="G35" s="147">
        <v>105.0</v>
      </c>
      <c r="H35" s="155">
        <v>165.0</v>
      </c>
      <c r="I35" s="32" t="s">
        <v>30</v>
      </c>
      <c r="J35" s="174" t="s">
        <v>92</v>
      </c>
      <c r="K35" s="148"/>
      <c r="L35" s="31">
        <v>40.0</v>
      </c>
      <c r="M35" s="156" t="s">
        <v>49</v>
      </c>
      <c r="N35" s="30">
        <v>9.0</v>
      </c>
      <c r="O35" s="112" t="s">
        <v>93</v>
      </c>
      <c r="P35" s="30" t="s">
        <v>32</v>
      </c>
      <c r="Q35" s="34">
        <v>41883.0</v>
      </c>
      <c r="R35" s="35">
        <v>2498.0</v>
      </c>
      <c r="S35" s="35">
        <v>1400.0</v>
      </c>
      <c r="T35" s="36" t="str">
        <f>HYPERLINK("http://amzn.to/2v2kiy9","link*")</f>
        <v>link*</v>
      </c>
      <c r="U35" s="36" t="str">
        <f>HYPERLINK("https://www.bhphotovideo.com/c/product/1082051-REG/sony_selp28135g_e_pz_28_135mm_f_4.html/BI/19619/KBID/12129/DFF/d10-v21-t1-x556056/SID/EZ","link*")</f>
        <v>link*</v>
      </c>
      <c r="V35" s="36" t="str">
        <f>HYPERLINK("http://amzn.to/2wlpg9b","link*")</f>
        <v>link*</v>
      </c>
      <c r="W35" s="36" t="str">
        <f>HYPERLINK("http://rover.ebay.com/rover/1/711-53200-19255-0/1?icep_ff3=10&amp;pub=5575076376&amp;toolid=10001&amp;campid=5338164340&amp;customid=&amp;icep_uq=sony+28-135&amp;icep_sellerId=&amp;icep_ex_kw=&amp;icep_sortBy=12&amp;icep_catId=&amp;icep_minPrice=&amp;icep_maxPrice=&amp;ipn=psmain&amp;icep_vectorid=229466&amp;k"&amp;"wid=902099&amp;mtid=824&amp;kw=lg","link*")</f>
        <v>link*</v>
      </c>
      <c r="X35" s="37" t="s">
        <v>94</v>
      </c>
    </row>
    <row r="36" customHeight="1">
      <c r="A36" s="275" t="b">
        <v>0</v>
      </c>
      <c r="B36" s="688" t="b">
        <v>0</v>
      </c>
      <c r="C36" s="109" t="str">
        <f>HYPERLINK("https://phillipreeve.net/blog/review-sigma-35mm-1-2-art-dg-dn/","Sigma Art 1.2/35")</f>
        <v>Sigma Art 1.2/35</v>
      </c>
      <c r="D36" s="39">
        <v>1090.0</v>
      </c>
      <c r="E36" s="40">
        <v>35.0</v>
      </c>
      <c r="F36" s="181">
        <v>1.2</v>
      </c>
      <c r="G36" s="144">
        <v>88.0</v>
      </c>
      <c r="H36" s="145">
        <v>136.0</v>
      </c>
      <c r="I36" s="46" t="s">
        <v>30</v>
      </c>
      <c r="J36" s="182" t="s">
        <v>51</v>
      </c>
      <c r="K36" s="46">
        <v>0.19</v>
      </c>
      <c r="L36" s="47">
        <v>30.0</v>
      </c>
      <c r="M36" s="44" t="s">
        <v>26</v>
      </c>
      <c r="N36" s="46">
        <v>11.0</v>
      </c>
      <c r="O36" s="74">
        <v>43816.0</v>
      </c>
      <c r="P36" s="46" t="s">
        <v>41</v>
      </c>
      <c r="Q36" s="49">
        <v>43647.0</v>
      </c>
      <c r="R36" s="50">
        <v>1499.0</v>
      </c>
      <c r="S36" s="50" t="s">
        <v>36</v>
      </c>
      <c r="T36" s="51" t="str">
        <f>HYPERLINK("https://amzn.to/2LiHhxc","link*")</f>
        <v>link*</v>
      </c>
      <c r="U36" s="51" t="str">
        <f>HYPERLINK("https://www.bhphotovideo.com/c/product/1492967-REG/sigma_341969_35mm_f_1_2_dg_dn.html/BI/19619/KBID/12129/DFF/d10-v21-t1-x976038/SID/EZ","link*")</f>
        <v>link*</v>
      </c>
      <c r="V36" s="146"/>
      <c r="W36" s="51" t="str">
        <f>HYPERLINK("http://rover.ebay.com/rover/1/711-53200-19255-0/1?icep_ff3=9&amp;pub=5575076376&amp;toolid=10001&amp;campid=5338573609&amp;customid=&amp;icep_uq=sigma+art+35+1.2+-1.4+sony&amp;icep_sellerId=&amp;icep_ex_kw=&amp;icep_sortBy=12&amp;icep_catId=3323&amp;icep_minPrice=&amp;icep_maxPrice=&amp;ipn=psmain&amp;icep"&amp;"_vectorid=229466&amp;kwid=902099&amp;mtid=824&amp;kw=lg","link*")</f>
        <v>link*</v>
      </c>
    </row>
    <row r="37">
      <c r="A37" s="689" t="b">
        <v>0</v>
      </c>
      <c r="B37" s="690" t="b">
        <v>0</v>
      </c>
      <c r="C37" s="131" t="str">
        <f>HYPERLINK("https://phillipreeve.net/blog/review-sony-fe-35mm-1-4-za/","Sony ZA 1.4/35")</f>
        <v>Sony ZA 1.4/35</v>
      </c>
      <c r="D37" s="76">
        <v>630.0</v>
      </c>
      <c r="E37" s="77">
        <v>35.0</v>
      </c>
      <c r="F37" s="78">
        <v>1.4</v>
      </c>
      <c r="G37" s="144">
        <v>79.0</v>
      </c>
      <c r="H37" s="145">
        <v>112.0</v>
      </c>
      <c r="I37" s="81" t="s">
        <v>30</v>
      </c>
      <c r="J37" s="82" t="s">
        <v>48</v>
      </c>
      <c r="K37" s="81">
        <v>0.18</v>
      </c>
      <c r="L37" s="83">
        <v>30.0</v>
      </c>
      <c r="M37" s="84" t="s">
        <v>26</v>
      </c>
      <c r="N37" s="81">
        <v>9.0</v>
      </c>
      <c r="O37" s="123">
        <v>43689.0</v>
      </c>
      <c r="P37" s="81" t="s">
        <v>32</v>
      </c>
      <c r="Q37" s="86">
        <v>42064.0</v>
      </c>
      <c r="R37" s="87">
        <v>1599.0</v>
      </c>
      <c r="S37" s="87">
        <v>900.0</v>
      </c>
      <c r="T37" s="88" t="str">
        <f>HYPERLINK("https://amzn.to/2LRSMOS","link*")</f>
        <v>link*</v>
      </c>
      <c r="U37" s="88" t="str">
        <f>HYPERLINK("https://www.bhphotovideo.com/c/product/1126137-REG/sony_sel35f14z_distagon_t_fe_35mm.html/BI/19619/KBID/12129/DFF/d10-v21-t1-x612725/SID/EZ","link*")</f>
        <v>link*</v>
      </c>
      <c r="V37" s="88" t="str">
        <f>HYPERLINK("https://amzn.to/2ZmfSnX","link*")</f>
        <v>link*</v>
      </c>
      <c r="W37" s="88" t="str">
        <f>HYPERLINK("http://rover.ebay.com/rover/1/711-53200-19255-0/1?icep_ff3=9&amp;pub=5575076376&amp;toolid=10001&amp;campid=5338573609&amp;customid=&amp;icep_uq=sony+35+1.4+fe-a-mount&amp;icep_sellerId=&amp;icep_ex_kw=&amp;icep_sortBy=12&amp;icep_catId=3323&amp;icep_minPrice=&amp;icep_maxPrice=&amp;ipn=psmain&amp;icep_vec"&amp;"torid=229466&amp;kwid=902099&amp;mtid=824&amp;kw=lg","link*")</f>
        <v>link*</v>
      </c>
    </row>
    <row r="38" customHeight="1">
      <c r="A38" s="342" t="b">
        <v>0</v>
      </c>
      <c r="B38" s="687" t="b">
        <v>0</v>
      </c>
      <c r="C38" s="75" t="s">
        <v>226</v>
      </c>
      <c r="D38" s="76">
        <v>645.0</v>
      </c>
      <c r="E38" s="77">
        <v>35.0</v>
      </c>
      <c r="F38" s="78">
        <v>1.4</v>
      </c>
      <c r="G38" s="144">
        <v>76.0</v>
      </c>
      <c r="H38" s="151">
        <v>115.0</v>
      </c>
      <c r="I38" s="81" t="s">
        <v>30</v>
      </c>
      <c r="J38" s="82" t="s">
        <v>53</v>
      </c>
      <c r="K38" s="81">
        <v>0.17</v>
      </c>
      <c r="L38" s="83">
        <v>30.0</v>
      </c>
      <c r="M38" s="84" t="s">
        <v>26</v>
      </c>
      <c r="N38" s="81">
        <v>9.0</v>
      </c>
      <c r="O38" s="123">
        <v>43719.0</v>
      </c>
      <c r="P38" s="81" t="s">
        <v>46</v>
      </c>
      <c r="Q38" s="86">
        <v>43009.0</v>
      </c>
      <c r="R38" s="87">
        <v>799.0</v>
      </c>
      <c r="S38" s="87">
        <v>400.0</v>
      </c>
      <c r="T38" s="88" t="str">
        <f>HYPERLINK("https://amzn.to/2K8DDXH","link*")</f>
        <v>link*</v>
      </c>
      <c r="U38" s="88" t="str">
        <f>HYPERLINK("https://www.bhphotovideo.com/c/product/1373698-REG/samyang_syio3514_e_35mm_f1_4_auto_focus.html/BI/19619/KBID/12129/DFF/d10-v21-t1-x858016/SID/EZ","link*")</f>
        <v>link*</v>
      </c>
      <c r="V38" s="88" t="str">
        <f>HYPERLINK("https://amzn.to/2Zhl3FI","link*")</f>
        <v>link*</v>
      </c>
      <c r="W38" s="88" t="str">
        <f>HYPERLINK("http://rover.ebay.com/rover/1/711-53200-19255-0/1?icep_ff3=9&amp;pub=5575076376&amp;toolid=10001&amp;campid=5338573609&amp;customid=&amp;icep_uq=sony+35+1.4+samyang+af&amp;icep_sellerId=&amp;icep_ex_kw=&amp;icep_sortBy=12&amp;icep_catId=3323&amp;icep_minPrice=&amp;icep_maxPrice=&amp;ipn=psmain&amp;icep_vec"&amp;"torid=229466&amp;kwid=902099&amp;mtid=824&amp;kw=lg","link*")</f>
        <v>link*</v>
      </c>
      <c r="X38" s="68" t="s">
        <v>99</v>
      </c>
    </row>
    <row r="39">
      <c r="A39" s="342" t="b">
        <v>0</v>
      </c>
      <c r="B39" s="687" t="b">
        <v>0</v>
      </c>
      <c r="C39" s="131" t="str">
        <f>HYPERLINK("https://phillipreeve.net/blog/review-voigtlander-35mm-1-4-nokton-e-classic/","Voigtlander 35mm F1.4 Nokton Classic")</f>
        <v>Voigtlander 35mm F1.4 Nokton Classic</v>
      </c>
      <c r="D39" s="76">
        <v>262.0</v>
      </c>
      <c r="E39" s="77">
        <v>35.0</v>
      </c>
      <c r="F39" s="78">
        <v>1.4</v>
      </c>
      <c r="G39" s="144">
        <v>67.0</v>
      </c>
      <c r="H39" s="151">
        <v>40.0</v>
      </c>
      <c r="I39" s="81" t="s">
        <v>24</v>
      </c>
      <c r="J39" s="82" t="s">
        <v>47</v>
      </c>
      <c r="K39" s="81">
        <v>0.16</v>
      </c>
      <c r="L39" s="83">
        <v>30.0</v>
      </c>
      <c r="M39" s="84" t="s">
        <v>26</v>
      </c>
      <c r="N39" s="81">
        <v>10.0</v>
      </c>
      <c r="O39" s="123">
        <v>43624.0</v>
      </c>
      <c r="P39" s="81" t="s">
        <v>28</v>
      </c>
      <c r="Q39" s="86">
        <v>43132.0</v>
      </c>
      <c r="R39" s="87">
        <v>799.0</v>
      </c>
      <c r="S39" s="87">
        <v>450.0</v>
      </c>
      <c r="T39" s="88" t="str">
        <f>HYPERLINK("https://amzn.to/2M1M8WH","link*")</f>
        <v>link*</v>
      </c>
      <c r="U39" s="88" t="str">
        <f>HYPERLINK("https://www.bhphotovideo.com/c/product/1381712-REG/voigtlander_nokton_classic_35mm_f_1_4.html/BI/19619/KBID/12129/DFF/d10-v21-t1-x877353/SID/EZ","link*")</f>
        <v>link*</v>
      </c>
      <c r="V39" s="88" t="str">
        <f>HYPERLINK("https://amzn.to/2ZswTZ3","link*")</f>
        <v>link*</v>
      </c>
      <c r="W39" s="88" t="str">
        <f>HYPERLINK("http://rover.ebay.com/rover/1/711-53200-19255-0/1?icep_ff3=9&amp;pub=5575076376&amp;toolid=10001&amp;campid=5338573609&amp;customid=&amp;icep_uq=Voigtlander+Sony+35mm+1.4&amp;icep_sellerId=&amp;icep_ex_kw=&amp;icep_sortBy=12&amp;icep_catId=3323&amp;icep_minPrice=&amp;icep_maxPrice=&amp;ipn=psmain&amp;icep_"&amp;"vectorid=229466&amp;kwid=902099&amp;mtid=824&amp;kw=lg","link*")</f>
        <v>link*</v>
      </c>
    </row>
    <row r="40" customHeight="1">
      <c r="A40" s="275" t="b">
        <v>0</v>
      </c>
      <c r="B40" s="688" t="b">
        <v>0</v>
      </c>
      <c r="C40" s="131" t="str">
        <f>HYPERLINK("https://phillipreeve.net/blog/review-sigma-35mm-1-4-art/","Sigma Art 1.4/35")</f>
        <v>Sigma Art 1.4/35</v>
      </c>
      <c r="D40" s="76">
        <v>740.0</v>
      </c>
      <c r="E40" s="77">
        <v>35.0</v>
      </c>
      <c r="F40" s="78">
        <v>1.4</v>
      </c>
      <c r="G40" s="144">
        <v>77.0</v>
      </c>
      <c r="H40" s="139">
        <v>121.0</v>
      </c>
      <c r="I40" s="81" t="s">
        <v>30</v>
      </c>
      <c r="J40" s="82" t="s">
        <v>53</v>
      </c>
      <c r="K40" s="81">
        <v>0.19</v>
      </c>
      <c r="L40" s="83">
        <v>30.0</v>
      </c>
      <c r="M40" s="84" t="s">
        <v>26</v>
      </c>
      <c r="N40" s="81">
        <v>9.0</v>
      </c>
      <c r="O40" s="123">
        <v>43782.0</v>
      </c>
      <c r="P40" s="81" t="s">
        <v>41</v>
      </c>
      <c r="Q40" s="86">
        <v>43221.0</v>
      </c>
      <c r="R40" s="153">
        <v>899.0</v>
      </c>
      <c r="S40" s="153">
        <v>600.0</v>
      </c>
      <c r="T40" s="88" t="str">
        <f>HYPERLINK("https://amzn.to/2LOaQcZ","link*")</f>
        <v>link*</v>
      </c>
      <c r="U40" s="88" t="str">
        <f>HYPERLINK("https://www.bhphotovideo.com/c/product/1393492-REG/sigma_35mm_f_1_4_dg_hsm.html/BI/19619/KBID/12129/DFF/d10-v21-t1-x881157/SID/EZ","link*")</f>
        <v>link*</v>
      </c>
      <c r="V40" s="88" t="str">
        <f>HYPERLINK("https://amzn.to/2ZrfakE","link*")</f>
        <v>link*</v>
      </c>
      <c r="W40" s="88" t="str">
        <f>HYPERLINK("http://rover.ebay.com/rover/1/711-53200-19255-0/1?icep_ff3=9&amp;pub=5575076376&amp;toolid=10001&amp;campid=5338573609&amp;customid=&amp;icep_uq=sony+35+1.4+sigma+af&amp;icep_sellerId=&amp;icep_ex_kw=&amp;icep_sortBy=12&amp;icep_catId=3323&amp;icep_minPrice=&amp;icep_maxPrice=&amp;ipn=psmain&amp;icep_vecto"&amp;"rid=229466&amp;kwid=902099&amp;mtid=824&amp;kw=lg","link*")</f>
        <v>link*</v>
      </c>
      <c r="X40" s="68" t="s">
        <v>42</v>
      </c>
    </row>
    <row r="41">
      <c r="A41" s="342" t="b">
        <v>0</v>
      </c>
      <c r="B41" s="687" t="b">
        <v>0</v>
      </c>
      <c r="C41" s="131" t="str">
        <f>HYPERLINK("https://phillipreeve.net/blog/review-sony-fe-35mm-f1-8/","Sony FE 1.8/35")</f>
        <v>Sony FE 1.8/35</v>
      </c>
      <c r="D41" s="76">
        <v>280.0</v>
      </c>
      <c r="E41" s="77">
        <v>35.0</v>
      </c>
      <c r="F41" s="78">
        <v>1.8</v>
      </c>
      <c r="G41" s="144">
        <v>66.0</v>
      </c>
      <c r="H41" s="151">
        <v>73.0</v>
      </c>
      <c r="I41" s="81" t="s">
        <v>30</v>
      </c>
      <c r="J41" s="82" t="s">
        <v>90</v>
      </c>
      <c r="K41" s="185">
        <v>0.24</v>
      </c>
      <c r="L41" s="83">
        <v>22.0</v>
      </c>
      <c r="M41" s="84" t="s">
        <v>26</v>
      </c>
      <c r="N41" s="81">
        <v>9.0</v>
      </c>
      <c r="O41" s="123">
        <v>43719.0</v>
      </c>
      <c r="P41" s="81" t="s">
        <v>32</v>
      </c>
      <c r="Q41" s="86">
        <v>43647.0</v>
      </c>
      <c r="R41" s="87">
        <v>749.0</v>
      </c>
      <c r="S41" s="87" t="s">
        <v>36</v>
      </c>
      <c r="T41" s="88" t="str">
        <f>HYPERLINK("https://amzn.to/31HFLMg","link*")</f>
        <v>link*</v>
      </c>
      <c r="U41" s="88" t="str">
        <f>HYPERLINK("https://www.bhphotovideo.com/c/product/1492866-REG/sony_sel35f18f_35mm_f_1_8_fe_lens.html/BI/19619/KBID/12129/DFF/d10-v21-t1-x975763/SID/EZ","link*")</f>
        <v>link*</v>
      </c>
      <c r="V41" s="88" t="str">
        <f>HYPERLINK("https://amzn.to/2PiATLC","link*")</f>
        <v>link*</v>
      </c>
      <c r="W41" s="88" t="str">
        <f>HYPERLINK("http://rover.ebay.com/rover/1/711-53200-19255-0/1?icep_ff3=9&amp;pub=5575076376&amp;toolid=10001&amp;campid=5338573609&amp;customid=&amp;icep_uq=sony+fe+35+1.8&amp;icep_sellerId=&amp;icep_ex_kw=&amp;icep_sortBy=12&amp;icep_catId=3323&amp;icep_minPrice=&amp;icep_maxPrice=&amp;ipn=psmain&amp;icep_vectorid=22"&amp;"9466&amp;kwid=902099&amp;mtid=824&amp;kw=lg","link*")</f>
        <v>link*</v>
      </c>
    </row>
    <row r="42" customHeight="1">
      <c r="A42" s="342" t="b">
        <v>0</v>
      </c>
      <c r="B42" s="687" t="b">
        <v>0</v>
      </c>
      <c r="C42" s="131" t="str">
        <f>HYPERLINK("https://phillipreeve.net/blog/review-zeiss-loxia-35mm-2-0/","Zeiss Loxia 2/35 Biogon T*")</f>
        <v>Zeiss Loxia 2/35 Biogon T*</v>
      </c>
      <c r="D42" s="76">
        <v>340.0</v>
      </c>
      <c r="E42" s="77">
        <v>35.0</v>
      </c>
      <c r="F42" s="78">
        <v>2.0</v>
      </c>
      <c r="G42" s="144">
        <v>62.0</v>
      </c>
      <c r="H42" s="145">
        <v>66.0</v>
      </c>
      <c r="I42" s="81" t="s">
        <v>24</v>
      </c>
      <c r="J42" s="82" t="s">
        <v>71</v>
      </c>
      <c r="K42" s="81">
        <v>0.17</v>
      </c>
      <c r="L42" s="83">
        <v>30.0</v>
      </c>
      <c r="M42" s="84" t="s">
        <v>26</v>
      </c>
      <c r="N42" s="81">
        <v>10.0</v>
      </c>
      <c r="O42" s="123">
        <v>43625.0</v>
      </c>
      <c r="P42" s="81" t="s">
        <v>58</v>
      </c>
      <c r="Q42" s="86">
        <v>41974.0</v>
      </c>
      <c r="R42" s="87">
        <v>1299.0</v>
      </c>
      <c r="S42" s="87">
        <v>630.0</v>
      </c>
      <c r="T42" s="88" t="str">
        <f>HYPERLINK("https://amzn.to/2T2sJWe","link*")</f>
        <v>link*</v>
      </c>
      <c r="U42" s="88" t="str">
        <f>HYPERLINK("https://www.bhphotovideo.com/c/product/1080388-REG/zeiss_2103_749_loxia_35mm_f_2_biogon.html/BI/19619/KBID/12129/DFF/d10-v21-t1-x553792/SID/EZ","link*")</f>
        <v>link*</v>
      </c>
      <c r="V42" s="89" t="s">
        <v>33</v>
      </c>
      <c r="W42" s="88" t="str">
        <f>HYPERLINK("http://rover.ebay.com/rover/1/711-53200-19255-0/1?icep_ff3=9&amp;pub=5575076376&amp;toolid=10001&amp;campid=5338573609&amp;customid=&amp;icep_uq=loxia+35&amp;icep_sellerId=&amp;icep_ex_kw=&amp;icep_sortBy=12&amp;icep_catId=3323&amp;icep_minPrice=&amp;icep_maxPrice=&amp;ipn=psmain&amp;icep_vectorid=229466&amp;k"&amp;"wid=902099&amp;mtid=824&amp;kw=lg","link*")</f>
        <v>link*</v>
      </c>
      <c r="X42" s="68" t="s">
        <v>101</v>
      </c>
    </row>
    <row r="43">
      <c r="A43" s="275" t="b">
        <v>0</v>
      </c>
      <c r="B43" s="688" t="b">
        <v>0</v>
      </c>
      <c r="C43" s="131" t="str">
        <f>HYPERLINK("http://www.photozone.de/sonyalphaff/865-zeiss35f28ff","Sony ZA 2.8/35")</f>
        <v>Sony ZA 2.8/35</v>
      </c>
      <c r="D43" s="76">
        <v>120.0</v>
      </c>
      <c r="E43" s="77">
        <v>35.0</v>
      </c>
      <c r="F43" s="78">
        <v>2.8</v>
      </c>
      <c r="G43" s="144">
        <v>62.0</v>
      </c>
      <c r="H43" s="145">
        <v>37.0</v>
      </c>
      <c r="I43" s="81" t="s">
        <v>30</v>
      </c>
      <c r="J43" s="82" t="s">
        <v>74</v>
      </c>
      <c r="K43" s="81">
        <v>0.12</v>
      </c>
      <c r="L43" s="83">
        <v>35.0</v>
      </c>
      <c r="M43" s="84" t="s">
        <v>26</v>
      </c>
      <c r="N43" s="81">
        <v>9.0</v>
      </c>
      <c r="O43" s="123">
        <v>43592.0</v>
      </c>
      <c r="P43" s="81" t="s">
        <v>32</v>
      </c>
      <c r="Q43" s="86">
        <v>41487.0</v>
      </c>
      <c r="R43" s="87">
        <v>798.0</v>
      </c>
      <c r="S43" s="87">
        <v>410.0</v>
      </c>
      <c r="T43" s="88" t="str">
        <f>HYPERLINK("https://amzn.to/2yvhL24","link*")</f>
        <v>link*</v>
      </c>
      <c r="U43" s="88" t="str">
        <f>HYPERLINK("https://www.bhphotovideo.com/c/product/1008123-REG/sony_sel35f28z_sonnar_t_fe_35mm.html/BI/19619/KBID/12129/DFF/d10-v21-t1-x466840/SID/EZ","link*")</f>
        <v>link*</v>
      </c>
      <c r="V43" s="89" t="s">
        <v>33</v>
      </c>
      <c r="W43" s="88" t="str">
        <f>HYPERLINK("http://rover.ebay.com/rover/1/711-53200-19255-0/1?icep_ff3=9&amp;pub=5575076376&amp;toolid=10001&amp;campid=5338573609&amp;customid=&amp;icep_uq=sony+35+2.8+&amp;icep_sellerId=&amp;icep_ex_kw=&amp;icep_sortBy=12&amp;icep_catId=3323&amp;icep_minPrice=&amp;icep_maxPrice=&amp;ipn=psmain&amp;icep_vectorid=2294"&amp;"66&amp;kwid=902099&amp;mtid=824&amp;kw=lg","link*")</f>
        <v>link*</v>
      </c>
    </row>
    <row r="44">
      <c r="A44" s="342" t="b">
        <v>0</v>
      </c>
      <c r="B44" s="687" t="b">
        <v>0</v>
      </c>
      <c r="C44" s="90" t="s">
        <v>102</v>
      </c>
      <c r="D44" s="23">
        <v>86.0</v>
      </c>
      <c r="E44" s="24">
        <v>35.0</v>
      </c>
      <c r="F44" s="25">
        <v>2.8</v>
      </c>
      <c r="G44" s="147">
        <v>62.0</v>
      </c>
      <c r="H44" s="155">
        <v>33.0</v>
      </c>
      <c r="I44" s="30" t="s">
        <v>30</v>
      </c>
      <c r="J44" s="29" t="s">
        <v>74</v>
      </c>
      <c r="K44" s="30">
        <v>0.12</v>
      </c>
      <c r="L44" s="31">
        <v>35.0</v>
      </c>
      <c r="M44" s="32" t="s">
        <v>26</v>
      </c>
      <c r="N44" s="30">
        <v>9.0</v>
      </c>
      <c r="O44" s="93">
        <v>43623.0</v>
      </c>
      <c r="P44" s="30" t="s">
        <v>46</v>
      </c>
      <c r="Q44" s="34">
        <v>42917.0</v>
      </c>
      <c r="R44" s="196">
        <v>399.0</v>
      </c>
      <c r="S44" s="196">
        <v>210.0</v>
      </c>
      <c r="T44" s="36" t="str">
        <f>HYPERLINK("https://amzn.to/2MGKrxp","link*")</f>
        <v>link*</v>
      </c>
      <c r="U44" s="36" t="str">
        <f>HYPERLINK("https://www.bhphotovideo.com/c/product/1348365-REG/samyang_syio35af_e_35mm_f2_8_compact_wide.html/BI/19619/KBID/12129/DFF/d10-v21-t1-x832776/SID/EZ","link*")</f>
        <v>link*</v>
      </c>
      <c r="V44" s="70" t="s">
        <v>33</v>
      </c>
      <c r="W44" s="36" t="str">
        <f>HYPERLINK("http://rover.ebay.com/rover/1/711-53200-19255-0/1?icep_ff3=9&amp;pub=5575076376&amp;toolid=10001&amp;campid=5338573609&amp;customid=&amp;icep_uq=samyang+35+2.8+&amp;icep_sellerId=&amp;icep_ex_kw=&amp;icep_sortBy=12&amp;icep_catId=3323&amp;icep_minPrice=&amp;icep_maxPrice=&amp;ipn=psmain&amp;icep_vectorid=2"&amp;"29466&amp;kwid=902099&amp;mtid=824&amp;kw=lg","link*")</f>
        <v>link*</v>
      </c>
      <c r="X44" s="94"/>
    </row>
    <row r="45">
      <c r="A45" s="342" t="b">
        <v>0</v>
      </c>
      <c r="B45" s="687" t="b">
        <v>0</v>
      </c>
      <c r="C45" s="109" t="str">
        <f>HYPERLINK("https://phillipreeve.net/blog/voigtlander-40mm-f1-2-nokton-aspherical-rolling-review/","Voigtlander 40mm F1.2 Nokton")</f>
        <v>Voigtlander 40mm F1.2 Nokton</v>
      </c>
      <c r="D45" s="39">
        <v>420.0</v>
      </c>
      <c r="E45" s="40">
        <v>40.0</v>
      </c>
      <c r="F45" s="197">
        <v>1.2</v>
      </c>
      <c r="G45" s="144">
        <v>70.0</v>
      </c>
      <c r="H45" s="145">
        <v>59.0</v>
      </c>
      <c r="I45" s="46" t="s">
        <v>24</v>
      </c>
      <c r="J45" s="45" t="s">
        <v>47</v>
      </c>
      <c r="K45" s="46">
        <v>0.16</v>
      </c>
      <c r="L45" s="47">
        <v>35.0</v>
      </c>
      <c r="M45" s="44" t="s">
        <v>26</v>
      </c>
      <c r="N45" s="46">
        <v>10.0</v>
      </c>
      <c r="O45" s="74">
        <v>43624.0</v>
      </c>
      <c r="P45" s="46" t="s">
        <v>28</v>
      </c>
      <c r="Q45" s="49">
        <v>43040.0</v>
      </c>
      <c r="R45" s="50">
        <v>1099.0</v>
      </c>
      <c r="S45" s="50">
        <v>780.0</v>
      </c>
      <c r="T45" s="51" t="str">
        <f>HYPERLINK("https://amzn.to/2A412DK","link*")</f>
        <v>link*</v>
      </c>
      <c r="U45" s="51" t="str">
        <f>HYPERLINK("https://www.bhphotovideo.com/c/product/1362557-REG/voigtlander_nokton_40mm_f_1_2_aspherical.html/BI/19619/KBID/12129/DFF/d10-v21-t1-x851241/SID/EZ","link*")</f>
        <v>link*</v>
      </c>
      <c r="V45" s="146" t="s">
        <v>33</v>
      </c>
      <c r="W45" s="51" t="str">
        <f>HYPERLINK("http://rover.ebay.com/rover/1/711-53200-19255-0/1?icep_ff3=9&amp;pub=5575076376&amp;toolid=10001&amp;campid=5338573609&amp;customid=&amp;icep_uq=Voigtlander+Sony+40mm+1.2&amp;icep_sellerId=&amp;icep_ex_kw=&amp;icep_sortBy=12&amp;icep_catId=3323&amp;icep_minPrice=&amp;icep_maxPrice=&amp;ipn=psmain&amp;icep_"&amp;"vectorid=229466&amp;kwid=902099&amp;mtid=824&amp;kw=lg","link*")</f>
        <v>link*</v>
      </c>
    </row>
    <row r="46">
      <c r="A46" s="275" t="b">
        <v>0</v>
      </c>
      <c r="B46" s="688" t="b">
        <v>0</v>
      </c>
      <c r="C46" s="131" t="str">
        <f>HYPERLINK("https://phillipreeve.net/blog/review-sigma-40mm-1-4-art/","Sigma Art 1.4/40")</f>
        <v>Sigma Art 1.4/40</v>
      </c>
      <c r="D46" s="76">
        <v>1265.0</v>
      </c>
      <c r="E46" s="77">
        <v>40.0</v>
      </c>
      <c r="F46" s="78">
        <v>1.4</v>
      </c>
      <c r="G46" s="144">
        <v>88.0</v>
      </c>
      <c r="H46" s="151">
        <v>157.0</v>
      </c>
      <c r="I46" s="81" t="s">
        <v>30</v>
      </c>
      <c r="J46" s="198" t="s">
        <v>51</v>
      </c>
      <c r="K46" s="81">
        <v>0.15</v>
      </c>
      <c r="L46" s="83">
        <v>40.0</v>
      </c>
      <c r="M46" s="84" t="s">
        <v>26</v>
      </c>
      <c r="N46" s="81">
        <v>9.0</v>
      </c>
      <c r="O46" s="123">
        <v>43815.0</v>
      </c>
      <c r="P46" s="81" t="s">
        <v>41</v>
      </c>
      <c r="Q46" s="86">
        <v>43435.0</v>
      </c>
      <c r="R46" s="87">
        <v>1399.0</v>
      </c>
      <c r="S46" s="87" t="s">
        <v>36</v>
      </c>
      <c r="T46" s="88" t="str">
        <f>HYPERLINK("https://amzn.to/2SYXFXq","link*")</f>
        <v>link*</v>
      </c>
      <c r="U46" s="88" t="str">
        <f>HYPERLINK("https://www.bhphotovideo.com/c/product/1436292-REG/sigma_40mm_f_1_4_dg_hsm.html/BI/19619/KBID/12129/DFF/d10-v21-t1-x925196/SID/EZ","link*")</f>
        <v>link*</v>
      </c>
      <c r="V46" s="89" t="s">
        <v>33</v>
      </c>
      <c r="W46" s="88" t="str">
        <f>HYPERLINK("http://rover.ebay.com/rover/1/711-53200-19255-0/1?icep_ff3=9&amp;pub=5575076376&amp;toolid=10001&amp;campid=5338164340&amp;customid=&amp;icep_uq=sigma+40+1.4+art+sony&amp;icep_sellerId=&amp;icep_ex_kw=&amp;icep_sortBy=12&amp;icep_catId=3323&amp;icep_minPrice=&amp;icep_maxPrice=&amp;ipn=psmain&amp;icep_vect"&amp;"orid=229466&amp;kwid=902099&amp;mtid=824&amp;kw=lg","link*")</f>
        <v>link*</v>
      </c>
      <c r="X46" s="68" t="s">
        <v>42</v>
      </c>
    </row>
    <row r="47">
      <c r="A47" s="342" t="b">
        <v>0</v>
      </c>
      <c r="B47" s="687" t="b">
        <v>0</v>
      </c>
      <c r="C47" s="22" t="str">
        <f>HYPERLINK("https://phillipreeve.net/blog/review-zeiss-batis-2-40-cf/","Zeiss Batis 2/40 CF T*")</f>
        <v>Zeiss Batis 2/40 CF T*</v>
      </c>
      <c r="D47" s="23">
        <v>361.0</v>
      </c>
      <c r="E47" s="24">
        <v>40.0</v>
      </c>
      <c r="F47" s="25">
        <v>2.0</v>
      </c>
      <c r="G47" s="147">
        <v>91.0</v>
      </c>
      <c r="H47" s="136">
        <v>93.0</v>
      </c>
      <c r="I47" s="30" t="s">
        <v>30</v>
      </c>
      <c r="J47" s="29" t="s">
        <v>53</v>
      </c>
      <c r="K47" s="199">
        <v>0.3</v>
      </c>
      <c r="L47" s="31">
        <v>24.0</v>
      </c>
      <c r="M47" s="32" t="s">
        <v>26</v>
      </c>
      <c r="N47" s="30">
        <v>9.0</v>
      </c>
      <c r="O47" s="93">
        <v>43686.0</v>
      </c>
      <c r="P47" s="30" t="s">
        <v>58</v>
      </c>
      <c r="Q47" s="34">
        <v>43435.0</v>
      </c>
      <c r="R47" s="35">
        <v>1299.0</v>
      </c>
      <c r="S47" s="35">
        <v>950.0</v>
      </c>
      <c r="T47" s="36" t="str">
        <f>HYPERLINK("https://amzn.to/2LUN0MF","link*")</f>
        <v>link*</v>
      </c>
      <c r="U47" s="36" t="str">
        <f>HYPERLINK("https://www.bhphotovideo.com/c/product/1436738-REG/zeiss_000000_2239_137_batis_40mm_f_2_cf.html/BI/19619/KBID/12129/DFF/d10-v21-t1-x915694/SID/EZ","link*")</f>
        <v>link*</v>
      </c>
      <c r="V47" s="70" t="s">
        <v>33</v>
      </c>
      <c r="W47" s="36" t="str">
        <f>HYPERLINK("http://rover.ebay.com/rover/1/711-53200-19255-0/1?icep_ff3=9&amp;pub=5575076376&amp;toolid=10001&amp;campid=5338164340&amp;customid=&amp;icep_uq=batis+40&amp;icep_sellerId=&amp;icep_ex_kw=&amp;icep_sortBy=12&amp;icep_catId=3323&amp;icep_minPrice=&amp;icep_maxPrice=&amp;ipn=psmain&amp;icep_vectorid=229466&amp;k"&amp;"wid=902099&amp;mtid=824&amp;kw=lg","link*")</f>
        <v>link*</v>
      </c>
      <c r="X47" s="37" t="s">
        <v>228</v>
      </c>
    </row>
    <row r="48">
      <c r="A48" s="342" t="b">
        <v>0</v>
      </c>
      <c r="B48" s="687" t="b">
        <v>0</v>
      </c>
      <c r="C48" s="38" t="s">
        <v>106</v>
      </c>
      <c r="D48" s="39">
        <v>162.0</v>
      </c>
      <c r="E48" s="40">
        <v>45.0</v>
      </c>
      <c r="F48" s="41">
        <v>1.8</v>
      </c>
      <c r="G48" s="144">
        <v>62.0</v>
      </c>
      <c r="H48" s="151">
        <v>56.0</v>
      </c>
      <c r="I48" s="46" t="s">
        <v>30</v>
      </c>
      <c r="J48" s="45" t="s">
        <v>74</v>
      </c>
      <c r="K48" s="46">
        <v>0.12</v>
      </c>
      <c r="L48" s="47">
        <v>45.0</v>
      </c>
      <c r="M48" s="44" t="s">
        <v>26</v>
      </c>
      <c r="N48" s="46">
        <v>9.0</v>
      </c>
      <c r="O48" s="74">
        <v>43623.0</v>
      </c>
      <c r="P48" s="46" t="s">
        <v>46</v>
      </c>
      <c r="Q48" s="49">
        <v>43647.0</v>
      </c>
      <c r="R48" s="200">
        <v>399.0</v>
      </c>
      <c r="S48" s="200">
        <v>300.0</v>
      </c>
      <c r="T48" s="51" t="str">
        <f>HYPERLINK("https://amzn.to/2YC6MST","link*")</f>
        <v>link*</v>
      </c>
      <c r="U48" s="51" t="str">
        <f>HYPERLINK("https://www.bhphotovideo.com/c/product/1478738-REG/samyang_af_45mm_f_1_8_fe.html/BI/19619/KBID/12129/DFF/d10-v21-t1-x964329/SID/EZ","link*")</f>
        <v>link*</v>
      </c>
      <c r="V48" s="146" t="s">
        <v>33</v>
      </c>
      <c r="W48" s="51" t="str">
        <f>HYPERLINK("http://rover.ebay.com/rover/1/711-53200-19255-0/1?icep_ff3=9&amp;pub=5575076376&amp;toolid=10001&amp;campid=5338164340&amp;customid=&amp;icep_uq=samyang+45mm+sony&amp;icep_sellerId=&amp;icep_ex_kw=&amp;icep_sortBy=12&amp;icep_catId=3323&amp;icep_minPrice=&amp;icep_maxPrice=&amp;ipn=psmain&amp;icep_vectorid"&amp;"=229466&amp;kwid=902099&amp;mtid=824&amp;kw=lg","link*")</f>
        <v>link*</v>
      </c>
    </row>
    <row r="49">
      <c r="A49" s="342" t="b">
        <v>0</v>
      </c>
      <c r="B49" s="687" t="b">
        <v>0</v>
      </c>
      <c r="C49" s="90" t="s">
        <v>107</v>
      </c>
      <c r="D49" s="23">
        <v>215.0</v>
      </c>
      <c r="E49" s="24">
        <v>45.0</v>
      </c>
      <c r="F49" s="25">
        <v>2.8</v>
      </c>
      <c r="G49" s="147">
        <v>64.0</v>
      </c>
      <c r="H49" s="155">
        <v>46.0</v>
      </c>
      <c r="I49" s="30" t="s">
        <v>30</v>
      </c>
      <c r="J49" s="29" t="s">
        <v>90</v>
      </c>
      <c r="K49" s="201">
        <v>0.25</v>
      </c>
      <c r="L49" s="31">
        <v>24.0</v>
      </c>
      <c r="M49" s="32" t="s">
        <v>26</v>
      </c>
      <c r="N49" s="30">
        <v>7.0</v>
      </c>
      <c r="O49" s="93">
        <v>43654.0</v>
      </c>
      <c r="P49" s="30" t="s">
        <v>41</v>
      </c>
      <c r="Q49" s="34">
        <v>43647.0</v>
      </c>
      <c r="R49" s="35">
        <v>549.0</v>
      </c>
      <c r="S49" s="35" t="s">
        <v>36</v>
      </c>
      <c r="T49" s="36" t="str">
        <f>HYPERLINK("https://amzn.to/2SYEvAX","link*")</f>
        <v>link*</v>
      </c>
      <c r="U49" s="36" t="str">
        <f>HYPERLINK("https://www.bhphotovideo.com/c/product/1492966-REG/sigma_360965_45mm_f_2_8_dg_dn.html/BI/19619/KBID/12129/DFF/d10-v21-t1-x976020/SID/EZ","link*")</f>
        <v>link*</v>
      </c>
      <c r="V49" s="70" t="s">
        <v>33</v>
      </c>
      <c r="W49" s="36" t="str">
        <f>HYPERLINK("http://rover.ebay.com/rover/1/711-53200-19255-0/1?icep_ff3=9&amp;pub=5575076376&amp;toolid=10001&amp;campid=5338164340&amp;customid=&amp;icep_uq=sigma+45+2.8+sony&amp;icep_sellerId=&amp;icep_ex_kw=&amp;icep_sortBy=12&amp;icep_catId=3323&amp;icep_minPrice=&amp;icep_maxPrice=&amp;ipn=psmain&amp;icep_vectorid"&amp;"=229466&amp;kwid=902099&amp;mtid=824&amp;kw=lg","link*")</f>
        <v>link*</v>
      </c>
      <c r="X49" s="37" t="s">
        <v>108</v>
      </c>
    </row>
    <row r="50">
      <c r="A50" s="275" t="b">
        <v>0</v>
      </c>
      <c r="B50" s="688" t="b">
        <v>0</v>
      </c>
      <c r="C50" s="109" t="str">
        <f>HYPERLINK("https://phillipreeve.net/blog/review-voigtlander-50mm-1-2-nokton-e/","Voigtlander 50mm F1.2 Nokton")</f>
        <v>Voigtlander 50mm F1.2 Nokton</v>
      </c>
      <c r="D50" s="39">
        <v>440.0</v>
      </c>
      <c r="E50" s="40">
        <v>50.0</v>
      </c>
      <c r="F50" s="197">
        <v>1.2</v>
      </c>
      <c r="G50" s="144">
        <v>70.0</v>
      </c>
      <c r="H50" s="145">
        <v>58.0</v>
      </c>
      <c r="I50" s="46" t="s">
        <v>24</v>
      </c>
      <c r="J50" s="45" t="s">
        <v>47</v>
      </c>
      <c r="K50" s="46">
        <v>0.15</v>
      </c>
      <c r="L50" s="47">
        <v>45.0</v>
      </c>
      <c r="M50" s="44" t="s">
        <v>26</v>
      </c>
      <c r="N50" s="46">
        <v>12.0</v>
      </c>
      <c r="O50" s="74">
        <v>43624.0</v>
      </c>
      <c r="P50" s="46" t="s">
        <v>28</v>
      </c>
      <c r="Q50" s="49">
        <v>43556.0</v>
      </c>
      <c r="R50" s="50">
        <v>1099.0</v>
      </c>
      <c r="S50" s="50" t="s">
        <v>36</v>
      </c>
      <c r="T50" s="51" t="str">
        <f>HYPERLINK("https://amzn.to/2OAfE7N","link*")</f>
        <v>link*</v>
      </c>
      <c r="U50" s="51" t="str">
        <f>HYPERLINK("https://www.bhphotovideo.com/c/product/1433349-REG/voigtlander_ba348a_nokton_50mm_f_1_2_aspherical.html/BI/19619/KBID/12129/DFF/d10-v21-t1-x915623/SID/EZ","link*")</f>
        <v>link*</v>
      </c>
      <c r="V50" s="146" t="s">
        <v>33</v>
      </c>
      <c r="W50" s="51" t="str">
        <f>HYPERLINK("http://rover.ebay.com/rover/1/711-53200-19255-0/1?icep_ff3=9&amp;pub=5575076376&amp;toolid=10001&amp;campid=5338164340&amp;customid=&amp;icep_uq=voigtlander+sony+50+1.2&amp;icep_sellerId=&amp;icep_ex_kw=&amp;icep_sortBy=12&amp;icep_catId=3323&amp;icep_minPrice=&amp;icep_maxPrice=&amp;ipn=psmain&amp;icep_ve"&amp;"ctorid=229466&amp;kwid=902099&amp;mtid=824&amp;kw=lg","link*")</f>
        <v>link*</v>
      </c>
    </row>
    <row r="51">
      <c r="A51" s="689" t="b">
        <v>0</v>
      </c>
      <c r="B51" s="690" t="b">
        <v>0</v>
      </c>
      <c r="C51" s="75" t="s">
        <v>109</v>
      </c>
      <c r="D51" s="76">
        <v>778.0</v>
      </c>
      <c r="E51" s="77">
        <v>50.0</v>
      </c>
      <c r="F51" s="78">
        <v>1.4</v>
      </c>
      <c r="G51" s="144">
        <v>84.0</v>
      </c>
      <c r="H51" s="145">
        <v>108.0</v>
      </c>
      <c r="I51" s="81" t="s">
        <v>30</v>
      </c>
      <c r="J51" s="82" t="s">
        <v>48</v>
      </c>
      <c r="K51" s="81">
        <v>0.15</v>
      </c>
      <c r="L51" s="83">
        <v>45.0</v>
      </c>
      <c r="M51" s="84" t="s">
        <v>26</v>
      </c>
      <c r="N51" s="81">
        <v>11.0</v>
      </c>
      <c r="O51" s="123">
        <v>43720.0</v>
      </c>
      <c r="P51" s="81" t="s">
        <v>32</v>
      </c>
      <c r="Q51" s="86">
        <v>42583.0</v>
      </c>
      <c r="R51" s="87">
        <v>1499.0</v>
      </c>
      <c r="S51" s="87">
        <v>1000.0</v>
      </c>
      <c r="T51" s="88" t="str">
        <f>HYPERLINK("https://amzn.to/2K88EL7","link*")</f>
        <v>link*</v>
      </c>
      <c r="U51" s="88" t="str">
        <f>HYPERLINK("https://www.bhphotovideo.com/c/product/1264965-REG/sony_sel50f14z_planar_t_fe_50mm.html/BI/19619/KBID/12129/DFF/d10-v21-t1-x746806/SID/EZ","link*")</f>
        <v>link*</v>
      </c>
      <c r="V51" s="89" t="s">
        <v>33</v>
      </c>
      <c r="W51" s="88" t="str">
        <f>HYPERLINK("http://rover.ebay.com/rover/1/711-53200-19255-0/1?icep_ff3=9&amp;pub=5575076376&amp;toolid=10001&amp;campid=5338164340&amp;customid=&amp;icep_uq=sony+50+1.4+za&amp;icep_sellerId=&amp;icep_ex_kw=&amp;icep_sortBy=12&amp;icep_catId=3323&amp;icep_minPrice=&amp;icep_maxPrice=&amp;ipn=psmain&amp;icep_vectorid=22"&amp;"9466&amp;kwid=902099&amp;mtid=824&amp;kw=lg","link*")</f>
        <v>link*</v>
      </c>
    </row>
    <row r="52">
      <c r="A52" s="342" t="b">
        <v>0</v>
      </c>
      <c r="B52" s="687" t="b">
        <v>0</v>
      </c>
      <c r="C52" s="75" t="s">
        <v>110</v>
      </c>
      <c r="D52" s="76">
        <v>910.0</v>
      </c>
      <c r="E52" s="77">
        <v>50.0</v>
      </c>
      <c r="F52" s="78">
        <v>1.4</v>
      </c>
      <c r="G52" s="144">
        <v>85.0</v>
      </c>
      <c r="H52" s="150">
        <v>125.9</v>
      </c>
      <c r="I52" s="81" t="s">
        <v>30</v>
      </c>
      <c r="J52" s="82" t="s">
        <v>56</v>
      </c>
      <c r="K52" s="81">
        <v>0.18</v>
      </c>
      <c r="L52" s="83">
        <v>40.0</v>
      </c>
      <c r="M52" s="84" t="s">
        <v>26</v>
      </c>
      <c r="N52" s="81">
        <v>9.0</v>
      </c>
      <c r="O52" s="123">
        <v>43690.0</v>
      </c>
      <c r="P52" s="81" t="s">
        <v>41</v>
      </c>
      <c r="Q52" s="86">
        <v>43221.0</v>
      </c>
      <c r="R52" s="87">
        <v>949.0</v>
      </c>
      <c r="S52" s="87">
        <v>650.0</v>
      </c>
      <c r="T52" s="88" t="str">
        <f>HYPERLINK("https://amzn.to/2K4JmyT","link*")</f>
        <v>link*</v>
      </c>
      <c r="U52" s="88" t="str">
        <f>HYPERLINK("https://www.bhphotovideo.com/c/product/1393493-REG/sigma_50mm_f_1_4_dg_hsm.html/BI/19619/KBID/12129/kw/SI5014SO/DFF/d10-v2-t1-xSI5014SO","link*")</f>
        <v>link*</v>
      </c>
      <c r="V52" s="88" t="str">
        <f>HYPERLINK("https://amzn.to/2Wpdoz5","link*")</f>
        <v>link*</v>
      </c>
      <c r="W52" s="88" t="str">
        <f>HYPERLINK("http://rover.ebay.com/rover/1/711-53200-19255-0/1?icep_ff3=9&amp;pub=5575076376&amp;toolid=10001&amp;campid=5338164340&amp;customid=&amp;icep_uq=sigma+sony+art+50+1.4&amp;icep_sellerId=&amp;icep_ex_kw=&amp;icep_sortBy=12&amp;icep_catId=3323&amp;icep_minPrice=&amp;icep_maxPrice=&amp;ipn=psmain&amp;icep_vect"&amp;"orid=229466&amp;kwid=902099&amp;mtid=824&amp;kw=lg","link*")</f>
        <v>link*</v>
      </c>
      <c r="X52" s="68" t="s">
        <v>42</v>
      </c>
    </row>
    <row r="53">
      <c r="A53" s="275" t="b">
        <v>0</v>
      </c>
      <c r="B53" s="688" t="b">
        <v>0</v>
      </c>
      <c r="C53" s="75" t="s">
        <v>111</v>
      </c>
      <c r="D53" s="76">
        <v>585.0</v>
      </c>
      <c r="E53" s="77">
        <v>50.0</v>
      </c>
      <c r="F53" s="78">
        <v>1.4</v>
      </c>
      <c r="G53" s="144">
        <v>74.0</v>
      </c>
      <c r="H53" s="145">
        <v>98.0</v>
      </c>
      <c r="I53" s="81" t="s">
        <v>30</v>
      </c>
      <c r="J53" s="82" t="s">
        <v>53</v>
      </c>
      <c r="K53" s="81">
        <v>0.15</v>
      </c>
      <c r="L53" s="83">
        <v>45.0</v>
      </c>
      <c r="M53" s="84" t="s">
        <v>26</v>
      </c>
      <c r="N53" s="81">
        <v>9.0</v>
      </c>
      <c r="O53" s="123">
        <v>43686.0</v>
      </c>
      <c r="P53" s="81" t="s">
        <v>46</v>
      </c>
      <c r="Q53" s="86">
        <v>42583.0</v>
      </c>
      <c r="R53" s="87">
        <v>699.0</v>
      </c>
      <c r="S53" s="87">
        <v>365.0</v>
      </c>
      <c r="T53" s="88" t="str">
        <f>HYPERLINK("https://amzn.to/2SY1Pyr","link*")</f>
        <v>link*</v>
      </c>
      <c r="U53" s="88" t="str">
        <f>HYPERLINK("https://www.bhphotovideo.com/c/product/1352862-REG/samyang_syio50af_e_50mm_f_1_4_auto_focus.html/BI/19619/KBID/12129/DFF/d10-v21-t1-x837927/SID/EZ","link*")</f>
        <v>link*</v>
      </c>
      <c r="V53" s="89" t="s">
        <v>33</v>
      </c>
      <c r="W53" s="88" t="str">
        <f>HYPERLINK("http://rover.ebay.com/rover/1/711-53200-19255-0/1?icep_ff3=9&amp;pub=5575076376&amp;toolid=10001&amp;campid=5338164340&amp;customid=&amp;icep_uq=samyang+50+1.4+sony+af&amp;icep_sellerId=&amp;icep_ex_kw=&amp;icep_sortBy=12&amp;icep_catId=3323&amp;icep_minPrice=&amp;icep_maxPrice=&amp;ipn=psmain&amp;icep_vec"&amp;"torid=229466&amp;kwid=902099&amp;mtid=824&amp;kw=lg","link*")</f>
        <v>link*</v>
      </c>
    </row>
    <row r="54">
      <c r="A54" s="275" t="b">
        <v>0</v>
      </c>
      <c r="B54" s="688" t="b">
        <v>0</v>
      </c>
      <c r="C54" s="131" t="str">
        <f>HYPERLINK("https://phillipreeve.net/blog/review-sony-fe-1-850/","Sony 50mm F1.8")</f>
        <v>Sony 50mm F1.8</v>
      </c>
      <c r="D54" s="76">
        <v>186.0</v>
      </c>
      <c r="E54" s="77">
        <v>50.0</v>
      </c>
      <c r="F54" s="78">
        <v>1.8</v>
      </c>
      <c r="G54" s="144">
        <v>69.0</v>
      </c>
      <c r="H54" s="145">
        <v>60.0</v>
      </c>
      <c r="I54" s="81" t="s">
        <v>30</v>
      </c>
      <c r="J54" s="82" t="s">
        <v>74</v>
      </c>
      <c r="K54" s="81">
        <v>0.14</v>
      </c>
      <c r="L54" s="83">
        <v>45.0</v>
      </c>
      <c r="M54" s="84" t="s">
        <v>26</v>
      </c>
      <c r="N54" s="81">
        <v>7.0</v>
      </c>
      <c r="O54" s="123">
        <v>43591.0</v>
      </c>
      <c r="P54" s="81" t="s">
        <v>32</v>
      </c>
      <c r="Q54" s="86">
        <v>42430.0</v>
      </c>
      <c r="R54" s="153">
        <v>249.0</v>
      </c>
      <c r="S54" s="153">
        <v>165.0</v>
      </c>
      <c r="T54" s="88" t="str">
        <f>HYPERLINK("http://amzn.to/2v2F5Se","link*")</f>
        <v>link*</v>
      </c>
      <c r="U54" s="88" t="str">
        <f>HYPERLINK("https://www.bhphotovideo.com/c/product/1242613-REG/sony_sel50f18f_fe_50mm_f_1_8_lens.html/BI/19619/KBID/12129/kw/SO5018F/DFF/d10-v2-t1-xSO5018F","link*")</f>
        <v>link*</v>
      </c>
      <c r="V54" s="88" t="str">
        <f>HYPERLINK("http://amzn.to/2wyHB25","link*")</f>
        <v>link*</v>
      </c>
      <c r="W54" s="88" t="str">
        <f>HYPERLINK("http://rover.ebay.com/rover/1/711-53200-19255-0/1?icep_ff3=10&amp;pub=5575076376&amp;toolid=10001&amp;campid=5338164340&amp;customid=&amp;icep_uq=sony+50+1.8+fe+-oss&amp;icep_sellerId=&amp;icep_ex_kw=&amp;icep_sortBy=12&amp;icep_catId=&amp;icep_minPrice=&amp;icep_maxPrice=&amp;ipn=psmain&amp;icep_vectorid="&amp;"229466&amp;kwid=902099&amp;mtid=824&amp;kw=lg","link*")</f>
        <v>link*</v>
      </c>
    </row>
    <row r="55">
      <c r="A55" s="275" t="b">
        <v>0</v>
      </c>
      <c r="B55" s="688" t="b">
        <v>1</v>
      </c>
      <c r="C55" s="124" t="s">
        <v>292</v>
      </c>
      <c r="D55" s="76">
        <v>364.0</v>
      </c>
      <c r="E55" s="77">
        <v>50.0</v>
      </c>
      <c r="F55" s="78">
        <v>2.0</v>
      </c>
      <c r="G55" s="138">
        <v>63.0</v>
      </c>
      <c r="H55" s="150">
        <v>61.0</v>
      </c>
      <c r="I55" s="81" t="s">
        <v>24</v>
      </c>
      <c r="J55" s="82" t="s">
        <v>74</v>
      </c>
      <c r="K55" s="81"/>
      <c r="L55" s="83">
        <v>45.0</v>
      </c>
      <c r="M55" s="84" t="s">
        <v>26</v>
      </c>
      <c r="N55" s="81">
        <v>12.0</v>
      </c>
      <c r="O55" s="123">
        <v>43687.0</v>
      </c>
      <c r="P55" s="81" t="s">
        <v>28</v>
      </c>
      <c r="Q55" s="86">
        <v>43831.0</v>
      </c>
      <c r="R55" s="87"/>
      <c r="S55" s="87"/>
      <c r="T55" s="130"/>
      <c r="U55" s="130"/>
      <c r="V55" s="130"/>
      <c r="W55" s="130"/>
      <c r="X55" s="68"/>
    </row>
    <row r="56">
      <c r="A56" s="342" t="b">
        <v>1</v>
      </c>
      <c r="B56" s="687" t="b">
        <v>0</v>
      </c>
      <c r="C56" s="131" t="str">
        <f>HYPERLINK("https://phillipreeve.net/blog/review-zeiss-loxia-planar-250-t/","Zeiss Loxia 50mm F2")</f>
        <v>Zeiss Loxia 50mm F2</v>
      </c>
      <c r="D56" s="76">
        <v>320.0</v>
      </c>
      <c r="E56" s="77">
        <v>50.0</v>
      </c>
      <c r="F56" s="78">
        <v>2.0</v>
      </c>
      <c r="G56" s="144">
        <v>62.0</v>
      </c>
      <c r="H56" s="145">
        <v>60.0</v>
      </c>
      <c r="I56" s="81" t="s">
        <v>24</v>
      </c>
      <c r="J56" s="82" t="s">
        <v>71</v>
      </c>
      <c r="K56" s="81">
        <v>0.15</v>
      </c>
      <c r="L56" s="83">
        <v>45.0</v>
      </c>
      <c r="M56" s="84" t="s">
        <v>26</v>
      </c>
      <c r="N56" s="81">
        <v>10.0</v>
      </c>
      <c r="O56" s="123">
        <v>43561.0</v>
      </c>
      <c r="P56" s="81" t="s">
        <v>58</v>
      </c>
      <c r="Q56" s="86">
        <v>41913.0</v>
      </c>
      <c r="R56" s="87">
        <v>949.0</v>
      </c>
      <c r="S56" s="87">
        <v>500.0</v>
      </c>
      <c r="T56" s="88" t="str">
        <f>HYPERLINK("http://amzn.to/2faVsIu","link*")</f>
        <v>link*</v>
      </c>
      <c r="U56" s="88" t="str">
        <f>HYPERLINK("https://www.bhphotovideo.com/c/product/1080387-REG/zeiss_2103_748_loxia_50mm_f_2_planar.html/BI/19619/KBID/12129/kw/ZE502LFE/DFF/d10-v2-t1-xZE502LFE","link*")</f>
        <v>link*</v>
      </c>
      <c r="V56" s="88" t="str">
        <f>HYPERLINK("http://amzn.to/2wyJAU4","link*")</f>
        <v>link*</v>
      </c>
      <c r="W56" s="88" t="str">
        <f>HYPERLINK("http://rover.ebay.com/rover/1/711-53200-19255-0/1?icep_ff3=9&amp;pub=5575076376&amp;toolid=10001&amp;campid=5338164340&amp;customid=&amp;icep_uq=loxia++50+sony&amp;icep_sellerId=&amp;icep_ex_kw=&amp;icep_sortBy=12&amp;icep_catId=3323&amp;icep_minPrice=&amp;icep_maxPrice=&amp;ipn=psmain&amp;icep_vectorid=22"&amp;"9466&amp;kwid=902099&amp;mtid=824&amp;kw=lg","link*")</f>
        <v>link*</v>
      </c>
      <c r="X56" s="68" t="s">
        <v>101</v>
      </c>
    </row>
    <row r="57">
      <c r="A57" s="342" t="b">
        <v>0</v>
      </c>
      <c r="B57" s="687" t="b">
        <v>0</v>
      </c>
      <c r="C57" s="22" t="str">
        <f>HYPERLINK("https://phillipreeve.net/blog/rolling-review-sony-fe-2-850-macro/","Sony 50mm F/2.8 Macro")</f>
        <v>Sony 50mm F/2.8 Macro</v>
      </c>
      <c r="D57" s="23">
        <v>236.0</v>
      </c>
      <c r="E57" s="24">
        <v>50.0</v>
      </c>
      <c r="F57" s="25">
        <v>2.8</v>
      </c>
      <c r="G57" s="147">
        <v>72.0</v>
      </c>
      <c r="H57" s="155">
        <v>71.0</v>
      </c>
      <c r="I57" s="30" t="s">
        <v>30</v>
      </c>
      <c r="J57" s="29" t="s">
        <v>90</v>
      </c>
      <c r="K57" s="202">
        <v>1.0</v>
      </c>
      <c r="L57" s="31">
        <v>16.0</v>
      </c>
      <c r="M57" s="32" t="s">
        <v>26</v>
      </c>
      <c r="N57" s="30">
        <v>7.0</v>
      </c>
      <c r="O57" s="93">
        <v>43654.0</v>
      </c>
      <c r="P57" s="30" t="s">
        <v>32</v>
      </c>
      <c r="Q57" s="34">
        <v>42614.0</v>
      </c>
      <c r="R57" s="203">
        <v>499.0</v>
      </c>
      <c r="S57" s="203">
        <v>350.0</v>
      </c>
      <c r="T57" s="36" t="str">
        <f>HYPERLINK("http://amzn.to/2v2g0qz","link*")</f>
        <v>link*</v>
      </c>
      <c r="U57" s="36" t="str">
        <f>HYPERLINK("https://www.bhphotovideo.com/c/product/1277527-REG/sony_sel50m28_fe_50mm_f_2_8_macro.html/BI/19619/KBID/12129/kw/SO5028FF/DFF/d10-v2-t1-xSO5028FF","link*")</f>
        <v>link*</v>
      </c>
      <c r="V57" s="36" t="str">
        <f>HYPERLINK("http://amzn.to/2vbknRN","link*")</f>
        <v>link*</v>
      </c>
      <c r="W57" s="36" t="str">
        <f>HYPERLINK("http://rover.ebay.com/rover/1/711-53200-19255-0/1?icep_ff3=10&amp;pub=5575076376&amp;toolid=10001&amp;campid=5338164340&amp;customid=&amp;icep_uq=sony+50+macro+fe&amp;icep_sellerId=&amp;icep_ex_kw=&amp;icep_sortBy=12&amp;icep_catId=&amp;icep_minPrice=&amp;icep_maxPrice=&amp;ipn=psmain&amp;icep_vectorid=229"&amp;"466&amp;kwid=902099&amp;mtid=824&amp;kw=lg","link*")</f>
        <v>link*</v>
      </c>
      <c r="X57" s="94"/>
    </row>
    <row r="58">
      <c r="A58" s="342" t="b">
        <v>0</v>
      </c>
      <c r="B58" s="687" t="b">
        <v>0</v>
      </c>
      <c r="C58" s="95" t="str">
        <f>HYPERLINK("https://phillipreeve.net/blog/sony-fe-1-855-za-sonnar-t-review/","Sony ZA 55mm F1.8 Sonnar")</f>
        <v>Sony ZA 55mm F1.8 Sonnar</v>
      </c>
      <c r="D58" s="96">
        <v>281.0</v>
      </c>
      <c r="E58" s="97">
        <v>55.0</v>
      </c>
      <c r="F58" s="98">
        <v>1.8</v>
      </c>
      <c r="G58" s="147">
        <v>64.0</v>
      </c>
      <c r="H58" s="155">
        <v>71.0</v>
      </c>
      <c r="I58" s="103" t="s">
        <v>30</v>
      </c>
      <c r="J58" s="102" t="s">
        <v>74</v>
      </c>
      <c r="K58" s="103">
        <v>0.14</v>
      </c>
      <c r="L58" s="104">
        <v>50.0</v>
      </c>
      <c r="M58" s="101" t="s">
        <v>26</v>
      </c>
      <c r="N58" s="103">
        <v>9.0</v>
      </c>
      <c r="O58" s="204">
        <v>43592.0</v>
      </c>
      <c r="P58" s="103" t="s">
        <v>32</v>
      </c>
      <c r="Q58" s="106">
        <v>41548.0</v>
      </c>
      <c r="R58" s="107">
        <v>999.0</v>
      </c>
      <c r="S58" s="107">
        <v>625.0</v>
      </c>
      <c r="T58" s="108" t="str">
        <f>HYPERLINK("https://amzn.to/2ywdgEk","link*")</f>
        <v>link*</v>
      </c>
      <c r="U58" s="108" t="str">
        <f>HYPERLINK("https://www.bhphotovideo.com/c/product/1008124-REG/sony_sel55f18z_sonnar_t_fe_55mm.html/BI/19619/KBID/12129/DFF/d10-v21-t1-x466841/SID/EZ","link*")</f>
        <v>link*</v>
      </c>
      <c r="V58" s="205" t="s">
        <v>33</v>
      </c>
      <c r="W58" s="108" t="str">
        <f>HYPERLINK("http://rover.ebay.com/rover/1/711-53200-19255-0/1?icep_ff3=9&amp;pub=5575076376&amp;toolid=10001&amp;campid=5338164340&amp;customid=&amp;icep_uq=sony+55+1.8&amp;icep_sellerId=&amp;icep_ex_kw=&amp;icep_sortBy=12&amp;icep_catId=3323&amp;icep_minPrice=&amp;icep_maxPrice=&amp;ipn=psmain&amp;icep_vectorid=22946"&amp;"6&amp;kwid=902099&amp;mtid=824&amp;kw=lg","link*")</f>
        <v>link*</v>
      </c>
      <c r="X58" s="94"/>
    </row>
    <row r="59">
      <c r="A59" s="342" t="b">
        <v>0</v>
      </c>
      <c r="B59" s="687" t="b">
        <v>0</v>
      </c>
      <c r="C59" s="95" t="str">
        <f>HYPERLINK("https://phillipreeve.net/blog/voigtlander-65-f2-apo-macro-review/","Voigtlander Macro 65mm F2 Apo Lanthar")</f>
        <v>Voigtlander Macro 65mm F2 Apo Lanthar</v>
      </c>
      <c r="D59" s="96">
        <v>635.0</v>
      </c>
      <c r="E59" s="97">
        <v>65.0</v>
      </c>
      <c r="F59" s="98">
        <v>2.0</v>
      </c>
      <c r="G59" s="147">
        <v>78.0</v>
      </c>
      <c r="H59" s="155">
        <v>91.0</v>
      </c>
      <c r="I59" s="103" t="s">
        <v>24</v>
      </c>
      <c r="J59" s="102" t="s">
        <v>53</v>
      </c>
      <c r="K59" s="206">
        <v>0.5</v>
      </c>
      <c r="L59" s="104">
        <v>31.0</v>
      </c>
      <c r="M59" s="101" t="s">
        <v>26</v>
      </c>
      <c r="N59" s="103">
        <v>10.0</v>
      </c>
      <c r="O59" s="204">
        <v>43687.0</v>
      </c>
      <c r="P59" s="103" t="s">
        <v>28</v>
      </c>
      <c r="Q59" s="207">
        <v>42917.0</v>
      </c>
      <c r="R59" s="107">
        <v>999.0</v>
      </c>
      <c r="S59" s="107">
        <v>770.0</v>
      </c>
      <c r="T59" s="108" t="str">
        <f>HYPERLINK("https://amzn.to/2LU48SI","link*")</f>
        <v>link*</v>
      </c>
      <c r="U59" s="108" t="str">
        <f>HYPERLINK("https://www.bhphotovideo.com/c/product/1350400-REG/voigtlander_macro_apo_lanthar_65mm_f2.html/BI/19619/KBID/12129/DFF/d10-v21-t1-x835677/SID/EZ","link*")</f>
        <v>link*</v>
      </c>
      <c r="V59" s="205" t="s">
        <v>33</v>
      </c>
      <c r="W59" s="108" t="str">
        <f>HYPERLINK("http://rover.ebay.com/rover/1/711-53200-19255-0/1?icep_ff3=9&amp;pub=5575076376&amp;toolid=10001&amp;campid=5338164340&amp;customid=&amp;icep_uq=voigtlander+65+apo+sony&amp;icep_sellerId=&amp;icep_ex_kw=&amp;icep_sortBy=12&amp;icep_catId=3323&amp;icep_minPrice=&amp;icep_maxPrice=&amp;ipn=psmain&amp;icep_ve"&amp;"ctorid=229466&amp;kwid=902099&amp;mtid=824&amp;kw=lg","link*")</f>
        <v>link*</v>
      </c>
      <c r="X59" s="94"/>
    </row>
    <row r="60">
      <c r="A60" s="342" t="b">
        <v>0</v>
      </c>
      <c r="B60" s="687" t="b">
        <v>0</v>
      </c>
      <c r="C60" s="38" t="s">
        <v>112</v>
      </c>
      <c r="D60" s="39">
        <v>562.0</v>
      </c>
      <c r="E60" s="40">
        <v>70.0</v>
      </c>
      <c r="F60" s="41">
        <v>2.8</v>
      </c>
      <c r="G60" s="144">
        <v>71.0</v>
      </c>
      <c r="H60" s="150">
        <v>132.0</v>
      </c>
      <c r="I60" s="46" t="s">
        <v>30</v>
      </c>
      <c r="J60" s="45" t="s">
        <v>74</v>
      </c>
      <c r="K60" s="208">
        <v>1.0</v>
      </c>
      <c r="L60" s="47">
        <v>26.0</v>
      </c>
      <c r="M60" s="44" t="s">
        <v>26</v>
      </c>
      <c r="N60" s="46">
        <v>9.0</v>
      </c>
      <c r="O60" s="74">
        <v>43751.0</v>
      </c>
      <c r="P60" s="46" t="s">
        <v>41</v>
      </c>
      <c r="Q60" s="49">
        <v>43221.0</v>
      </c>
      <c r="R60" s="209">
        <v>569.0</v>
      </c>
      <c r="S60" s="209">
        <v>360.0</v>
      </c>
      <c r="T60" s="51" t="str">
        <f>HYPERLINK("https://amzn.to/2YGO9te","link*")</f>
        <v>link*</v>
      </c>
      <c r="U60" s="51" t="str">
        <f>HYPERLINK("https://www.bhphotovideo.com/c/product/1393483-REG/sigma_70mm_f_2_8_dg_macro.html/BI/19619/KBID/12129/DFF/d10-v21-t1-x895111/SID/EZ","link*")</f>
        <v>link*</v>
      </c>
      <c r="V60" s="146" t="s">
        <v>33</v>
      </c>
      <c r="W60" s="51" t="str">
        <f>HYPERLINK("http://rover.ebay.com/rover/1/711-53200-19255-0/1?icep_ff3=9&amp;pub=5575076376&amp;toolid=10001&amp;campid=5338164340&amp;customid=&amp;icep_uq=sigma+70+2.8+macro+sony&amp;icep_sellerId=&amp;icep_ex_kw=&amp;icep_sortBy=12&amp;icep_catId=3323&amp;icep_minPrice=&amp;icep_maxPrice=&amp;ipn=psmain&amp;icep_ve"&amp;"ctorid=229466&amp;kwid=902099&amp;mtid=824&amp;kw=lg","link*")</f>
        <v>link*</v>
      </c>
      <c r="X60" s="68" t="s">
        <v>42</v>
      </c>
    </row>
    <row r="61">
      <c r="A61" s="275" t="b">
        <v>0</v>
      </c>
      <c r="B61" s="688" t="b">
        <v>0</v>
      </c>
      <c r="C61" s="75" t="s">
        <v>113</v>
      </c>
      <c r="D61" s="76">
        <v>1480.0</v>
      </c>
      <c r="E61" s="77">
        <v>70.0</v>
      </c>
      <c r="F61" s="78">
        <v>2.8</v>
      </c>
      <c r="G61" s="144">
        <v>88.0</v>
      </c>
      <c r="H61" s="145">
        <v>200.0</v>
      </c>
      <c r="I61" s="81" t="s">
        <v>30</v>
      </c>
      <c r="J61" s="82" t="s">
        <v>56</v>
      </c>
      <c r="K61" s="185">
        <v>0.25</v>
      </c>
      <c r="L61" s="83">
        <v>96.0</v>
      </c>
      <c r="M61" s="154" t="s">
        <v>49</v>
      </c>
      <c r="N61" s="81">
        <v>11.0</v>
      </c>
      <c r="O61" s="85" t="s">
        <v>114</v>
      </c>
      <c r="P61" s="81" t="s">
        <v>32</v>
      </c>
      <c r="Q61" s="86">
        <v>42401.0</v>
      </c>
      <c r="R61" s="87">
        <v>2599.0</v>
      </c>
      <c r="S61" s="87">
        <v>2150.0</v>
      </c>
      <c r="T61" s="88" t="str">
        <f>HYPERLINK("https://amzn.to/2KbaJGn","link*")</f>
        <v>link*</v>
      </c>
      <c r="U61" s="88" t="str">
        <f>HYPERLINK("https://www.bhphotovideo.com/c/product/1222776-REG/sony_sel70200gm_fe_70_200mm_f_2_8_gm.html/BI/19619/KBID/12129/DFF/d10-v21-t1-x746807/SID/EZ","link*")</f>
        <v>link*</v>
      </c>
      <c r="V61" s="89" t="s">
        <v>33</v>
      </c>
      <c r="W61" s="88" t="str">
        <f>HYPERLINK("http://rover.ebay.com/rover/1/711-53200-19255-0/1?icep_ff3=9&amp;pub=5575076376&amp;toolid=10001&amp;campid=5338164340&amp;customid=&amp;icep_uq=sony+gm+70-200&amp;icep_sellerId=&amp;icep_ex_kw=&amp;icep_sortBy=12&amp;icep_catId=3323&amp;icep_minPrice=&amp;icep_maxPrice=&amp;ipn=psmain&amp;icep_vectorid=22"&amp;"9466&amp;kwid=902099&amp;mtid=824&amp;kw=lg","link*")</f>
        <v>link*</v>
      </c>
    </row>
    <row r="62">
      <c r="A62" s="275" t="b">
        <v>0</v>
      </c>
      <c r="B62" s="688" t="b">
        <v>0</v>
      </c>
      <c r="C62" s="75" t="s">
        <v>117</v>
      </c>
      <c r="D62" s="76">
        <v>854.0</v>
      </c>
      <c r="E62" s="77">
        <v>70.0</v>
      </c>
      <c r="F62" s="78" t="s">
        <v>118</v>
      </c>
      <c r="G62" s="144">
        <v>84.0</v>
      </c>
      <c r="H62" s="145">
        <v>144.0</v>
      </c>
      <c r="I62" s="81" t="s">
        <v>30</v>
      </c>
      <c r="J62" s="82" t="s">
        <v>48</v>
      </c>
      <c r="K62" s="140">
        <v>0.31</v>
      </c>
      <c r="L62" s="83">
        <v>90.0</v>
      </c>
      <c r="M62" s="154" t="s">
        <v>49</v>
      </c>
      <c r="N62" s="81">
        <v>9.0</v>
      </c>
      <c r="O62" s="85" t="s">
        <v>52</v>
      </c>
      <c r="P62" s="81" t="s">
        <v>32</v>
      </c>
      <c r="Q62" s="86">
        <v>42430.0</v>
      </c>
      <c r="R62" s="87">
        <v>1198.0</v>
      </c>
      <c r="S62" s="87">
        <v>900.0</v>
      </c>
      <c r="T62" s="88" t="str">
        <f>HYPERLINK("https://amzn.to/2SVN1Ao","link*")</f>
        <v>link*</v>
      </c>
      <c r="U62" s="88" t="str">
        <f>HYPERLINK("https://www.bhphotovideo.com/c/product/1242614-REG/sony_sel70300g_fe_70_300mm_f_4_5_5_6_g.html/BI/19619/KBID/12129/DFF/d10-v21-t1-x722726/SID/EZ","link*")</f>
        <v>link*</v>
      </c>
      <c r="V62" s="89" t="s">
        <v>33</v>
      </c>
      <c r="W62" s="88" t="str">
        <f>HYPERLINK("http://rover.ebay.com/rover/1/711-53200-19255-0/1?icep_ff3=9&amp;pub=5575076376&amp;toolid=10001&amp;campid=5338164340&amp;customid=&amp;icep_uq=sony+70-300+g+oss+-ssm&amp;icep_sellerId=&amp;icep_ex_kw=&amp;icep_sortBy=12&amp;icep_catId=3323&amp;icep_minPrice=&amp;icep_maxPrice=&amp;ipn=psmain&amp;icep_vec"&amp;"torid=229466&amp;kwid=902099&amp;mtid=824&amp;kw=lg","link*")</f>
        <v>link*</v>
      </c>
    </row>
    <row r="63">
      <c r="A63" s="275" t="b">
        <v>0</v>
      </c>
      <c r="B63" s="688" t="b">
        <v>0</v>
      </c>
      <c r="C63" s="22" t="str">
        <f>HYPERLINK("https://phillipreeve.net/blog/review-sony-fe-470-200-g-oss/https://phillipreeve.net/blog/review-sony-fe-470-200-g-oss/","Sony G 4/70-200 OSS")</f>
        <v>Sony G 4/70-200 OSS</v>
      </c>
      <c r="D63" s="23">
        <v>840.0</v>
      </c>
      <c r="E63" s="24">
        <v>70.0</v>
      </c>
      <c r="F63" s="25">
        <v>4.0</v>
      </c>
      <c r="G63" s="147">
        <v>80.0</v>
      </c>
      <c r="H63" s="155">
        <v>175.0</v>
      </c>
      <c r="I63" s="30" t="s">
        <v>30</v>
      </c>
      <c r="J63" s="29" t="s">
        <v>48</v>
      </c>
      <c r="K63" s="30">
        <v>0.18</v>
      </c>
      <c r="L63" s="31">
        <v>100.0</v>
      </c>
      <c r="M63" s="156" t="s">
        <v>49</v>
      </c>
      <c r="N63" s="30">
        <v>9.0</v>
      </c>
      <c r="O63" s="228" t="s">
        <v>121</v>
      </c>
      <c r="P63" s="30" t="s">
        <v>32</v>
      </c>
      <c r="Q63" s="34">
        <v>41548.0</v>
      </c>
      <c r="R63" s="35">
        <v>1498.0</v>
      </c>
      <c r="S63" s="35">
        <v>980.0</v>
      </c>
      <c r="T63" s="36" t="str">
        <f>HYPERLINK("http://amzn.to/2fbeX3x","link*")</f>
        <v>link*</v>
      </c>
      <c r="U63" s="36" t="str">
        <f>HYPERLINK("https://www.bhphotovideo.com/c/product/1380865-REG/sony_fe_70_200mm_f_4_g.html/BI/19619/KBID/12129/kw/SO702004F/DFF/d10-v2-t1-xSO702004F","link*")</f>
        <v>link*</v>
      </c>
      <c r="V63" s="36" t="str">
        <f>HYPERLINK("http://amzn.to/2vbFQKj","link*")</f>
        <v>link*</v>
      </c>
      <c r="W63" s="36" t="str">
        <f>HYPERLINK("http://rover.ebay.com/rover/1/711-53200-19255-0/1?icep_ff3=10&amp;pub=5575076376&amp;toolid=10001&amp;campid=5338164340&amp;customid=&amp;icep_uq=sony+70-200+g+4&amp;icep_sellerId=&amp;icep_ex_kw=&amp;icep_sortBy=12&amp;icep_catId=&amp;icep_minPrice=&amp;icep_maxPrice=&amp;ipn=psmain&amp;icep_vectorid=2294"&amp;"66&amp;kwid=902099&amp;mtid=824&amp;kw=lg","link*")</f>
        <v>link*</v>
      </c>
      <c r="X63" s="94"/>
    </row>
    <row r="64">
      <c r="A64" s="342" t="b">
        <v>0</v>
      </c>
      <c r="B64" s="687" t="b">
        <v>0</v>
      </c>
      <c r="C64" s="109" t="str">
        <f>HYPERLINK("https://phillipreeve.net/blog/review-sony-fe-85mm-1-4-gm/","Sony GM 1.4/85")</f>
        <v>Sony GM 1.4/85</v>
      </c>
      <c r="D64" s="39">
        <v>854.0</v>
      </c>
      <c r="E64" s="40">
        <v>85.0</v>
      </c>
      <c r="F64" s="41">
        <v>1.4</v>
      </c>
      <c r="G64" s="144">
        <v>84.0</v>
      </c>
      <c r="H64" s="145">
        <v>108.0</v>
      </c>
      <c r="I64" s="46" t="s">
        <v>30</v>
      </c>
      <c r="J64" s="45" t="s">
        <v>56</v>
      </c>
      <c r="K64" s="46">
        <v>0.12</v>
      </c>
      <c r="L64" s="47">
        <v>80.0</v>
      </c>
      <c r="M64" s="44" t="s">
        <v>26</v>
      </c>
      <c r="N64" s="46">
        <v>11.0</v>
      </c>
      <c r="O64" s="74">
        <v>43688.0</v>
      </c>
      <c r="P64" s="46" t="s">
        <v>32</v>
      </c>
      <c r="Q64" s="49">
        <v>42401.0</v>
      </c>
      <c r="R64" s="50">
        <v>1799.0</v>
      </c>
      <c r="S64" s="50">
        <v>1150.0</v>
      </c>
      <c r="T64" s="51" t="str">
        <f>HYPERLINK("https://amzn.to/2SZeKAh","link*")</f>
        <v>link*</v>
      </c>
      <c r="U64" s="51" t="str">
        <f>HYPERLINK("https://www.bhphotovideo.com/c/product/1222775-REG/sony_sel85f14gm_fe_85mm_f_1_4_gm.html/BI/19619/KBID/12129/DFF/d10-v21-t1-x707644/SID/EZ","link*")</f>
        <v>link*</v>
      </c>
      <c r="V64" s="146" t="s">
        <v>33</v>
      </c>
      <c r="W64" s="51" t="str">
        <f>HYPERLINK("http://rover.ebay.com/rover/1/711-53200-19255-0/1?icep_ff3=9&amp;pub=5575076376&amp;toolid=10001&amp;campid=5338164340&amp;customid=&amp;icep_uq=sony+gm+85+1.4&amp;icep_sellerId=&amp;icep_ex_kw=&amp;icep_sortBy=12&amp;icep_catId=3323&amp;icep_minPrice=&amp;icep_maxPrice=&amp;ipn=psmain&amp;icep_vectorid=22"&amp;"9466&amp;kwid=902099&amp;mtid=824&amp;kw=lg","link*")</f>
        <v>link*</v>
      </c>
    </row>
    <row r="65">
      <c r="A65" s="342" t="b">
        <v>0</v>
      </c>
      <c r="B65" s="687" t="b">
        <v>0</v>
      </c>
      <c r="C65" s="75" t="s">
        <v>123</v>
      </c>
      <c r="D65" s="76">
        <v>1245.0</v>
      </c>
      <c r="E65" s="77">
        <v>85.0</v>
      </c>
      <c r="F65" s="78">
        <v>1.4</v>
      </c>
      <c r="G65" s="144">
        <v>95.0</v>
      </c>
      <c r="H65" s="145">
        <v>152.0</v>
      </c>
      <c r="I65" s="81" t="s">
        <v>30</v>
      </c>
      <c r="J65" s="232" t="s">
        <v>124</v>
      </c>
      <c r="K65" s="81">
        <v>0.12</v>
      </c>
      <c r="L65" s="83">
        <v>85.0</v>
      </c>
      <c r="M65" s="84" t="s">
        <v>26</v>
      </c>
      <c r="N65" s="81">
        <v>9.0</v>
      </c>
      <c r="O65" s="123">
        <v>43724.0</v>
      </c>
      <c r="P65" s="81" t="s">
        <v>41</v>
      </c>
      <c r="Q65" s="86">
        <v>43221.0</v>
      </c>
      <c r="R65" s="87">
        <v>1199.0</v>
      </c>
      <c r="S65" s="87">
        <v>750.0</v>
      </c>
      <c r="T65" s="88" t="str">
        <f>HYPERLINK("https://amzn.to/2MBd68k","link*")</f>
        <v>link*</v>
      </c>
      <c r="U65" s="88" t="str">
        <f>HYPERLINK("https://www.bhphotovideo.com/c/product/1393494-REG/sigma_85mm_f_1_4_dg_hsm.html/BI/19619/KBID/12129/kw/SI8514SO/DFF/d10-v2-t1-xSI8514SO","link*")</f>
        <v>link*</v>
      </c>
      <c r="V65" s="88" t="str">
        <f>HYPERLINK("https://amzn.to/2Wto6JH","link*")</f>
        <v>link*</v>
      </c>
      <c r="W65" s="88" t="str">
        <f>HYPERLINK("http://rover.ebay.com/rover/1/711-53200-19255-0/1?icep_ff3=9&amp;pub=5575076376&amp;toolid=10001&amp;campid=5338164340&amp;customid=&amp;icep_uq=sigma+85+1.4+sony&amp;icep_sellerId=&amp;icep_ex_kw=&amp;icep_sortBy=12&amp;icep_catId=3323&amp;icep_minPrice=&amp;icep_maxPrice=&amp;ipn=psmain&amp;icep_vectorid"&amp;"=229466&amp;kwid=902099&amp;mtid=824&amp;kw=lg","link*")</f>
        <v>link*</v>
      </c>
      <c r="X65" s="68" t="s">
        <v>42</v>
      </c>
    </row>
    <row r="66">
      <c r="A66" s="275" t="b">
        <v>0</v>
      </c>
      <c r="B66" s="688" t="b">
        <v>0</v>
      </c>
      <c r="C66" s="75" t="s">
        <v>125</v>
      </c>
      <c r="D66" s="76">
        <v>568.0</v>
      </c>
      <c r="E66" s="77">
        <v>85.0</v>
      </c>
      <c r="F66" s="78">
        <v>1.4</v>
      </c>
      <c r="G66" s="144">
        <v>88.0</v>
      </c>
      <c r="H66" s="145">
        <v>100.0</v>
      </c>
      <c r="I66" s="81" t="s">
        <v>30</v>
      </c>
      <c r="J66" s="82" t="s">
        <v>56</v>
      </c>
      <c r="K66" s="81">
        <v>0.11</v>
      </c>
      <c r="L66" s="83">
        <v>90.0</v>
      </c>
      <c r="M66" s="84" t="s">
        <v>26</v>
      </c>
      <c r="N66" s="81">
        <v>9.0</v>
      </c>
      <c r="O66" s="123">
        <v>43688.0</v>
      </c>
      <c r="P66" s="81" t="s">
        <v>46</v>
      </c>
      <c r="Q66" s="86">
        <v>43586.0</v>
      </c>
      <c r="R66" s="153">
        <v>699.0</v>
      </c>
      <c r="S66" s="87" t="s">
        <v>36</v>
      </c>
      <c r="T66" s="88" t="str">
        <f>HYPERLINK("https://amzn.to/2T0yJ1A","link*")</f>
        <v>link*</v>
      </c>
      <c r="U66" s="88" t="str">
        <f>HYPERLINK("https://www.bhphotovideo.com/c/product/1470654-REG/samyang_syio85af_e_af_85mm_f_1_4_lens.html/BI/19619/KBID/12129/DFF/d10-v21-t1-x955078/SID/EZ","link*")</f>
        <v>link*</v>
      </c>
      <c r="V66" s="89" t="s">
        <v>33</v>
      </c>
      <c r="W66" s="88" t="str">
        <f>HYPERLINK("http://rover.ebay.com/rover/1/711-53200-19255-0/1?icep_ff3=9&amp;pub=5575076376&amp;toolid=10001&amp;campid=5338164340&amp;customid=&amp;icep_uq=samyang+85+1.4+sony+af&amp;icep_sellerId=&amp;icep_ex_kw=&amp;icep_sortBy=12&amp;icep_catId=3323&amp;icep_minPrice=&amp;icep_maxPrice=&amp;ipn=psmain&amp;icep_vec"&amp;"torid=229466&amp;kwid=902099&amp;mtid=824&amp;kw=lg","link*")</f>
        <v>link*</v>
      </c>
    </row>
    <row r="67">
      <c r="A67" s="275" t="b">
        <v>0</v>
      </c>
      <c r="B67" s="688" t="b">
        <v>0</v>
      </c>
      <c r="C67" s="131" t="str">
        <f>HYPERLINK("https://phillipreeve.net/blog/review-sony-fe-85-mm-1-8/","Sony FE 85mm f/1.8")</f>
        <v>Sony FE 85mm f/1.8</v>
      </c>
      <c r="D67" s="76">
        <v>371.0</v>
      </c>
      <c r="E67" s="77">
        <v>85.0</v>
      </c>
      <c r="F67" s="78">
        <v>1.8</v>
      </c>
      <c r="G67" s="144">
        <v>77.0</v>
      </c>
      <c r="H67" s="145">
        <v>82.0</v>
      </c>
      <c r="I67" s="81" t="s">
        <v>30</v>
      </c>
      <c r="J67" s="82" t="s">
        <v>53</v>
      </c>
      <c r="K67" s="81">
        <v>0.13</v>
      </c>
      <c r="L67" s="83">
        <v>80.0</v>
      </c>
      <c r="M67" s="84" t="s">
        <v>26</v>
      </c>
      <c r="N67" s="81">
        <v>9.0</v>
      </c>
      <c r="O67" s="123">
        <v>43686.0</v>
      </c>
      <c r="P67" s="81" t="s">
        <v>32</v>
      </c>
      <c r="Q67" s="86">
        <v>42767.0</v>
      </c>
      <c r="R67" s="153">
        <v>599.0</v>
      </c>
      <c r="S67" s="153">
        <v>470.0</v>
      </c>
      <c r="T67" s="88" t="str">
        <f>HYPERLINK("https://amzn.to/2YB4RxU","link*")</f>
        <v>link*</v>
      </c>
      <c r="U67" s="88" t="str">
        <f t="shared" ref="U67:U68" si="1">HYPERLINK("https://www.bhphotovideo.com/c/product/1140833-REG/zeiss_2103_751_85mm_f_1_8_batis_short.html/BI/19619/KBID/12129/DFF/d10-v21-t1-x627139/SID/EZ","link*")</f>
        <v>link*</v>
      </c>
      <c r="V67" s="89" t="s">
        <v>33</v>
      </c>
      <c r="W67" s="88" t="str">
        <f>HYPERLINK("http://rover.ebay.com/rover/1/711-53200-19255-0/1?icep_ff3=9&amp;pub=5575076376&amp;toolid=10001&amp;campid=5338164340&amp;customid=&amp;icep_uq=sony+85mm+1.8+fe&amp;icep_sellerId=&amp;icep_ex_kw=&amp;icep_sortBy=12&amp;icep_catId=3323&amp;icep_minPrice=&amp;icep_maxPrice=&amp;ipn=psmain&amp;icep_vectorid="&amp;"229466&amp;kwid=902099&amp;mtid=824&amp;kw=lg","link*")</f>
        <v>link*</v>
      </c>
    </row>
    <row r="68">
      <c r="A68" s="342" t="b">
        <v>0</v>
      </c>
      <c r="B68" s="687" t="b">
        <v>0</v>
      </c>
      <c r="C68" s="131" t="str">
        <f>HYPERLINK("https://phillipreeve.net/blog/zeiss-batis-sonnar-t-85mm-f1-8-a-review/","Zeiss Batis 1.8/85")</f>
        <v>Zeiss Batis 1.8/85</v>
      </c>
      <c r="D68" s="76">
        <v>475.0</v>
      </c>
      <c r="E68" s="77">
        <v>85.0</v>
      </c>
      <c r="F68" s="78">
        <v>1.8</v>
      </c>
      <c r="G68" s="144">
        <v>92.0</v>
      </c>
      <c r="H68" s="145">
        <v>81.0</v>
      </c>
      <c r="I68" s="81" t="s">
        <v>30</v>
      </c>
      <c r="J68" s="82" t="s">
        <v>53</v>
      </c>
      <c r="K68" s="81">
        <v>0.13</v>
      </c>
      <c r="L68" s="83">
        <v>80.0</v>
      </c>
      <c r="M68" s="154" t="s">
        <v>49</v>
      </c>
      <c r="N68" s="81">
        <v>9.0</v>
      </c>
      <c r="O68" s="123">
        <v>43688.0</v>
      </c>
      <c r="P68" s="81" t="s">
        <v>58</v>
      </c>
      <c r="Q68" s="86">
        <v>42125.0</v>
      </c>
      <c r="R68" s="87">
        <v>1199.0</v>
      </c>
      <c r="S68" s="87">
        <v>750.0</v>
      </c>
      <c r="T68" s="88" t="str">
        <f>HYPERLINK("https://amzn.to/2T8oWqt","link*")</f>
        <v>link*</v>
      </c>
      <c r="U68" s="88" t="str">
        <f t="shared" si="1"/>
        <v>link*</v>
      </c>
      <c r="V68" s="89" t="s">
        <v>33</v>
      </c>
      <c r="W68" s="88" t="str">
        <f>HYPERLINK("http://rover.ebay.com/rover/1/711-53200-19255-0/1?icep_ff3=9&amp;pub=5575076376&amp;toolid=10001&amp;campid=5338164340&amp;customid=&amp;icep_uq=batis+85mm+1.8+sony&amp;icep_sellerId=&amp;icep_ex_kw=&amp;icep_sortBy=12&amp;icep_catId=3323&amp;icep_minPrice=&amp;icep_maxPrice=&amp;ipn=psmain&amp;icep_vector"&amp;"id=229466&amp;kwid=902099&amp;mtid=824&amp;kw=lg","link*")</f>
        <v>link*</v>
      </c>
    </row>
    <row r="69">
      <c r="A69" s="342" t="b">
        <v>0</v>
      </c>
      <c r="B69" s="687" t="b">
        <v>0</v>
      </c>
      <c r="C69" s="75" t="s">
        <v>129</v>
      </c>
      <c r="D69" s="76">
        <v>665.0</v>
      </c>
      <c r="E69" s="77">
        <v>85.0</v>
      </c>
      <c r="F69" s="78">
        <v>1.8</v>
      </c>
      <c r="G69" s="144">
        <v>79.0</v>
      </c>
      <c r="H69" s="145">
        <v>92.0</v>
      </c>
      <c r="I69" s="81" t="s">
        <v>24</v>
      </c>
      <c r="J69" s="82" t="s">
        <v>48</v>
      </c>
      <c r="K69" s="81">
        <v>0.13</v>
      </c>
      <c r="L69" s="83">
        <v>80.0</v>
      </c>
      <c r="M69" s="84" t="s">
        <v>26</v>
      </c>
      <c r="N69" s="81">
        <v>9.0</v>
      </c>
      <c r="O69" s="123">
        <v>43656.0</v>
      </c>
      <c r="P69" s="81" t="s">
        <v>63</v>
      </c>
      <c r="Q69" s="233">
        <v>43586.0</v>
      </c>
      <c r="R69" s="87">
        <v>299.0</v>
      </c>
      <c r="S69" s="87" t="s">
        <v>36</v>
      </c>
      <c r="T69" s="88" t="str">
        <f>HYPERLINK("https://amzn.to/2LVVOBV","link*")</f>
        <v>link*</v>
      </c>
      <c r="U69" s="88" t="str">
        <f>HYPERLINK("https://www.bhphotovideo.com/c/product/1469189-REG/viltrox_pfu_rbmh_85mm_f1_8_e_mount_85mm_f_1_8_for_sony.html/BI/19619/KBID/12129/DFF/d10-v21-t1-x954301/SID/EZ","link*")</f>
        <v>link*</v>
      </c>
      <c r="V69" s="89" t="s">
        <v>33</v>
      </c>
      <c r="W69" s="88" t="str">
        <f>HYPERLINK("http://rover.ebay.com/rover/1/711-53200-19255-0/1?icep_ff3=9&amp;pub=5575076376&amp;toolid=10001&amp;campid=5338164340&amp;customid=&amp;icep_uq=viltrox+85mm+1.8+sony+-stm&amp;icep_sellerId=&amp;icep_ex_kw=&amp;icep_sortBy=12&amp;icep_catId=3323&amp;icep_minPrice=&amp;icep_maxPrice=&amp;ipn=psmain&amp;icep"&amp;"_vectorid=229466&amp;kwid=902099&amp;mtid=824&amp;kw=lg","link*")</f>
        <v>link*</v>
      </c>
      <c r="X69" s="68" t="s">
        <v>236</v>
      </c>
    </row>
    <row r="70">
      <c r="A70" s="275" t="b">
        <v>0</v>
      </c>
      <c r="B70" s="688" t="b">
        <v>0</v>
      </c>
      <c r="C70" s="131" t="str">
        <f>HYPERLINK("https://phillipreeve.net/blog/review-viltrox-85-mm-f-1-8-stm-af-pfu-rbmh/","Viltrox PFU RBMH 85mm f/1.8 STM")</f>
        <v>Viltrox PFU RBMH 85mm f/1.8 STM</v>
      </c>
      <c r="D70" s="76">
        <v>636.0</v>
      </c>
      <c r="E70" s="77">
        <v>85.0</v>
      </c>
      <c r="F70" s="78">
        <v>1.8</v>
      </c>
      <c r="G70" s="144">
        <v>79.0</v>
      </c>
      <c r="H70" s="145">
        <v>92.0</v>
      </c>
      <c r="I70" s="81" t="s">
        <v>30</v>
      </c>
      <c r="J70" s="82" t="s">
        <v>48</v>
      </c>
      <c r="K70" s="81">
        <v>0.13</v>
      </c>
      <c r="L70" s="83">
        <v>80.0</v>
      </c>
      <c r="M70" s="84" t="s">
        <v>26</v>
      </c>
      <c r="N70" s="81">
        <v>9.0</v>
      </c>
      <c r="O70" s="123">
        <v>43656.0</v>
      </c>
      <c r="P70" s="81" t="s">
        <v>63</v>
      </c>
      <c r="Q70" s="86">
        <v>43586.0</v>
      </c>
      <c r="R70" s="87">
        <v>379.0</v>
      </c>
      <c r="S70" s="87" t="s">
        <v>36</v>
      </c>
      <c r="T70" s="88" t="str">
        <f>HYPERLINK("https://amzn.to/2SZfd5v","link*")</f>
        <v>link*</v>
      </c>
      <c r="U70" s="88" t="str">
        <f>HYPERLINK("https://www.bhphotovideo.com/c/product/1470585-REG/viltrox_pfu_rbmh_85mm_f1_8_stm_e_mount_85mm_f_1_8_lens_for.html/BI/19619/KBID/12129/DFF/d10-v21-t1-x955239/SID/EZ","link*")</f>
        <v>link*</v>
      </c>
      <c r="V70" s="89" t="s">
        <v>33</v>
      </c>
      <c r="W70" s="88" t="str">
        <f>HYPERLINK("http://rover.ebay.com/rover/1/711-53200-19255-0/1?icep_ff3=9&amp;pub=5575076376&amp;toolid=10001&amp;campid=5338164340&amp;customid=&amp;icep_uq=viltrox+85mm+1.8+sony+stm&amp;icep_sellerId=&amp;icep_ex_kw=&amp;icep_sortBy=12&amp;icep_catId=3323&amp;icep_minPrice=&amp;icep_maxPrice=&amp;ipn=psmain&amp;icep_"&amp;"vectorid=229466&amp;kwid=902099&amp;mtid=824&amp;kw=lg","link*")</f>
        <v>link*</v>
      </c>
    </row>
    <row r="71">
      <c r="A71" s="275" t="b">
        <v>0</v>
      </c>
      <c r="B71" s="688" t="b">
        <v>0</v>
      </c>
      <c r="C71" s="22" t="str">
        <f>HYPERLINK("https://phillipreeve.net/blog/rolling-review-zeiss-loxia-85mm-2-4/","Zeiss Loxia 2.4/85")</f>
        <v>Zeiss Loxia 2.4/85</v>
      </c>
      <c r="D71" s="23">
        <v>594.0</v>
      </c>
      <c r="E71" s="24">
        <v>85.0</v>
      </c>
      <c r="F71" s="25">
        <v>2.4</v>
      </c>
      <c r="G71" s="147">
        <v>63.0</v>
      </c>
      <c r="H71" s="155">
        <v>95.0</v>
      </c>
      <c r="I71" s="30" t="s">
        <v>24</v>
      </c>
      <c r="J71" s="29" t="s">
        <v>71</v>
      </c>
      <c r="K71" s="30">
        <v>0.14</v>
      </c>
      <c r="L71" s="31">
        <v>80.0</v>
      </c>
      <c r="M71" s="32" t="s">
        <v>26</v>
      </c>
      <c r="N71" s="30">
        <v>10.0</v>
      </c>
      <c r="O71" s="93">
        <v>43653.0</v>
      </c>
      <c r="P71" s="30" t="s">
        <v>58</v>
      </c>
      <c r="Q71" s="34">
        <v>42644.0</v>
      </c>
      <c r="R71" s="35">
        <v>1399.0</v>
      </c>
      <c r="S71" s="35">
        <v>850.0</v>
      </c>
      <c r="T71" s="36" t="str">
        <f>HYPERLINK("https://amzn.to/2SY4PLd","link*")</f>
        <v>link*</v>
      </c>
      <c r="U71" s="36" t="str">
        <f>HYPERLINK("https://www.bhphotovideo.com/c/product/1282150-REG/zeiss_2162_636_loxia_85mm_f_2_4_lens.html/BI/19619/KBID/12129/DFF/d10-v21-t1-x762761/SID/EZ","link*")</f>
        <v>link*</v>
      </c>
      <c r="V71" s="70" t="s">
        <v>33</v>
      </c>
      <c r="W71" s="36" t="str">
        <f>HYPERLINK("http://rover.ebay.com/rover/1/711-53200-19255-0/1?icep_ff3=9&amp;pub=5575076376&amp;toolid=10001&amp;campid=5338164340&amp;customid=&amp;icep_uq=loxia+85+sony&amp;icep_sellerId=&amp;icep_ex_kw=&amp;icep_sortBy=12&amp;icep_catId=3323&amp;icep_minPrice=&amp;icep_maxPrice=&amp;ipn=psmain&amp;icep_vectorid=229"&amp;"466&amp;kwid=902099&amp;mtid=824&amp;kw=lg","link*")</f>
        <v>link*</v>
      </c>
      <c r="X71" s="94"/>
    </row>
    <row r="72">
      <c r="A72" s="342" t="b">
        <v>0</v>
      </c>
      <c r="B72" s="687" t="b">
        <v>0</v>
      </c>
      <c r="C72" s="95" t="str">
        <f>HYPERLINK("https://phillipreeve.net/blog/review-sony-fe-90mm-f2-8-macro-oss-one-of-sonys-finest/","Sony 2.8/90 G OSS")</f>
        <v>Sony 2.8/90 G OSS</v>
      </c>
      <c r="D72" s="96">
        <v>602.0</v>
      </c>
      <c r="E72" s="97">
        <v>90.0</v>
      </c>
      <c r="F72" s="98">
        <v>2.8</v>
      </c>
      <c r="G72" s="147">
        <v>79.0</v>
      </c>
      <c r="H72" s="155">
        <v>131.0</v>
      </c>
      <c r="I72" s="103" t="s">
        <v>30</v>
      </c>
      <c r="J72" s="102" t="s">
        <v>66</v>
      </c>
      <c r="K72" s="256">
        <v>1.0</v>
      </c>
      <c r="L72" s="104">
        <v>28.0</v>
      </c>
      <c r="M72" s="257" t="s">
        <v>49</v>
      </c>
      <c r="N72" s="103">
        <v>9.0</v>
      </c>
      <c r="O72" s="204">
        <v>43784.0</v>
      </c>
      <c r="P72" s="103" t="s">
        <v>32</v>
      </c>
      <c r="Q72" s="106">
        <v>42064.0</v>
      </c>
      <c r="R72" s="107">
        <v>1099.0</v>
      </c>
      <c r="S72" s="107">
        <v>830.0</v>
      </c>
      <c r="T72" s="108" t="str">
        <f>HYPERLINK("http://amzn.to/2fbeX3x","link*")</f>
        <v>link*</v>
      </c>
      <c r="U72" s="108" t="str">
        <f>HYPERLINK("https://www.bhphotovideo.com/c/product/1380868-REG/sony_fe_90mm_f_2_8_macro.html/BI/19619/KBID/12129/kw/SO9028F/DFF/d10-v2-t1-xSO9028F","link*")</f>
        <v>link*</v>
      </c>
      <c r="V72" s="108" t="str">
        <f>HYPERLINK("http://amzn.to/2vvvHcw","link*")</f>
        <v>link*</v>
      </c>
      <c r="W72" s="108" t="str">
        <f>HYPERLINK("http://rover.ebay.com/rover/1/711-53200-19255-0/1?icep_ff3=10&amp;pub=5575076376&amp;toolid=10001&amp;campid=5338164340&amp;customid=&amp;icep_uq=sony+90+macro+oss&amp;icep_sellerId=&amp;icep_ex_kw=&amp;icep_sortBy=12&amp;icep_catId=&amp;icep_minPrice=&amp;icep_maxPrice=&amp;ipn=psmain&amp;icep_vectorid=22"&amp;"9466&amp;kwid=902099&amp;mtid=824&amp;kw=lg","link*")</f>
        <v>link*</v>
      </c>
      <c r="X72" s="94"/>
    </row>
    <row r="73">
      <c r="A73" s="342" t="b">
        <v>0</v>
      </c>
      <c r="B73" s="687" t="b">
        <v>0</v>
      </c>
      <c r="C73" s="109" t="str">
        <f>HYPERLINK("https://phillipreeve.net/blog/review-sony-fe-100-f-2-8-stf-gm-oss-lens/","Sony GM 2.8/100 STF OSS")</f>
        <v>Sony GM 2.8/100 STF OSS</v>
      </c>
      <c r="D73" s="39">
        <v>700.0</v>
      </c>
      <c r="E73" s="40">
        <v>100.0</v>
      </c>
      <c r="F73" s="41">
        <v>2.8</v>
      </c>
      <c r="G73" s="144">
        <v>85.0</v>
      </c>
      <c r="H73" s="145">
        <v>118.0</v>
      </c>
      <c r="I73" s="46" t="s">
        <v>30</v>
      </c>
      <c r="J73" s="45" t="s">
        <v>48</v>
      </c>
      <c r="K73" s="258">
        <v>0.25</v>
      </c>
      <c r="L73" s="47">
        <v>57.0</v>
      </c>
      <c r="M73" s="110" t="s">
        <v>49</v>
      </c>
      <c r="N73" s="46">
        <v>11.0</v>
      </c>
      <c r="O73" s="74">
        <v>43752.0</v>
      </c>
      <c r="P73" s="46" t="s">
        <v>32</v>
      </c>
      <c r="Q73" s="49">
        <v>42767.0</v>
      </c>
      <c r="R73" s="50">
        <v>1499.0</v>
      </c>
      <c r="S73" s="50">
        <v>1100.0</v>
      </c>
      <c r="T73" s="51" t="str">
        <f>HYPERLINK("https://amzn.to/2YD8rn4","link*")</f>
        <v>link*</v>
      </c>
      <c r="U73" s="51" t="str">
        <f>HYPERLINK("https://www.bhphotovideo.com/c/product/1317561-REG/sony_sel100f28gm_fe_100mm_f_2_8_stf.html/BI/19619/KBID/12129/DFF/d10-v21-t1-x795192/SID/EZ","link*")</f>
        <v>link*</v>
      </c>
      <c r="V73" s="146" t="s">
        <v>33</v>
      </c>
      <c r="W73" s="51" t="str">
        <f>HYPERLINK("http://rover.ebay.com/rover/1/711-53200-19255-0/1?icep_ff3=9&amp;pub=5575076376&amp;toolid=10001&amp;campid=5338164340&amp;customid=&amp;icep_uq=sony+gm+stf+100&amp;icep_sellerId=&amp;icep_ex_kw=&amp;icep_sortBy=12&amp;icep_catId=3323&amp;icep_minPrice=&amp;icep_maxPrice=&amp;ipn=psmain&amp;icep_vectorid=2"&amp;"29466&amp;kwid=902099&amp;mtid=824&amp;kw=lg","link*")</f>
        <v>link*</v>
      </c>
      <c r="X73" s="68" t="s">
        <v>132</v>
      </c>
    </row>
    <row r="74">
      <c r="A74" s="342" t="b">
        <v>0</v>
      </c>
      <c r="B74" s="687" t="b">
        <v>0</v>
      </c>
      <c r="C74" s="131" t="str">
        <f>HYPERLINK("https://phillipreeve.net/blog/review-tokina-firin-100mm-f2-8-fe-macro/","Tokina Firin 2.8/100 Macro")</f>
        <v>Tokina Firin 2.8/100 Macro</v>
      </c>
      <c r="D74" s="76">
        <v>570.0</v>
      </c>
      <c r="E74" s="77">
        <v>100.0</v>
      </c>
      <c r="F74" s="78">
        <v>2.8</v>
      </c>
      <c r="G74" s="144">
        <v>74.0</v>
      </c>
      <c r="H74" s="151">
        <v>123.0</v>
      </c>
      <c r="I74" s="81" t="s">
        <v>30</v>
      </c>
      <c r="J74" s="82" t="s">
        <v>90</v>
      </c>
      <c r="K74" s="259">
        <v>1.0</v>
      </c>
      <c r="L74" s="83">
        <v>30.0</v>
      </c>
      <c r="M74" s="84" t="s">
        <v>26</v>
      </c>
      <c r="N74" s="81">
        <v>9.0</v>
      </c>
      <c r="O74" s="123">
        <v>43686.0</v>
      </c>
      <c r="P74" s="81" t="s">
        <v>67</v>
      </c>
      <c r="Q74" s="86">
        <v>43617.0</v>
      </c>
      <c r="R74" s="129">
        <v>599.0</v>
      </c>
      <c r="S74" s="129" t="s">
        <v>36</v>
      </c>
      <c r="T74" s="88" t="str">
        <f>HYPERLINK("http://amzn.to/2fbeX3x","link*")</f>
        <v>link*</v>
      </c>
      <c r="U74" s="88" t="str">
        <f>HYPERLINK("https://www.bhphotovideo.com/c/product/1473390-REG/tokina_frn_afm100fxse_firin_100mm_f_2_8_fe.html/BI/19619/KBID/12129/kw/TO100AF/DFF/d10-v2-t1-xTO100AF","link*")</f>
        <v>link*</v>
      </c>
      <c r="V74" s="88" t="str">
        <f>HYPERLINK("https://www.amazon.de/Tokina-FiRIN-Makroobjektiv-Vollformatobjektiv-Mount/dp/B07R1KVZT9/ref=as_li_ss_tl?__mk_de_DE=%C3%85M%C3%85%C5%BD%C3%95%C3%91&amp;crid=27PITEVDHE0QD&amp;keywords=tokina+firin+100mm+f2.8+fe&amp;qid=1559375443&amp;s=ce-de&amp;sprefix=tokina+firin+100,elect"&amp;"ronics,147&amp;sr=1-1&amp;linkCode=sl1&amp;tag=phillipreevede-21&amp;linkId=4c09b31d0be3bd64b2efe254f502e267&amp;language=de_DE","link*")</f>
        <v>link*</v>
      </c>
      <c r="W74" s="88" t="str">
        <f>HYPERLINK("http://rover.ebay.com/rover/1/711-53200-19255-0/1?icep_ff3=10&amp;pub=5575076376&amp;toolid=10001&amp;campid=5338164340&amp;customid=&amp;icep_uq=tokina+firin+macro&amp;icep_sellerId=&amp;icep_ex_kw=&amp;icep_sortBy=12&amp;icep_catId=&amp;icep_minPrice=&amp;icep_maxPrice=&amp;ipn=psmain&amp;icep_vectorid=2"&amp;"29466&amp;kwid=902099&amp;mtid=824&amp;kw=lg","link*")</f>
        <v>link*</v>
      </c>
      <c r="X74" s="68" t="s">
        <v>42</v>
      </c>
    </row>
    <row r="75">
      <c r="A75" s="342" t="b">
        <v>0</v>
      </c>
      <c r="B75" s="687" t="b">
        <v>0</v>
      </c>
      <c r="C75" s="90" t="s">
        <v>135</v>
      </c>
      <c r="D75" s="23">
        <v>1395.0</v>
      </c>
      <c r="E75" s="24">
        <v>100.0</v>
      </c>
      <c r="F75" s="25" t="s">
        <v>118</v>
      </c>
      <c r="G75" s="147">
        <v>94.0</v>
      </c>
      <c r="H75" s="136">
        <v>205.0</v>
      </c>
      <c r="I75" s="30" t="s">
        <v>30</v>
      </c>
      <c r="J75" s="29" t="s">
        <v>56</v>
      </c>
      <c r="K75" s="199">
        <v>0.35</v>
      </c>
      <c r="L75" s="31">
        <v>98.0</v>
      </c>
      <c r="M75" s="156" t="s">
        <v>49</v>
      </c>
      <c r="N75" s="30">
        <v>9.0</v>
      </c>
      <c r="O75" s="228" t="s">
        <v>134</v>
      </c>
      <c r="P75" s="30" t="s">
        <v>32</v>
      </c>
      <c r="Q75" s="34">
        <v>42826.0</v>
      </c>
      <c r="R75" s="35">
        <v>2499.0</v>
      </c>
      <c r="S75" s="35">
        <v>1950.0</v>
      </c>
      <c r="T75" s="36" t="str">
        <f>HYPERLINK("https://amzn.to/2SZ0aZO","link*")</f>
        <v>link*</v>
      </c>
      <c r="U75" s="36" t="str">
        <f>HYPERLINK("https://www.bhphotovideo.com/c/product/1333230-REG/sony_sel100400gm_fe_100_400mm_f_4_5_5_6_gm.html/BI/19619/KBID/12129/DFF/d10-v21-t1-x817745/SID/EZ","link*")</f>
        <v>link*</v>
      </c>
      <c r="V75" s="70" t="s">
        <v>33</v>
      </c>
      <c r="W75" s="36" t="str">
        <f>HYPERLINK("http://rover.ebay.com/rover/1/711-53200-19255-0/1?icep_ff3=9&amp;pub=5575076376&amp;toolid=10001&amp;campid=5338164340&amp;customid=&amp;icep_uq=sony+gm+100-400&amp;icep_sellerId=&amp;icep_ex_kw=&amp;icep_sortBy=12&amp;icep_catId=3323&amp;icep_minPrice=&amp;icep_maxPrice=&amp;ipn=psmain&amp;icep_vectorid=2"&amp;"29466&amp;kwid=902099&amp;mtid=824&amp;kw=lg","link*")</f>
        <v>link*</v>
      </c>
      <c r="X75" s="94"/>
    </row>
    <row r="76" customHeight="1">
      <c r="A76" s="275" t="b">
        <v>0</v>
      </c>
      <c r="B76" s="688" t="b">
        <v>0</v>
      </c>
      <c r="C76" s="265" t="s">
        <v>136</v>
      </c>
      <c r="D76" s="96">
        <v>1720.0</v>
      </c>
      <c r="E76" s="97">
        <v>105.0</v>
      </c>
      <c r="F76" s="98">
        <v>1.4</v>
      </c>
      <c r="G76" s="147">
        <v>116.0</v>
      </c>
      <c r="H76" s="266">
        <v>157.5</v>
      </c>
      <c r="I76" s="103" t="s">
        <v>30</v>
      </c>
      <c r="J76" s="267" t="s">
        <v>137</v>
      </c>
      <c r="K76" s="103">
        <v>0.12</v>
      </c>
      <c r="L76" s="104">
        <v>100.0</v>
      </c>
      <c r="M76" s="101" t="s">
        <v>26</v>
      </c>
      <c r="N76" s="103">
        <v>9.0</v>
      </c>
      <c r="O76" s="204">
        <v>43816.0</v>
      </c>
      <c r="P76" s="103" t="s">
        <v>138</v>
      </c>
      <c r="Q76" s="106">
        <v>43221.0</v>
      </c>
      <c r="R76" s="107">
        <v>1599.0</v>
      </c>
      <c r="S76" s="107">
        <v>1200.0</v>
      </c>
      <c r="T76" s="108" t="str">
        <f>HYPERLINK("https://amzn.to/2EWeThZ","link*")</f>
        <v>link*</v>
      </c>
      <c r="U76" s="108" t="str">
        <f>HYPERLINK("https://www.bhphotovideo.com/c/product/1393488-REG/sigma_105mm_f_1_4_dg_hsm.html/BI/19619/KBID/12129/kw/SI10514SO/DFF/d10-v2-t1-xSI10514SO","link*")</f>
        <v>link*</v>
      </c>
      <c r="V76" s="108" t="str">
        <f>HYPERLINK("https://amzn.to/2WpOvTy","link*")</f>
        <v>link*</v>
      </c>
      <c r="W76" s="108" t="str">
        <f>HYPERLINK("http://rover.ebay.com/rover/1/711-53200-19255-0/1?icep_ff3=9&amp;pub=5575076376&amp;toolid=10001&amp;campid=5338164340&amp;customid=&amp;icep_uq=sigma+art+105+1.4+sony&amp;icep_sellerId=&amp;icep_ex_kw=&amp;icep_sortBy=12&amp;icep_catId=3323&amp;icep_minPrice=&amp;icep_maxPrice=&amp;ipn=psmain&amp;icep_vec"&amp;"torid=229466&amp;kwid=902099&amp;mtid=824&amp;kw=lg","link*")</f>
        <v>link*</v>
      </c>
      <c r="X76" s="37" t="s">
        <v>42</v>
      </c>
    </row>
    <row r="77" customHeight="1">
      <c r="A77" s="275" t="b">
        <v>0</v>
      </c>
      <c r="B77" s="688" t="b">
        <v>0</v>
      </c>
      <c r="C77" s="95" t="str">
        <f>HYPERLINK("https://phillipreeve.net/blog/voigtlander-110mm-f2-5-apo-review/","Voigtlander 110mm F2.5 APO Macro")</f>
        <v>Voigtlander 110mm F2.5 APO Macro</v>
      </c>
      <c r="D77" s="96">
        <v>771.0</v>
      </c>
      <c r="E77" s="97">
        <v>110.0</v>
      </c>
      <c r="F77" s="98">
        <v>2.5</v>
      </c>
      <c r="G77" s="147">
        <v>78.0</v>
      </c>
      <c r="H77" s="155">
        <v>100.0</v>
      </c>
      <c r="I77" s="103" t="s">
        <v>24</v>
      </c>
      <c r="J77" s="102" t="s">
        <v>47</v>
      </c>
      <c r="K77" s="256">
        <v>1.0</v>
      </c>
      <c r="L77" s="104">
        <v>35.0</v>
      </c>
      <c r="M77" s="101" t="s">
        <v>26</v>
      </c>
      <c r="N77" s="103">
        <v>10.0</v>
      </c>
      <c r="O77" s="204">
        <v>43813.0</v>
      </c>
      <c r="P77" s="103" t="s">
        <v>28</v>
      </c>
      <c r="Q77" s="106">
        <v>43405.0</v>
      </c>
      <c r="R77" s="107">
        <v>1099.0</v>
      </c>
      <c r="S77" s="107" t="s">
        <v>36</v>
      </c>
      <c r="T77" s="108" t="str">
        <f>HYPERLINK("https://amzn.to/2SXYsrm","link*")</f>
        <v>link*</v>
      </c>
      <c r="U77" s="108" t="str">
        <f>HYPERLINK("https://www.bhphotovideo.com/c/product/1418780-REG/voigtlander_ba349a_macro_apo_lanthar_110mm_f_2_5.html/BI/19619/KBID/12129/kw/VO11025/DFF/d10-v2-t1-xVO11025","link*")</f>
        <v>link*</v>
      </c>
      <c r="V77" s="205" t="s">
        <v>33</v>
      </c>
      <c r="W77" s="108" t="str">
        <f>HYPERLINK("http://rover.ebay.com/rover/1/711-53200-19255-0/1?icep_ff3=9&amp;pub=5575076376&amp;toolid=10001&amp;campid=5338164340&amp;customid=&amp;icep_uq=voigtlander+110mm+apo+sony&amp;icep_sellerId=&amp;icep_ex_kw=&amp;icep_sortBy=12&amp;icep_catId=3323&amp;icep_minPrice=&amp;icep_maxPrice=&amp;ipn=psmain&amp;icep"&amp;"_vectorid=229466&amp;kwid=902099&amp;mtid=824&amp;kw=lg","link*")</f>
        <v>link*</v>
      </c>
      <c r="X77" s="94"/>
    </row>
    <row r="78">
      <c r="A78" s="342" t="b">
        <v>0</v>
      </c>
      <c r="B78" s="687" t="b">
        <v>0</v>
      </c>
      <c r="C78" s="109" t="str">
        <f>HYPERLINK("https://phillipreeve.net/blog/review-sony-fe-135mm-f1-8-gm/","Sony 1.8/135 GM")</f>
        <v>Sony 1.8/135 GM</v>
      </c>
      <c r="D78" s="39">
        <v>950.0</v>
      </c>
      <c r="E78" s="40">
        <v>135.0</v>
      </c>
      <c r="F78" s="41">
        <v>1.8</v>
      </c>
      <c r="G78" s="144">
        <v>90.0</v>
      </c>
      <c r="H78" s="145">
        <v>127.0</v>
      </c>
      <c r="I78" s="46" t="s">
        <v>30</v>
      </c>
      <c r="J78" s="182" t="s">
        <v>51</v>
      </c>
      <c r="K78" s="258">
        <v>0.25</v>
      </c>
      <c r="L78" s="47">
        <v>70.0</v>
      </c>
      <c r="M78" s="44" t="s">
        <v>26</v>
      </c>
      <c r="N78" s="46">
        <v>11.0</v>
      </c>
      <c r="O78" s="74">
        <v>43751.0</v>
      </c>
      <c r="P78" s="46" t="s">
        <v>32</v>
      </c>
      <c r="Q78" s="49">
        <v>43525.0</v>
      </c>
      <c r="R78" s="50">
        <v>1899.0</v>
      </c>
      <c r="S78" s="50">
        <v>1800.0</v>
      </c>
      <c r="T78" s="51" t="str">
        <f>HYPERLINK("https://amzn.to/2WtonMJ","link*")</f>
        <v>link*</v>
      </c>
      <c r="U78" s="51" t="str">
        <f>HYPERLINK("https://www.bhphotovideo.com/c/product/1393495-REG/sigma_135mm_f_1_8_dg_hsm.html/BI/19619/KBID/12129/kw/SI13518SO/DFF/d10-v2-t1-xSI13518SO","link*")</f>
        <v>link*</v>
      </c>
      <c r="V78" s="51" t="str">
        <f>HYPERLINK("https://amzn.to/2Z9KKDE","link*")</f>
        <v>link*</v>
      </c>
      <c r="W78" s="51" t="str">
        <f>HYPERLINK("http://rover.ebay.com/rover/1/711-53200-19255-0/1?icep_ff3=9&amp;pub=5575076376&amp;toolid=10001&amp;campid=5338164340&amp;customid=&amp;icep_uq=sony+gm+135+&amp;icep_sellerId=&amp;icep_ex_kw=&amp;icep_sortBy=12&amp;icep_catId=3323&amp;icep_minPrice=&amp;icep_maxPrice=&amp;ipn=psmain&amp;icep_vectorid=2294"&amp;"66&amp;kwid=902099&amp;mtid=824&amp;kw=lg","link*")</f>
        <v>link*</v>
      </c>
    </row>
    <row r="79">
      <c r="A79" s="342" t="b">
        <v>0</v>
      </c>
      <c r="B79" s="687" t="b">
        <v>0</v>
      </c>
      <c r="C79" s="75" t="s">
        <v>142</v>
      </c>
      <c r="D79" s="76">
        <v>1225.0</v>
      </c>
      <c r="E79" s="77">
        <v>135.0</v>
      </c>
      <c r="F79" s="78">
        <v>1.8</v>
      </c>
      <c r="G79" s="144">
        <v>91.0</v>
      </c>
      <c r="H79" s="150">
        <v>140.9</v>
      </c>
      <c r="I79" s="81" t="s">
        <v>30</v>
      </c>
      <c r="J79" s="270" t="s">
        <v>51</v>
      </c>
      <c r="K79" s="81">
        <v>0.2</v>
      </c>
      <c r="L79" s="83">
        <v>87.0</v>
      </c>
      <c r="M79" s="84" t="s">
        <v>26</v>
      </c>
      <c r="N79" s="81">
        <v>9.0</v>
      </c>
      <c r="O79" s="123">
        <v>43751.0</v>
      </c>
      <c r="P79" s="81" t="s">
        <v>41</v>
      </c>
      <c r="Q79" s="86">
        <v>43221.0</v>
      </c>
      <c r="R79" s="129">
        <v>1399.0</v>
      </c>
      <c r="S79" s="129">
        <v>850.0</v>
      </c>
      <c r="T79" s="88" t="str">
        <f>HYPERLINK("https://amzn.to/2yxIM4R","link*")</f>
        <v>link*</v>
      </c>
      <c r="U79" s="88" t="str">
        <f>HYPERLINK("https://www.bhphotovideo.com/c/product/1393495-REG/sigma_135mm_f_1_8_dg_hsm.html/BI/19619/KBID/12129/DFF/d10-v21-t1-x881160/SID/EZ","link*")</f>
        <v>link*</v>
      </c>
      <c r="V79" s="89" t="s">
        <v>33</v>
      </c>
      <c r="W79" s="88" t="str">
        <f>HYPERLINK("http://rover.ebay.com/rover/1/711-53200-19255-0/1?icep_ff3=9&amp;pub=5575076376&amp;toolid=10001&amp;campid=5338164340&amp;customid=&amp;icep_uq=sigma+art+135+sony&amp;icep_sellerId=&amp;icep_ex_kw=&amp;icep_sortBy=12&amp;icep_catId=3323&amp;icep_minPrice=&amp;icep_maxPrice=&amp;ipn=psmain&amp;icep_vectori"&amp;"d=229466&amp;kwid=902099&amp;mtid=824&amp;kw=lg","link*")</f>
        <v>link*</v>
      </c>
      <c r="X79" s="68" t="s">
        <v>42</v>
      </c>
    </row>
    <row r="80">
      <c r="A80" s="275" t="b">
        <v>0</v>
      </c>
      <c r="B80" s="688" t="b">
        <v>0</v>
      </c>
      <c r="C80" s="22" t="str">
        <f>HYPERLINK("https://phillipreeve.net/blog/zeiss-batis-apo-sonnar-t-135mm-f2-8/","Zeiss 2.8/135 APO")</f>
        <v>Zeiss 2.8/135 APO</v>
      </c>
      <c r="D80" s="23">
        <v>614.0</v>
      </c>
      <c r="E80" s="24">
        <v>135.0</v>
      </c>
      <c r="F80" s="25">
        <v>2.8</v>
      </c>
      <c r="G80" s="147">
        <v>99.0</v>
      </c>
      <c r="H80" s="155">
        <v>120.0</v>
      </c>
      <c r="I80" s="30" t="s">
        <v>30</v>
      </c>
      <c r="J80" s="29" t="s">
        <v>53</v>
      </c>
      <c r="K80" s="30">
        <v>0.19</v>
      </c>
      <c r="L80" s="31">
        <v>87.0</v>
      </c>
      <c r="M80" s="156" t="s">
        <v>49</v>
      </c>
      <c r="N80" s="30">
        <v>9.0</v>
      </c>
      <c r="O80" s="93">
        <v>43783.0</v>
      </c>
      <c r="P80" s="30" t="s">
        <v>58</v>
      </c>
      <c r="Q80" s="34">
        <v>42826.0</v>
      </c>
      <c r="R80" s="35">
        <v>1699.0</v>
      </c>
      <c r="S80" s="35">
        <v>1000.0</v>
      </c>
      <c r="T80" s="36" t="str">
        <f>HYPERLINK("https://amzn.to/319GJA4","link*")</f>
        <v>link*</v>
      </c>
      <c r="U80" s="36" t="str">
        <f>HYPERLINK("https://www.bhphotovideo.com/c/product/1330083-REG/zeiss_2136_695_batis_135mm_f_2_8_lens.html/BI/19619/KBID/12129/DFF/d10-v21-t1-x814884/SID/EZ","link*")</f>
        <v>link*</v>
      </c>
      <c r="V80" s="70" t="s">
        <v>33</v>
      </c>
      <c r="W80" s="36" t="str">
        <f>HYPERLINK("http://rover.ebay.com/rover/1/711-53200-19255-0/1?icep_ff3=9&amp;pub=5575076376&amp;toolid=10001&amp;campid=5338164340&amp;customid=&amp;icep_uq=zeiss+batis+135+2.8&amp;icep_sellerId=&amp;icep_ex_kw=&amp;icep_sortBy=12&amp;icep_catId=3323&amp;icep_minPrice=&amp;icep_maxPrice=&amp;ipn=psmain&amp;icep_vector"&amp;"id=229466&amp;kwid=902099&amp;mtid=824&amp;kw=lg","link*")</f>
        <v>link*</v>
      </c>
      <c r="X80" s="94"/>
    </row>
    <row r="81">
      <c r="A81" s="342" t="b">
        <v>0</v>
      </c>
      <c r="B81" s="687" t="b">
        <v>0</v>
      </c>
      <c r="C81" s="265" t="s">
        <v>144</v>
      </c>
      <c r="D81" s="96">
        <v>2215.0</v>
      </c>
      <c r="E81" s="97">
        <v>200.0</v>
      </c>
      <c r="F81" s="98" t="s">
        <v>145</v>
      </c>
      <c r="G81" s="147">
        <v>112.0</v>
      </c>
      <c r="H81" s="155">
        <v>318.0</v>
      </c>
      <c r="I81" s="103" t="s">
        <v>30</v>
      </c>
      <c r="J81" s="271" t="s">
        <v>92</v>
      </c>
      <c r="K81" s="103">
        <v>0.2</v>
      </c>
      <c r="L81" s="104">
        <v>240.0</v>
      </c>
      <c r="M81" s="257" t="s">
        <v>49</v>
      </c>
      <c r="N81" s="103">
        <v>11.0</v>
      </c>
      <c r="O81" s="272" t="s">
        <v>146</v>
      </c>
      <c r="P81" s="103" t="s">
        <v>32</v>
      </c>
      <c r="Q81" s="106">
        <v>43647.0</v>
      </c>
      <c r="R81" s="107">
        <v>1999.0</v>
      </c>
      <c r="S81" s="107" t="s">
        <v>36</v>
      </c>
      <c r="T81" s="205"/>
      <c r="U81" s="108" t="str">
        <f>HYPERLINK("https://www.bhphotovideo.com/c/product/1485540-REG/sony_sel200600g_fe_200_600mm_f_5_6_6_3_g.html/BI/19619/KBID/12129/DFF/d10-v21-t1-x968882/SID/EZ","link*")</f>
        <v>link*</v>
      </c>
      <c r="V81" s="205" t="s">
        <v>33</v>
      </c>
      <c r="W81" s="108" t="str">
        <f>HYPERLINK("http://rover.ebay.com/rover/1/711-53200-19255-0/1?icep_ff3=9&amp;pub=5575076376&amp;toolid=10001&amp;campid=5338164340&amp;customid=&amp;icep_uq=sony+200-600&amp;icep_sellerId=&amp;icep_ex_kw=&amp;icep_sortBy=12&amp;icep_catId=3323&amp;icep_minPrice=&amp;icep_maxPrice=&amp;ipn=psmain&amp;icep_vectorid=2294"&amp;"66&amp;kwid=902099&amp;mtid=824&amp;kw=lg","link*")</f>
        <v>link*</v>
      </c>
      <c r="X81" s="94"/>
    </row>
    <row r="82">
      <c r="A82" s="275" t="b">
        <v>0</v>
      </c>
      <c r="B82" s="688" t="b">
        <v>0</v>
      </c>
      <c r="C82" s="265" t="s">
        <v>147</v>
      </c>
      <c r="D82" s="96">
        <v>2895.0</v>
      </c>
      <c r="E82" s="97">
        <v>400.0</v>
      </c>
      <c r="F82" s="98">
        <v>2.8</v>
      </c>
      <c r="G82" s="147">
        <v>158.0</v>
      </c>
      <c r="H82" s="155">
        <v>359.0</v>
      </c>
      <c r="I82" s="103" t="s">
        <v>30</v>
      </c>
      <c r="J82" s="102" t="s">
        <v>148</v>
      </c>
      <c r="K82" s="103">
        <v>0.16</v>
      </c>
      <c r="L82" s="104">
        <v>270.0</v>
      </c>
      <c r="M82" s="257" t="s">
        <v>49</v>
      </c>
      <c r="N82" s="103">
        <v>11.0</v>
      </c>
      <c r="O82" s="272" t="s">
        <v>149</v>
      </c>
      <c r="P82" s="103" t="s">
        <v>32</v>
      </c>
      <c r="Q82" s="106">
        <v>43313.0</v>
      </c>
      <c r="R82" s="107">
        <v>11999.0</v>
      </c>
      <c r="S82" s="107" t="s">
        <v>36</v>
      </c>
      <c r="T82" s="205"/>
      <c r="U82" s="108" t="str">
        <f>HYPERLINK("https://www.bhphotovideo.com/c/product/1369634-REG/sony_fe_400mm_f_2_8_gm.html/BI/19619/KBID/12129/DFF/d10-v21-t1-x905722/SID/EZ","link*")</f>
        <v>link*</v>
      </c>
      <c r="V82" s="205" t="s">
        <v>33</v>
      </c>
      <c r="W82" s="108" t="str">
        <f>HYPERLINK("http://rover.ebay.com/rover/1/711-53200-19255-0/1?icep_ff3=9&amp;pub=5575076376&amp;toolid=10001&amp;campid=5338164340&amp;customid=&amp;icep_uq=sony+400+gm&amp;icep_sellerId=&amp;icep_ex_kw=&amp;icep_sortBy=12&amp;icep_catId=3323&amp;icep_minPrice=&amp;icep_maxPrice=&amp;ipn=psmain&amp;icep_vectorid=22946"&amp;"6&amp;kwid=902099&amp;mtid=824&amp;kw=lg","link*")</f>
        <v>link*</v>
      </c>
      <c r="X82" s="94"/>
    </row>
    <row r="83">
      <c r="A83" s="275" t="b">
        <v>0</v>
      </c>
      <c r="B83" s="688" t="b">
        <v>0</v>
      </c>
      <c r="C83" s="53" t="s">
        <v>150</v>
      </c>
      <c r="D83" s="54">
        <v>3040.0</v>
      </c>
      <c r="E83" s="55">
        <v>600.0</v>
      </c>
      <c r="F83" s="56">
        <v>4.0</v>
      </c>
      <c r="G83" s="144">
        <v>164.0</v>
      </c>
      <c r="H83" s="145">
        <v>449.0</v>
      </c>
      <c r="I83" s="61" t="s">
        <v>30</v>
      </c>
      <c r="J83" s="60" t="s">
        <v>25</v>
      </c>
      <c r="K83" s="61">
        <v>0.14</v>
      </c>
      <c r="L83" s="62">
        <v>451.0</v>
      </c>
      <c r="M83" s="110" t="s">
        <v>49</v>
      </c>
      <c r="N83" s="61">
        <v>11.0</v>
      </c>
      <c r="O83" s="274" t="s">
        <v>151</v>
      </c>
      <c r="P83" s="61" t="s">
        <v>32</v>
      </c>
      <c r="Q83" s="64">
        <v>43678.0</v>
      </c>
      <c r="R83" s="65" t="s">
        <v>230</v>
      </c>
      <c r="S83" s="65" t="s">
        <v>36</v>
      </c>
      <c r="T83" s="146"/>
      <c r="U83" s="51" t="str">
        <f>HYPERLINK("https://www.bhphotovideo.com/c/product/1485539-REG/sony_sel600f40gm_fe_600mm_f_4_gm.html/BI/19619/KBID/12129/DFF/d10-v21-t1-x968881/SID/EZ","link*")</f>
        <v>link*</v>
      </c>
      <c r="V83" s="146" t="s">
        <v>33</v>
      </c>
      <c r="W83" s="51" t="str">
        <f>HYPERLINK("http://rover.ebay.com/rover/1/711-53200-19255-0/1?icep_ff3=9&amp;pub=5575076376&amp;toolid=10001&amp;campid=5338164340&amp;customid=&amp;icep_uq=sony+600+gm&amp;icep_sellerId=&amp;icep_ex_kw=&amp;icep_sortBy=12&amp;icep_catId=3323&amp;icep_minPrice=&amp;icep_maxPrice=&amp;ipn=psmain&amp;icep_vectorid=22946"&amp;"6&amp;kwid=902099&amp;mtid=824&amp;kw=lg","link*")</f>
        <v>link*</v>
      </c>
    </row>
    <row r="84" hidden="1">
      <c r="A84" s="275" t="b">
        <v>0</v>
      </c>
      <c r="B84" s="688" t="b">
        <v>0</v>
      </c>
      <c r="C84" s="275"/>
      <c r="D84" s="276"/>
      <c r="E84" s="277"/>
      <c r="F84" s="278"/>
      <c r="G84" s="144"/>
      <c r="H84" s="145"/>
      <c r="I84" s="68"/>
      <c r="J84" s="279"/>
      <c r="K84" s="68"/>
      <c r="L84" s="280"/>
      <c r="M84" s="68"/>
      <c r="N84" s="68"/>
      <c r="O84" s="68"/>
      <c r="P84" s="68"/>
      <c r="Q84" s="281"/>
      <c r="R84" s="282"/>
      <c r="S84" s="282"/>
      <c r="T84" s="283"/>
      <c r="U84" s="283"/>
      <c r="V84" s="283"/>
      <c r="W84" s="283"/>
    </row>
    <row r="85" hidden="1">
      <c r="A85" s="275"/>
      <c r="B85" s="275"/>
      <c r="C85" s="275"/>
      <c r="D85" s="276"/>
      <c r="E85" s="277"/>
      <c r="F85" s="278"/>
      <c r="G85" s="144"/>
      <c r="H85" s="145"/>
      <c r="I85" s="68"/>
      <c r="J85" s="279"/>
      <c r="K85" s="68"/>
      <c r="L85" s="280"/>
      <c r="M85" s="68"/>
      <c r="N85" s="68"/>
      <c r="O85" s="68"/>
      <c r="P85" s="68"/>
      <c r="Q85" s="281"/>
      <c r="R85" s="282"/>
      <c r="S85" s="282"/>
      <c r="T85" s="283"/>
      <c r="U85" s="283"/>
      <c r="V85" s="283"/>
      <c r="W85" s="283"/>
    </row>
    <row r="86" hidden="1">
      <c r="A86" s="275"/>
      <c r="B86" s="275"/>
      <c r="C86" s="275"/>
      <c r="D86" s="276"/>
      <c r="E86" s="277"/>
      <c r="F86" s="278"/>
      <c r="G86" s="144"/>
      <c r="H86" s="145"/>
      <c r="I86" s="68"/>
      <c r="J86" s="279"/>
      <c r="K86" s="68"/>
      <c r="L86" s="280"/>
      <c r="M86" s="68"/>
      <c r="N86" s="68"/>
      <c r="O86" s="68"/>
      <c r="P86" s="68"/>
      <c r="Q86" s="281"/>
      <c r="R86" s="282"/>
      <c r="S86" s="282"/>
      <c r="T86" s="283"/>
      <c r="U86" s="283"/>
      <c r="V86" s="283"/>
      <c r="W86" s="283"/>
    </row>
    <row r="87" hidden="1">
      <c r="A87" s="275"/>
      <c r="B87" s="275"/>
      <c r="C87" s="275"/>
      <c r="D87" s="276"/>
      <c r="E87" s="277"/>
      <c r="F87" s="278"/>
      <c r="G87" s="144"/>
      <c r="H87" s="145"/>
      <c r="I87" s="68"/>
      <c r="J87" s="279"/>
      <c r="K87" s="68"/>
      <c r="L87" s="280"/>
      <c r="M87" s="68"/>
      <c r="N87" s="68"/>
      <c r="O87" s="68"/>
      <c r="P87" s="68"/>
      <c r="Q87" s="281"/>
      <c r="R87" s="282"/>
      <c r="S87" s="282"/>
      <c r="T87" s="283"/>
      <c r="U87" s="283"/>
      <c r="V87" s="283"/>
      <c r="W87" s="283"/>
    </row>
    <row r="88" hidden="1">
      <c r="A88" s="275"/>
      <c r="B88" s="275"/>
      <c r="C88" s="275"/>
      <c r="D88" s="276"/>
      <c r="E88" s="277"/>
      <c r="F88" s="278"/>
      <c r="G88" s="144"/>
      <c r="H88" s="151"/>
      <c r="I88" s="68"/>
      <c r="J88" s="279"/>
      <c r="K88" s="68"/>
      <c r="L88" s="280"/>
      <c r="M88" s="68"/>
      <c r="N88" s="68"/>
      <c r="O88" s="68"/>
      <c r="P88" s="68"/>
      <c r="Q88" s="281"/>
      <c r="R88" s="282"/>
      <c r="S88" s="282"/>
      <c r="T88" s="283"/>
      <c r="U88" s="283"/>
      <c r="V88" s="283"/>
      <c r="W88" s="283"/>
    </row>
    <row r="89" hidden="1">
      <c r="A89" s="275"/>
      <c r="B89" s="275"/>
      <c r="C89" s="275"/>
      <c r="D89" s="276"/>
      <c r="E89" s="277"/>
      <c r="F89" s="278"/>
      <c r="G89" s="144"/>
      <c r="H89" s="145"/>
      <c r="I89" s="68"/>
      <c r="J89" s="279"/>
      <c r="K89" s="68"/>
      <c r="L89" s="280"/>
      <c r="M89" s="68"/>
      <c r="N89" s="68"/>
      <c r="O89" s="68"/>
      <c r="P89" s="68"/>
      <c r="Q89" s="281"/>
      <c r="R89" s="282"/>
      <c r="S89" s="282"/>
      <c r="T89" s="283"/>
      <c r="U89" s="283"/>
      <c r="V89" s="283"/>
      <c r="W89" s="283"/>
    </row>
    <row r="90" hidden="1">
      <c r="A90" s="275"/>
      <c r="B90" s="275"/>
      <c r="C90" s="275"/>
      <c r="D90" s="276"/>
      <c r="E90" s="277"/>
      <c r="F90" s="278"/>
      <c r="G90" s="144"/>
      <c r="H90" s="145"/>
      <c r="I90" s="68"/>
      <c r="J90" s="279"/>
      <c r="K90" s="68"/>
      <c r="L90" s="280"/>
      <c r="M90" s="68"/>
      <c r="N90" s="68"/>
      <c r="O90" s="68"/>
      <c r="P90" s="68"/>
      <c r="Q90" s="281"/>
      <c r="R90" s="282"/>
      <c r="S90" s="282"/>
      <c r="T90" s="283"/>
      <c r="U90" s="283"/>
      <c r="V90" s="283"/>
      <c r="W90" s="283"/>
    </row>
    <row r="91" hidden="1">
      <c r="A91" s="275"/>
      <c r="B91" s="275"/>
      <c r="C91" s="275"/>
      <c r="D91" s="276"/>
      <c r="E91" s="277"/>
      <c r="F91" s="278"/>
      <c r="G91" s="144"/>
      <c r="H91" s="145"/>
      <c r="I91" s="68"/>
      <c r="J91" s="279"/>
      <c r="K91" s="68"/>
      <c r="L91" s="280"/>
      <c r="M91" s="68"/>
      <c r="N91" s="68"/>
      <c r="O91" s="68"/>
      <c r="P91" s="68"/>
      <c r="Q91" s="281"/>
      <c r="R91" s="282"/>
      <c r="S91" s="282"/>
      <c r="T91" s="283"/>
      <c r="U91" s="283"/>
      <c r="V91" s="283"/>
      <c r="W91" s="283"/>
    </row>
    <row r="92" hidden="1">
      <c r="A92" s="275"/>
      <c r="B92" s="275"/>
      <c r="C92" s="275"/>
      <c r="D92" s="276"/>
      <c r="E92" s="277"/>
      <c r="F92" s="278"/>
      <c r="G92" s="144"/>
      <c r="H92" s="145"/>
      <c r="I92" s="68"/>
      <c r="J92" s="279"/>
      <c r="K92" s="68"/>
      <c r="L92" s="280"/>
      <c r="M92" s="68"/>
      <c r="N92" s="68"/>
      <c r="O92" s="68"/>
      <c r="P92" s="68"/>
      <c r="Q92" s="281"/>
      <c r="R92" s="282"/>
      <c r="S92" s="282"/>
      <c r="T92" s="283"/>
      <c r="U92" s="283"/>
      <c r="V92" s="283"/>
      <c r="W92" s="283"/>
    </row>
    <row r="93" hidden="1">
      <c r="A93" s="275"/>
      <c r="B93" s="275"/>
      <c r="C93" s="275"/>
      <c r="D93" s="276"/>
      <c r="E93" s="277"/>
      <c r="F93" s="278"/>
      <c r="G93" s="144"/>
      <c r="H93" s="145"/>
      <c r="I93" s="68"/>
      <c r="J93" s="279"/>
      <c r="K93" s="68"/>
      <c r="L93" s="280"/>
      <c r="M93" s="68"/>
      <c r="N93" s="68"/>
      <c r="O93" s="68"/>
      <c r="P93" s="68"/>
      <c r="Q93" s="281"/>
      <c r="R93" s="282"/>
      <c r="S93" s="282"/>
      <c r="T93" s="283"/>
      <c r="U93" s="283"/>
      <c r="V93" s="283"/>
      <c r="W93" s="283"/>
    </row>
    <row r="94" hidden="1">
      <c r="A94" s="275"/>
      <c r="B94" s="275"/>
      <c r="C94" s="275"/>
      <c r="D94" s="276"/>
      <c r="E94" s="277"/>
      <c r="F94" s="278"/>
      <c r="G94" s="144"/>
      <c r="H94" s="151"/>
      <c r="I94" s="68"/>
      <c r="J94" s="279"/>
      <c r="K94" s="68"/>
      <c r="L94" s="280"/>
      <c r="M94" s="68"/>
      <c r="N94" s="68"/>
      <c r="O94" s="68"/>
      <c r="P94" s="68"/>
      <c r="Q94" s="281"/>
      <c r="R94" s="282"/>
      <c r="S94" s="282"/>
      <c r="T94" s="283"/>
      <c r="U94" s="283"/>
      <c r="V94" s="283"/>
      <c r="W94" s="283"/>
    </row>
    <row r="95" hidden="1">
      <c r="A95" s="275"/>
      <c r="B95" s="275"/>
      <c r="C95" s="275"/>
      <c r="D95" s="276"/>
      <c r="E95" s="277"/>
      <c r="F95" s="278"/>
      <c r="G95" s="144"/>
      <c r="H95" s="145"/>
      <c r="I95" s="68"/>
      <c r="J95" s="279"/>
      <c r="K95" s="68"/>
      <c r="L95" s="280"/>
      <c r="M95" s="68"/>
      <c r="N95" s="68"/>
      <c r="O95" s="68"/>
      <c r="P95" s="68"/>
      <c r="Q95" s="281"/>
      <c r="R95" s="282"/>
      <c r="S95" s="282"/>
      <c r="T95" s="283"/>
      <c r="U95" s="283"/>
      <c r="V95" s="283"/>
      <c r="W95" s="283"/>
    </row>
    <row r="96" hidden="1">
      <c r="A96" s="275"/>
      <c r="B96" s="275"/>
      <c r="C96" s="275"/>
      <c r="D96" s="276"/>
      <c r="E96" s="277"/>
      <c r="F96" s="278"/>
      <c r="G96" s="175"/>
      <c r="H96" s="176"/>
      <c r="I96" s="68"/>
      <c r="J96" s="279"/>
      <c r="K96" s="68"/>
      <c r="L96" s="280"/>
      <c r="M96" s="68"/>
      <c r="N96" s="68"/>
      <c r="O96" s="68"/>
      <c r="P96" s="68"/>
      <c r="Q96" s="281"/>
      <c r="R96" s="282"/>
      <c r="S96" s="282"/>
      <c r="T96" s="283"/>
      <c r="U96" s="283"/>
      <c r="V96" s="283"/>
      <c r="W96" s="283"/>
    </row>
    <row r="97" hidden="1">
      <c r="A97" s="275"/>
      <c r="B97" s="275"/>
      <c r="C97" s="275"/>
      <c r="D97" s="276"/>
      <c r="E97" s="277"/>
      <c r="F97" s="278"/>
      <c r="G97" s="284"/>
      <c r="H97" s="284"/>
      <c r="I97" s="68"/>
      <c r="J97" s="279"/>
      <c r="K97" s="68"/>
      <c r="L97" s="280"/>
      <c r="M97" s="68"/>
      <c r="N97" s="68"/>
      <c r="O97" s="68"/>
      <c r="P97" s="68"/>
      <c r="Q97" s="281"/>
      <c r="R97" s="282"/>
      <c r="S97" s="282"/>
      <c r="T97" s="283"/>
      <c r="U97" s="283"/>
      <c r="V97" s="283"/>
      <c r="W97" s="283"/>
    </row>
    <row r="98" hidden="1">
      <c r="A98" s="275"/>
      <c r="B98" s="275"/>
      <c r="C98" s="275"/>
      <c r="D98" s="276"/>
      <c r="E98" s="277"/>
      <c r="F98" s="278"/>
      <c r="G98" s="284"/>
      <c r="H98" s="284"/>
      <c r="I98" s="68"/>
      <c r="J98" s="279"/>
      <c r="K98" s="68"/>
      <c r="L98" s="280"/>
      <c r="M98" s="68"/>
      <c r="N98" s="68"/>
      <c r="O98" s="68"/>
      <c r="P98" s="68"/>
      <c r="Q98" s="281"/>
      <c r="R98" s="282"/>
      <c r="S98" s="282"/>
      <c r="T98" s="283"/>
      <c r="U98" s="283"/>
      <c r="V98" s="283"/>
      <c r="W98" s="283"/>
    </row>
    <row r="99" hidden="1">
      <c r="A99" s="275"/>
      <c r="B99" s="275"/>
      <c r="C99" s="275"/>
      <c r="D99" s="276"/>
      <c r="E99" s="277"/>
      <c r="F99" s="278"/>
      <c r="G99" s="284"/>
      <c r="H99" s="284"/>
      <c r="I99" s="68"/>
      <c r="J99" s="279"/>
      <c r="K99" s="68"/>
      <c r="L99" s="280"/>
      <c r="M99" s="68"/>
      <c r="N99" s="68"/>
      <c r="O99" s="68"/>
      <c r="P99" s="68"/>
      <c r="Q99" s="281"/>
      <c r="R99" s="282"/>
      <c r="S99" s="282"/>
      <c r="T99" s="283"/>
      <c r="U99" s="283"/>
      <c r="V99" s="283"/>
      <c r="W99" s="283"/>
    </row>
    <row r="100" hidden="1">
      <c r="A100" s="275"/>
      <c r="B100" s="275"/>
      <c r="C100" s="275"/>
      <c r="D100" s="276"/>
      <c r="E100" s="277"/>
      <c r="F100" s="278"/>
      <c r="G100" s="284"/>
      <c r="H100" s="284"/>
      <c r="I100" s="68"/>
      <c r="J100" s="279"/>
      <c r="K100" s="68"/>
      <c r="L100" s="280"/>
      <c r="M100" s="68"/>
      <c r="N100" s="68"/>
      <c r="O100" s="68"/>
      <c r="P100" s="68"/>
      <c r="Q100" s="281"/>
      <c r="R100" s="282"/>
      <c r="S100" s="282"/>
      <c r="T100" s="283"/>
      <c r="U100" s="283"/>
      <c r="V100" s="283"/>
      <c r="W100" s="283"/>
    </row>
    <row r="101" hidden="1">
      <c r="A101" s="275"/>
      <c r="B101" s="275"/>
      <c r="C101" s="275"/>
      <c r="D101" s="276"/>
      <c r="E101" s="277"/>
      <c r="F101" s="278"/>
      <c r="G101" s="284"/>
      <c r="H101" s="284"/>
      <c r="I101" s="68"/>
      <c r="J101" s="279"/>
      <c r="K101" s="68"/>
      <c r="L101" s="280"/>
      <c r="M101" s="68"/>
      <c r="N101" s="68"/>
      <c r="O101" s="68"/>
      <c r="P101" s="68"/>
      <c r="Q101" s="281"/>
      <c r="R101" s="282"/>
      <c r="S101" s="282"/>
      <c r="T101" s="283"/>
      <c r="U101" s="283"/>
      <c r="V101" s="283"/>
      <c r="W101" s="283"/>
    </row>
    <row r="102" hidden="1">
      <c r="A102" s="275"/>
      <c r="B102" s="275"/>
      <c r="C102" s="275"/>
      <c r="D102" s="276"/>
      <c r="E102" s="277"/>
      <c r="F102" s="278"/>
      <c r="G102" s="284"/>
      <c r="H102" s="284"/>
      <c r="I102" s="68"/>
      <c r="J102" s="279"/>
      <c r="K102" s="68"/>
      <c r="L102" s="280"/>
      <c r="M102" s="68"/>
      <c r="N102" s="68"/>
      <c r="O102" s="68"/>
      <c r="P102" s="68"/>
      <c r="Q102" s="281"/>
      <c r="R102" s="282"/>
      <c r="S102" s="282"/>
      <c r="T102" s="283"/>
      <c r="U102" s="283"/>
      <c r="V102" s="283"/>
      <c r="W102" s="283"/>
    </row>
    <row r="103" hidden="1">
      <c r="A103" s="275"/>
      <c r="B103" s="275"/>
      <c r="C103" s="275"/>
      <c r="D103" s="276"/>
      <c r="E103" s="277"/>
      <c r="F103" s="278"/>
      <c r="G103" s="284"/>
      <c r="H103" s="284"/>
      <c r="I103" s="68"/>
      <c r="J103" s="279"/>
      <c r="K103" s="68"/>
      <c r="L103" s="280"/>
      <c r="M103" s="68"/>
      <c r="N103" s="68"/>
      <c r="O103" s="68"/>
      <c r="P103" s="68"/>
      <c r="Q103" s="281"/>
      <c r="R103" s="282"/>
      <c r="S103" s="282"/>
      <c r="T103" s="283"/>
      <c r="U103" s="283"/>
      <c r="V103" s="283"/>
      <c r="W103" s="283"/>
    </row>
    <row r="104">
      <c r="A104" s="275"/>
      <c r="B104" s="275"/>
      <c r="C104" s="285" t="s">
        <v>152</v>
      </c>
      <c r="D104" s="286"/>
      <c r="E104" s="285"/>
      <c r="F104" s="285"/>
      <c r="G104" s="287"/>
      <c r="H104" s="288"/>
      <c r="I104" s="285"/>
      <c r="J104" s="289"/>
      <c r="K104" s="285"/>
      <c r="L104" s="285"/>
      <c r="M104" s="285"/>
      <c r="N104" s="285"/>
      <c r="O104" s="285"/>
      <c r="P104" s="285"/>
      <c r="Q104" s="285"/>
      <c r="R104" s="285"/>
      <c r="S104" s="285"/>
      <c r="T104" s="290"/>
      <c r="U104" s="290"/>
      <c r="V104" s="290"/>
      <c r="W104" s="290"/>
    </row>
    <row r="105">
      <c r="A105" s="275"/>
      <c r="B105" s="275"/>
      <c r="C105" s="291" t="s">
        <v>153</v>
      </c>
      <c r="D105" s="292">
        <f>Count(E2:E102)</f>
        <v>81</v>
      </c>
      <c r="F105" s="68"/>
      <c r="G105" s="284"/>
      <c r="H105" s="293"/>
      <c r="I105" s="68"/>
      <c r="J105" s="279"/>
      <c r="K105" s="68"/>
      <c r="L105" s="68"/>
      <c r="M105" s="68"/>
      <c r="N105" s="68"/>
      <c r="O105" s="68"/>
      <c r="P105" s="68"/>
      <c r="Q105" s="68"/>
      <c r="R105" s="68"/>
      <c r="S105" s="68"/>
      <c r="T105" s="283"/>
      <c r="U105" s="283"/>
      <c r="V105" s="283"/>
      <c r="W105" s="283"/>
    </row>
    <row r="106">
      <c r="A106" s="691"/>
      <c r="B106" s="691" t="str">
        <f>IFERROR(__xludf.DUMMYFUNCTION("Query(B5:X47, ""where A = TRUE"",1)"),"#VALUE!")</f>
        <v>#VALUE!</v>
      </c>
      <c r="C106" s="294" t="s">
        <v>317</v>
      </c>
      <c r="G106" s="284"/>
      <c r="H106" s="293"/>
      <c r="J106" s="295"/>
      <c r="T106" s="283"/>
      <c r="U106" s="283"/>
      <c r="V106" s="283"/>
      <c r="W106" s="283"/>
    </row>
    <row r="107">
      <c r="A107" s="275"/>
      <c r="B107" s="275"/>
      <c r="C107" s="275"/>
      <c r="D107" s="68"/>
      <c r="E107" s="68"/>
      <c r="F107" s="68"/>
      <c r="G107" s="284"/>
      <c r="H107" s="293"/>
      <c r="I107" s="68"/>
      <c r="J107" s="279"/>
      <c r="K107" s="68"/>
      <c r="L107" s="68"/>
      <c r="M107" s="68"/>
      <c r="N107" s="68"/>
      <c r="O107" s="68"/>
      <c r="P107" s="68"/>
      <c r="Q107" s="68"/>
      <c r="R107" s="68"/>
      <c r="S107" s="68"/>
      <c r="T107" s="283"/>
      <c r="U107" s="283"/>
      <c r="V107" s="283"/>
      <c r="W107" s="283"/>
    </row>
    <row r="108">
      <c r="A108" s="275"/>
      <c r="B108" s="275"/>
      <c r="C108" s="296" t="str">
        <f>HYPERLINK("https://phillipreeve.net/blog/sony-fe-lenses/fe-list/","If you have a question or want to report any mistake please leave a comment on the blog.")</f>
        <v>If you have a question or want to report any mistake please leave a comment on the blog.</v>
      </c>
      <c r="D108" s="297"/>
      <c r="E108" s="297"/>
      <c r="F108" s="297"/>
      <c r="G108" s="298"/>
      <c r="H108" s="299"/>
      <c r="I108" s="297"/>
      <c r="J108" s="300"/>
      <c r="K108" s="297"/>
      <c r="R108" s="297"/>
      <c r="S108" s="297"/>
      <c r="T108" s="283"/>
      <c r="U108" s="283"/>
      <c r="V108" s="283"/>
      <c r="W108" s="283"/>
    </row>
    <row r="109">
      <c r="A109" s="275"/>
      <c r="B109" s="275"/>
      <c r="G109" s="284"/>
      <c r="H109" s="293"/>
      <c r="J109" s="295"/>
      <c r="T109" s="283"/>
      <c r="U109" s="283"/>
      <c r="V109" s="283"/>
      <c r="W109" s="283"/>
    </row>
    <row r="110">
      <c r="A110" s="275"/>
      <c r="B110" s="275"/>
      <c r="C110" s="275" t="s">
        <v>155</v>
      </c>
      <c r="G110" s="284"/>
      <c r="H110" s="293"/>
      <c r="J110" s="295"/>
      <c r="T110" s="283"/>
      <c r="U110" s="283"/>
      <c r="V110" s="283"/>
      <c r="W110" s="283"/>
    </row>
    <row r="111">
      <c r="A111" s="275"/>
      <c r="B111" s="275"/>
      <c r="C111" s="301" t="str">
        <f>HYPERLINK("https://phillipreeve.net/blog/fe-lenses-sony-comprehensive-independent-guide/","Our Guide to FE-mount lenses - If you need any help on finding the right lens.")</f>
        <v>Our Guide to FE-mount lenses - If you need any help on finding the right lens.</v>
      </c>
      <c r="G111" s="284"/>
      <c r="H111" s="293"/>
      <c r="J111" s="295"/>
      <c r="T111" s="283"/>
      <c r="U111" s="283"/>
      <c r="V111" s="283"/>
      <c r="W111" s="283"/>
    </row>
    <row r="112">
      <c r="A112" s="275"/>
      <c r="B112" s="275"/>
      <c r="C112" s="301" t="str">
        <f>HYPERLINK("https://phillipreeve.net/blog/9-golden-rules-to-buy-the-wrong-lens/","10 golden rules to buy the wrong lens.")</f>
        <v>10 golden rules to buy the wrong lens.</v>
      </c>
      <c r="G112" s="284"/>
      <c r="H112" s="293"/>
      <c r="J112" s="295"/>
      <c r="T112" s="283"/>
      <c r="U112" s="283"/>
      <c r="V112" s="283"/>
      <c r="W112" s="283"/>
    </row>
    <row r="113">
      <c r="A113" s="275"/>
      <c r="B113" s="275"/>
      <c r="C113" s="301" t="str">
        <f>HYPERLINK("https://phillipreeve.net/blog/user-guide-ultra-wideangle-lenses-sony-alpha-7-series/","Our Guide to Ultra-Wideangle lenses")</f>
        <v>Our Guide to Ultra-Wideangle lenses</v>
      </c>
      <c r="G113" s="284"/>
      <c r="H113" s="293"/>
      <c r="J113" s="295"/>
      <c r="T113" s="283"/>
      <c r="U113" s="283"/>
      <c r="V113" s="283"/>
      <c r="W113" s="283"/>
    </row>
    <row r="114">
      <c r="A114" s="275"/>
      <c r="B114" s="275"/>
      <c r="C114" s="301" t="str">
        <f>HYPERLINK("https://phillipreeve.net/blog/wideangle-lenses-for-the-sony-alpha-7-series/","Our Guide to Wideangle lenses")</f>
        <v>Our Guide to Wideangle lenses</v>
      </c>
      <c r="G114" s="284"/>
      <c r="H114" s="293"/>
      <c r="J114" s="295"/>
      <c r="T114" s="283"/>
      <c r="U114" s="283"/>
      <c r="V114" s="283"/>
      <c r="W114" s="283"/>
    </row>
    <row r="115">
      <c r="A115" s="285"/>
      <c r="B115" s="285"/>
      <c r="C115" s="301" t="str">
        <f>HYPERLINK("https://phillipreeve.net/blog/guide-to-macro-lenses-for-the-sony-a7-series/","Our Guide to Macro lenses")</f>
        <v>Our Guide to Macro lenses</v>
      </c>
      <c r="G115" s="284"/>
      <c r="H115" s="293"/>
      <c r="J115" s="295"/>
      <c r="T115" s="283"/>
      <c r="U115" s="283"/>
      <c r="V115" s="283"/>
      <c r="W115" s="283"/>
    </row>
    <row r="116">
      <c r="A116" s="291"/>
      <c r="B116" s="291"/>
      <c r="C116" s="301" t="str">
        <f>HYPERLINK("https://phillipreeve.net/blog/user-guide-to-portrait-lenses-sony-a7-series/","Our Guide to Portrait lenses")</f>
        <v>Our Guide to Portrait lenses</v>
      </c>
      <c r="G116" s="284"/>
      <c r="H116" s="293"/>
      <c r="J116" s="295"/>
      <c r="T116" s="283"/>
      <c r="U116" s="283"/>
      <c r="V116" s="283"/>
      <c r="W116" s="283"/>
    </row>
    <row r="117">
      <c r="A117" s="294"/>
      <c r="B117" s="294"/>
      <c r="C117" s="301" t="str">
        <f>HYPERLINK("https://phillipreeve.net/blog/building-a-lens-kit/","Building a lens kit")</f>
        <v>Building a lens kit</v>
      </c>
      <c r="G117" s="284"/>
      <c r="H117" s="293"/>
      <c r="J117" s="295"/>
      <c r="T117" s="283"/>
      <c r="U117" s="283"/>
      <c r="V117" s="283"/>
      <c r="W117" s="283"/>
    </row>
    <row r="118">
      <c r="A118" s="275"/>
      <c r="B118" s="275"/>
      <c r="C118" s="68"/>
      <c r="J118" s="295"/>
      <c r="T118" s="283"/>
      <c r="U118" s="283"/>
      <c r="V118" s="283"/>
      <c r="W118" s="283"/>
    </row>
    <row r="119">
      <c r="A119" s="692"/>
      <c r="B119" s="692"/>
      <c r="C119" s="275" t="s">
        <v>158</v>
      </c>
      <c r="J119" s="295"/>
      <c r="T119" s="283"/>
      <c r="U119" s="283"/>
      <c r="V119" s="283"/>
      <c r="W119" s="283"/>
    </row>
    <row r="120">
      <c r="C120" s="68" t="s">
        <v>159</v>
      </c>
      <c r="J120" s="295"/>
      <c r="T120" s="283"/>
      <c r="U120" s="283"/>
      <c r="V120" s="283"/>
      <c r="W120" s="283"/>
    </row>
    <row r="121">
      <c r="A121" s="275"/>
      <c r="B121" s="275"/>
      <c r="C121" s="68" t="s">
        <v>160</v>
      </c>
      <c r="J121" s="295"/>
      <c r="T121" s="283"/>
      <c r="U121" s="283"/>
      <c r="V121" s="283"/>
      <c r="W121" s="283"/>
    </row>
    <row r="122">
      <c r="A122" s="116"/>
      <c r="B122" s="116"/>
      <c r="C122" s="68" t="s">
        <v>161</v>
      </c>
      <c r="J122" s="295"/>
      <c r="T122" s="283"/>
      <c r="U122" s="283"/>
      <c r="V122" s="283"/>
      <c r="W122" s="283"/>
    </row>
    <row r="123">
      <c r="A123" s="116"/>
      <c r="B123" s="116"/>
      <c r="C123" s="68" t="s">
        <v>162</v>
      </c>
      <c r="J123" s="295"/>
      <c r="T123" s="283"/>
      <c r="U123" s="283"/>
      <c r="V123" s="283"/>
      <c r="W123" s="283"/>
    </row>
    <row r="124">
      <c r="A124" s="116"/>
      <c r="B124" s="116"/>
      <c r="C124" s="302"/>
      <c r="J124" s="295"/>
      <c r="T124" s="283"/>
      <c r="U124" s="283"/>
      <c r="V124" s="283"/>
      <c r="W124" s="283"/>
    </row>
    <row r="125">
      <c r="A125" s="116"/>
      <c r="B125" s="116"/>
      <c r="C125" s="275" t="s">
        <v>163</v>
      </c>
      <c r="J125" s="295"/>
      <c r="T125" s="283"/>
      <c r="U125" s="283"/>
      <c r="V125" s="283"/>
      <c r="W125" s="283"/>
    </row>
    <row r="126">
      <c r="A126" s="116"/>
      <c r="B126" s="116"/>
      <c r="C126" s="68" t="s">
        <v>233</v>
      </c>
      <c r="F126" s="302"/>
      <c r="J126" s="295"/>
      <c r="T126" s="283"/>
      <c r="U126" s="283"/>
      <c r="V126" s="283"/>
      <c r="W126" s="283"/>
    </row>
    <row r="127">
      <c r="A127" s="116"/>
      <c r="B127" s="116"/>
      <c r="C127" s="68" t="s">
        <v>164</v>
      </c>
      <c r="F127" s="302"/>
      <c r="J127" s="295"/>
      <c r="T127" s="283"/>
      <c r="U127" s="283"/>
      <c r="V127" s="283"/>
      <c r="W127" s="283"/>
    </row>
    <row r="128">
      <c r="A128" s="116"/>
      <c r="B128" s="116"/>
      <c r="J128" s="295"/>
      <c r="T128" s="283"/>
      <c r="U128" s="283"/>
      <c r="V128" s="283"/>
      <c r="W128" s="283"/>
    </row>
    <row r="129">
      <c r="A129" s="68"/>
      <c r="B129" s="68"/>
      <c r="C129" s="301" t="str">
        <f>HYPERLINK("https://phillipreeve.net/blog/impressum/","Impressum")</f>
        <v>Impressum</v>
      </c>
      <c r="J129" s="295"/>
      <c r="T129" s="283"/>
      <c r="U129" s="283"/>
      <c r="V129" s="283"/>
      <c r="W129" s="283"/>
    </row>
    <row r="130">
      <c r="A130" s="275"/>
      <c r="B130" s="275"/>
      <c r="J130" s="295"/>
      <c r="T130" s="283"/>
      <c r="U130" s="283"/>
      <c r="V130" s="283"/>
      <c r="W130" s="283"/>
    </row>
    <row r="131">
      <c r="A131" s="68"/>
      <c r="B131" s="68"/>
      <c r="J131" s="295"/>
      <c r="T131" s="283"/>
      <c r="U131" s="283"/>
      <c r="V131" s="283"/>
      <c r="W131" s="283"/>
    </row>
    <row r="132">
      <c r="A132" s="68"/>
      <c r="B132" s="68"/>
      <c r="J132" s="295"/>
      <c r="T132" s="283"/>
      <c r="U132" s="283"/>
      <c r="V132" s="283"/>
      <c r="W132" s="283"/>
    </row>
    <row r="133">
      <c r="A133" s="68"/>
      <c r="B133" s="68"/>
      <c r="J133" s="295"/>
      <c r="T133" s="283"/>
      <c r="U133" s="283"/>
      <c r="V133" s="283"/>
      <c r="W133" s="283"/>
    </row>
    <row r="134">
      <c r="A134" s="68"/>
      <c r="B134" s="68"/>
      <c r="J134" s="295"/>
      <c r="T134" s="283"/>
      <c r="U134" s="283"/>
      <c r="V134" s="283"/>
      <c r="W134" s="283"/>
    </row>
    <row r="135">
      <c r="A135" s="302"/>
      <c r="B135" s="302"/>
      <c r="C135" s="275"/>
      <c r="J135" s="295"/>
      <c r="T135" s="283"/>
      <c r="U135" s="283"/>
      <c r="V135" s="283"/>
      <c r="W135" s="283"/>
    </row>
    <row r="136">
      <c r="A136" s="275"/>
      <c r="B136" s="275"/>
      <c r="C136" s="275"/>
      <c r="J136" s="295"/>
      <c r="T136" s="283"/>
      <c r="U136" s="283"/>
      <c r="V136" s="283"/>
      <c r="W136" s="283"/>
    </row>
    <row r="137">
      <c r="A137" s="68"/>
      <c r="B137" s="68"/>
      <c r="C137" s="275"/>
      <c r="J137" s="295"/>
      <c r="T137" s="283"/>
      <c r="U137" s="283"/>
      <c r="V137" s="283"/>
      <c r="W137" s="283"/>
    </row>
    <row r="138">
      <c r="A138" s="68"/>
      <c r="B138" s="68"/>
      <c r="C138" s="275"/>
      <c r="J138" s="295"/>
      <c r="T138" s="283"/>
      <c r="U138" s="283"/>
      <c r="V138" s="283"/>
      <c r="W138" s="283"/>
    </row>
    <row r="139">
      <c r="C139" s="275"/>
      <c r="J139" s="295"/>
      <c r="T139" s="283"/>
      <c r="U139" s="283"/>
      <c r="V139" s="283"/>
      <c r="W139" s="283"/>
    </row>
    <row r="140">
      <c r="A140" s="116"/>
      <c r="B140" s="116"/>
      <c r="C140" s="275"/>
      <c r="J140" s="295"/>
      <c r="T140" s="283"/>
      <c r="U140" s="283"/>
      <c r="V140" s="283"/>
      <c r="W140" s="283"/>
    </row>
    <row r="141">
      <c r="C141" s="302"/>
      <c r="J141" s="295"/>
      <c r="T141" s="283"/>
      <c r="U141" s="283"/>
      <c r="V141" s="283"/>
      <c r="W141" s="283"/>
    </row>
    <row r="142">
      <c r="C142" s="275"/>
      <c r="J142" s="295"/>
      <c r="T142" s="283"/>
      <c r="U142" s="283"/>
      <c r="V142" s="283"/>
      <c r="W142" s="283"/>
    </row>
    <row r="143">
      <c r="C143" s="275"/>
      <c r="J143" s="295"/>
      <c r="T143" s="283"/>
      <c r="U143" s="283"/>
      <c r="V143" s="283"/>
      <c r="W143" s="283"/>
    </row>
    <row r="144">
      <c r="C144" s="302"/>
      <c r="J144" s="295"/>
      <c r="T144" s="283"/>
      <c r="U144" s="283"/>
      <c r="V144" s="283"/>
      <c r="W144" s="283"/>
    </row>
    <row r="145">
      <c r="C145" s="275"/>
      <c r="J145" s="295"/>
      <c r="T145" s="283"/>
      <c r="U145" s="283"/>
      <c r="V145" s="283"/>
      <c r="W145" s="283"/>
    </row>
    <row r="146">
      <c r="A146" s="275"/>
      <c r="B146" s="275"/>
      <c r="C146" s="275"/>
      <c r="J146" s="295"/>
      <c r="T146" s="283"/>
      <c r="U146" s="283"/>
      <c r="V146" s="283"/>
      <c r="W146" s="283"/>
    </row>
    <row r="147">
      <c r="A147" s="275"/>
      <c r="B147" s="275"/>
      <c r="C147" s="275"/>
      <c r="J147" s="295"/>
      <c r="T147" s="283"/>
      <c r="U147" s="283"/>
      <c r="V147" s="283"/>
      <c r="W147" s="283"/>
    </row>
    <row r="148">
      <c r="A148" s="275"/>
      <c r="B148" s="275"/>
      <c r="C148" s="275"/>
      <c r="J148" s="295"/>
      <c r="T148" s="283"/>
      <c r="U148" s="283"/>
      <c r="V148" s="283"/>
      <c r="W148" s="283"/>
    </row>
    <row r="149">
      <c r="A149" s="275"/>
      <c r="B149" s="275"/>
      <c r="C149" s="275"/>
      <c r="J149" s="295"/>
      <c r="T149" s="283"/>
      <c r="U149" s="283"/>
      <c r="V149" s="283"/>
      <c r="W149" s="283"/>
    </row>
    <row r="150">
      <c r="A150" s="275"/>
      <c r="B150" s="275"/>
      <c r="C150" s="275"/>
      <c r="J150" s="295"/>
      <c r="T150" s="283"/>
      <c r="U150" s="283"/>
      <c r="V150" s="283"/>
      <c r="W150" s="283"/>
    </row>
    <row r="151">
      <c r="A151" s="275"/>
      <c r="B151" s="275"/>
      <c r="C151" s="275"/>
      <c r="J151" s="295"/>
      <c r="T151" s="283"/>
      <c r="U151" s="283"/>
      <c r="V151" s="283"/>
      <c r="W151" s="283"/>
    </row>
    <row r="152">
      <c r="A152" s="302"/>
      <c r="B152" s="302"/>
      <c r="C152" s="275"/>
      <c r="J152" s="295"/>
      <c r="T152" s="283"/>
      <c r="U152" s="283"/>
      <c r="V152" s="283"/>
      <c r="W152" s="283"/>
    </row>
    <row r="153">
      <c r="A153" s="275"/>
      <c r="B153" s="275"/>
      <c r="C153" s="275"/>
      <c r="J153" s="295"/>
      <c r="T153" s="283"/>
      <c r="U153" s="283"/>
      <c r="V153" s="283"/>
      <c r="W153" s="283"/>
    </row>
    <row r="154">
      <c r="A154" s="275"/>
      <c r="B154" s="275"/>
      <c r="C154" s="302"/>
      <c r="J154" s="295"/>
      <c r="T154" s="283"/>
      <c r="U154" s="283"/>
      <c r="V154" s="283"/>
      <c r="W154" s="283"/>
    </row>
    <row r="155">
      <c r="A155" s="302"/>
      <c r="B155" s="302"/>
      <c r="C155" s="302"/>
      <c r="J155" s="295"/>
      <c r="T155" s="283"/>
      <c r="U155" s="283"/>
      <c r="V155" s="283"/>
      <c r="W155" s="283"/>
    </row>
    <row r="156">
      <c r="A156" s="275"/>
      <c r="B156" s="275"/>
      <c r="J156" s="295"/>
      <c r="T156" s="283"/>
      <c r="U156" s="283"/>
      <c r="V156" s="283"/>
      <c r="W156" s="283"/>
    </row>
    <row r="157">
      <c r="A157" s="275"/>
      <c r="B157" s="275"/>
      <c r="J157" s="295"/>
      <c r="T157" s="283"/>
      <c r="U157" s="283"/>
      <c r="V157" s="283"/>
      <c r="W157" s="283"/>
    </row>
    <row r="158">
      <c r="A158" s="275"/>
      <c r="B158" s="275"/>
      <c r="J158" s="295"/>
      <c r="T158" s="283"/>
      <c r="U158" s="283"/>
      <c r="V158" s="283"/>
      <c r="W158" s="283"/>
    </row>
    <row r="159">
      <c r="A159" s="275"/>
      <c r="B159" s="275"/>
      <c r="J159" s="295"/>
      <c r="T159" s="283"/>
      <c r="U159" s="283"/>
      <c r="V159" s="283"/>
      <c r="W159" s="283"/>
    </row>
    <row r="160">
      <c r="A160" s="275"/>
      <c r="B160" s="275"/>
      <c r="J160" s="295"/>
    </row>
    <row r="161">
      <c r="A161" s="275"/>
      <c r="B161" s="275"/>
      <c r="J161" s="295"/>
    </row>
    <row r="162">
      <c r="A162" s="275"/>
      <c r="B162" s="275"/>
      <c r="J162" s="295"/>
    </row>
    <row r="163">
      <c r="A163" s="275"/>
      <c r="B163" s="275"/>
      <c r="J163" s="295"/>
    </row>
    <row r="164">
      <c r="A164" s="275"/>
      <c r="B164" s="275"/>
      <c r="J164" s="295"/>
    </row>
    <row r="165">
      <c r="A165" s="302"/>
      <c r="B165" s="302"/>
      <c r="J165" s="295"/>
    </row>
    <row r="166">
      <c r="A166" s="302"/>
      <c r="B166" s="302"/>
      <c r="J166" s="295"/>
    </row>
    <row r="167">
      <c r="J167" s="295"/>
    </row>
    <row r="168">
      <c r="J168" s="295"/>
    </row>
    <row r="169">
      <c r="J169" s="295"/>
    </row>
    <row r="170">
      <c r="J170" s="295"/>
    </row>
    <row r="171">
      <c r="J171" s="295"/>
    </row>
    <row r="172">
      <c r="J172" s="295"/>
    </row>
    <row r="173">
      <c r="J173" s="295"/>
    </row>
    <row r="174">
      <c r="J174" s="295"/>
    </row>
    <row r="175">
      <c r="J175" s="295"/>
    </row>
    <row r="176">
      <c r="J176" s="295"/>
    </row>
    <row r="177">
      <c r="J177" s="295"/>
    </row>
    <row r="178">
      <c r="J178" s="295"/>
    </row>
    <row r="179">
      <c r="J179" s="295"/>
    </row>
    <row r="180">
      <c r="J180" s="295"/>
    </row>
    <row r="181">
      <c r="J181" s="295"/>
    </row>
    <row r="182">
      <c r="J182" s="295"/>
    </row>
    <row r="183">
      <c r="J183" s="295"/>
    </row>
    <row r="184">
      <c r="J184" s="295"/>
    </row>
    <row r="185">
      <c r="J185" s="295"/>
    </row>
    <row r="186">
      <c r="J186" s="295"/>
    </row>
    <row r="187">
      <c r="J187" s="295"/>
    </row>
    <row r="188">
      <c r="J188" s="295"/>
    </row>
    <row r="189">
      <c r="J189" s="295"/>
    </row>
    <row r="190">
      <c r="J190" s="295"/>
    </row>
    <row r="191">
      <c r="J191" s="295"/>
    </row>
    <row r="192">
      <c r="J192" s="295"/>
    </row>
    <row r="193">
      <c r="J193" s="295"/>
    </row>
    <row r="194">
      <c r="J194" s="295"/>
    </row>
    <row r="195">
      <c r="J195" s="295"/>
    </row>
    <row r="196">
      <c r="J196" s="295"/>
    </row>
    <row r="197">
      <c r="J197" s="295"/>
    </row>
    <row r="198">
      <c r="J198" s="295"/>
    </row>
    <row r="199">
      <c r="J199" s="295"/>
    </row>
    <row r="200">
      <c r="J200" s="295"/>
    </row>
    <row r="201">
      <c r="J201" s="295"/>
    </row>
    <row r="202">
      <c r="J202" s="295"/>
    </row>
    <row r="203">
      <c r="J203" s="295"/>
    </row>
    <row r="204">
      <c r="J204" s="295"/>
    </row>
    <row r="205">
      <c r="J205" s="295"/>
    </row>
    <row r="206">
      <c r="J206" s="295"/>
    </row>
    <row r="207">
      <c r="J207" s="295"/>
    </row>
    <row r="208">
      <c r="J208" s="295"/>
    </row>
    <row r="209">
      <c r="J209" s="295"/>
    </row>
    <row r="210">
      <c r="J210" s="295"/>
    </row>
    <row r="211">
      <c r="J211" s="295"/>
    </row>
    <row r="212">
      <c r="J212" s="295"/>
    </row>
    <row r="213">
      <c r="J213" s="295"/>
    </row>
    <row r="214">
      <c r="J214" s="295"/>
    </row>
    <row r="215">
      <c r="J215" s="295"/>
    </row>
    <row r="216">
      <c r="J216" s="295"/>
    </row>
    <row r="217">
      <c r="J217" s="295"/>
    </row>
    <row r="218">
      <c r="J218" s="295"/>
    </row>
    <row r="219">
      <c r="J219" s="295"/>
    </row>
    <row r="220">
      <c r="J220" s="295"/>
    </row>
    <row r="221">
      <c r="J221" s="295"/>
    </row>
    <row r="222">
      <c r="J222" s="295"/>
    </row>
    <row r="223">
      <c r="J223" s="295"/>
    </row>
    <row r="224">
      <c r="J224" s="295"/>
    </row>
    <row r="225">
      <c r="J225" s="295"/>
    </row>
    <row r="226">
      <c r="J226" s="295"/>
    </row>
    <row r="227">
      <c r="J227" s="295"/>
    </row>
    <row r="228">
      <c r="J228" s="295"/>
    </row>
    <row r="229">
      <c r="J229" s="295"/>
    </row>
    <row r="230">
      <c r="J230" s="295"/>
    </row>
    <row r="231">
      <c r="J231" s="295"/>
    </row>
    <row r="232">
      <c r="J232" s="295"/>
    </row>
    <row r="233">
      <c r="J233" s="295"/>
    </row>
    <row r="234">
      <c r="J234" s="295"/>
    </row>
    <row r="235">
      <c r="J235" s="295"/>
    </row>
    <row r="236">
      <c r="J236" s="295"/>
    </row>
    <row r="237">
      <c r="J237" s="295"/>
    </row>
    <row r="238">
      <c r="J238" s="295"/>
    </row>
    <row r="239">
      <c r="J239" s="295"/>
    </row>
    <row r="240">
      <c r="J240" s="295"/>
    </row>
    <row r="241">
      <c r="J241" s="295"/>
    </row>
    <row r="242">
      <c r="J242" s="295"/>
    </row>
    <row r="243">
      <c r="J243" s="295"/>
    </row>
    <row r="244">
      <c r="J244" s="295"/>
    </row>
    <row r="245">
      <c r="J245" s="295"/>
    </row>
    <row r="246">
      <c r="J246" s="295"/>
    </row>
    <row r="247">
      <c r="J247" s="295"/>
    </row>
    <row r="248">
      <c r="J248" s="295"/>
    </row>
    <row r="249">
      <c r="J249" s="295"/>
    </row>
    <row r="250">
      <c r="J250" s="295"/>
    </row>
    <row r="251">
      <c r="J251" s="295"/>
    </row>
    <row r="252">
      <c r="J252" s="295"/>
    </row>
    <row r="253">
      <c r="J253" s="295"/>
    </row>
    <row r="254">
      <c r="J254" s="295"/>
    </row>
    <row r="255">
      <c r="J255" s="295"/>
    </row>
    <row r="256">
      <c r="J256" s="295"/>
    </row>
    <row r="257">
      <c r="J257" s="295"/>
    </row>
    <row r="258">
      <c r="J258" s="295"/>
    </row>
    <row r="259">
      <c r="J259" s="295"/>
    </row>
    <row r="260">
      <c r="J260" s="295"/>
    </row>
    <row r="261">
      <c r="J261" s="295"/>
    </row>
    <row r="262">
      <c r="J262" s="295"/>
    </row>
    <row r="263">
      <c r="J263" s="295"/>
    </row>
    <row r="264">
      <c r="J264" s="295"/>
    </row>
    <row r="265">
      <c r="J265" s="295"/>
    </row>
    <row r="266">
      <c r="J266" s="295"/>
    </row>
    <row r="267">
      <c r="J267" s="295"/>
    </row>
    <row r="268">
      <c r="J268" s="295"/>
    </row>
    <row r="269">
      <c r="J269" s="295"/>
    </row>
    <row r="270">
      <c r="J270" s="295"/>
    </row>
    <row r="271">
      <c r="J271" s="295"/>
    </row>
    <row r="272">
      <c r="J272" s="295"/>
    </row>
    <row r="273">
      <c r="J273" s="295"/>
    </row>
    <row r="274">
      <c r="J274" s="295"/>
    </row>
    <row r="275">
      <c r="J275" s="295"/>
    </row>
    <row r="276">
      <c r="J276" s="295"/>
    </row>
    <row r="277">
      <c r="J277" s="295"/>
    </row>
    <row r="278">
      <c r="J278" s="295"/>
    </row>
    <row r="279">
      <c r="J279" s="295"/>
    </row>
    <row r="280">
      <c r="J280" s="295"/>
    </row>
    <row r="281">
      <c r="J281" s="295"/>
    </row>
    <row r="282">
      <c r="J282" s="295"/>
    </row>
    <row r="283">
      <c r="J283" s="295"/>
    </row>
    <row r="284">
      <c r="J284" s="295"/>
    </row>
    <row r="285">
      <c r="J285" s="295"/>
    </row>
    <row r="286">
      <c r="J286" s="295"/>
    </row>
    <row r="287">
      <c r="J287" s="295"/>
    </row>
    <row r="288">
      <c r="J288" s="295"/>
    </row>
    <row r="289">
      <c r="J289" s="295"/>
    </row>
    <row r="290">
      <c r="J290" s="295"/>
    </row>
    <row r="291">
      <c r="J291" s="295"/>
    </row>
    <row r="292">
      <c r="J292" s="295"/>
    </row>
    <row r="293">
      <c r="J293" s="295"/>
    </row>
    <row r="294">
      <c r="J294" s="295"/>
    </row>
    <row r="295">
      <c r="J295" s="295"/>
    </row>
    <row r="296">
      <c r="J296" s="295"/>
    </row>
    <row r="297">
      <c r="J297" s="295"/>
    </row>
    <row r="298">
      <c r="J298" s="295"/>
    </row>
    <row r="299">
      <c r="J299" s="295"/>
    </row>
    <row r="300">
      <c r="J300" s="295"/>
    </row>
    <row r="301">
      <c r="J301" s="295"/>
    </row>
    <row r="302">
      <c r="J302" s="295"/>
    </row>
    <row r="303">
      <c r="J303" s="295"/>
    </row>
    <row r="304">
      <c r="J304" s="295"/>
    </row>
    <row r="305">
      <c r="J305" s="295"/>
    </row>
    <row r="306">
      <c r="J306" s="295"/>
    </row>
    <row r="307">
      <c r="J307" s="295"/>
    </row>
    <row r="308">
      <c r="J308" s="295"/>
    </row>
    <row r="309">
      <c r="J309" s="295"/>
    </row>
    <row r="310">
      <c r="J310" s="295"/>
    </row>
    <row r="311">
      <c r="J311" s="295"/>
    </row>
    <row r="312">
      <c r="J312" s="295"/>
    </row>
    <row r="313">
      <c r="J313" s="295"/>
    </row>
    <row r="314">
      <c r="J314" s="295"/>
    </row>
    <row r="315">
      <c r="J315" s="295"/>
    </row>
    <row r="316">
      <c r="J316" s="295"/>
    </row>
    <row r="317">
      <c r="J317" s="295"/>
    </row>
    <row r="318">
      <c r="J318" s="295"/>
    </row>
    <row r="319">
      <c r="J319" s="295"/>
    </row>
    <row r="320">
      <c r="J320" s="295"/>
    </row>
    <row r="321">
      <c r="J321" s="295"/>
    </row>
    <row r="322">
      <c r="J322" s="295"/>
    </row>
    <row r="323">
      <c r="J323" s="295"/>
    </row>
    <row r="324">
      <c r="J324" s="295"/>
    </row>
    <row r="325">
      <c r="J325" s="295"/>
    </row>
    <row r="326">
      <c r="J326" s="295"/>
    </row>
    <row r="327">
      <c r="J327" s="295"/>
    </row>
    <row r="328">
      <c r="J328" s="295"/>
    </row>
    <row r="329">
      <c r="J329" s="295"/>
    </row>
    <row r="330">
      <c r="J330" s="295"/>
    </row>
    <row r="331">
      <c r="J331" s="295"/>
    </row>
    <row r="332">
      <c r="J332" s="295"/>
    </row>
    <row r="333">
      <c r="J333" s="295"/>
    </row>
    <row r="334">
      <c r="J334" s="295"/>
    </row>
    <row r="335">
      <c r="J335" s="295"/>
    </row>
    <row r="336">
      <c r="J336" s="295"/>
    </row>
    <row r="337">
      <c r="J337" s="295"/>
    </row>
    <row r="338">
      <c r="J338" s="295"/>
    </row>
    <row r="339">
      <c r="J339" s="295"/>
    </row>
    <row r="340">
      <c r="J340" s="295"/>
    </row>
    <row r="341">
      <c r="J341" s="295"/>
    </row>
    <row r="342">
      <c r="J342" s="295"/>
    </row>
    <row r="343">
      <c r="J343" s="295"/>
    </row>
    <row r="344">
      <c r="J344" s="295"/>
    </row>
    <row r="345">
      <c r="J345" s="295"/>
    </row>
    <row r="346">
      <c r="J346" s="295"/>
    </row>
    <row r="347">
      <c r="J347" s="295"/>
    </row>
    <row r="348">
      <c r="J348" s="295"/>
    </row>
    <row r="349">
      <c r="J349" s="295"/>
    </row>
    <row r="350">
      <c r="J350" s="295"/>
    </row>
    <row r="351">
      <c r="J351" s="295"/>
    </row>
    <row r="352">
      <c r="J352" s="295"/>
    </row>
    <row r="353">
      <c r="J353" s="295"/>
    </row>
    <row r="354">
      <c r="J354" s="295"/>
    </row>
    <row r="355">
      <c r="J355" s="295"/>
    </row>
    <row r="356">
      <c r="J356" s="295"/>
    </row>
    <row r="357">
      <c r="J357" s="295"/>
    </row>
    <row r="358">
      <c r="J358" s="295"/>
    </row>
    <row r="359">
      <c r="J359" s="295"/>
    </row>
    <row r="360">
      <c r="J360" s="295"/>
    </row>
    <row r="361">
      <c r="J361" s="295"/>
    </row>
    <row r="362">
      <c r="J362" s="295"/>
    </row>
    <row r="363">
      <c r="J363" s="295"/>
    </row>
    <row r="364">
      <c r="J364" s="295"/>
    </row>
    <row r="365">
      <c r="J365" s="295"/>
    </row>
    <row r="366">
      <c r="J366" s="295"/>
    </row>
    <row r="367">
      <c r="J367" s="295"/>
    </row>
    <row r="368">
      <c r="J368" s="295"/>
    </row>
    <row r="369">
      <c r="J369" s="295"/>
    </row>
    <row r="370">
      <c r="J370" s="295"/>
    </row>
    <row r="371">
      <c r="J371" s="295"/>
    </row>
    <row r="372">
      <c r="J372" s="295"/>
    </row>
    <row r="373">
      <c r="J373" s="295"/>
    </row>
    <row r="374">
      <c r="J374" s="295"/>
    </row>
    <row r="375">
      <c r="J375" s="295"/>
    </row>
    <row r="376">
      <c r="J376" s="295"/>
    </row>
    <row r="377">
      <c r="J377" s="295"/>
    </row>
    <row r="378">
      <c r="J378" s="295"/>
    </row>
    <row r="379">
      <c r="J379" s="295"/>
    </row>
    <row r="380">
      <c r="J380" s="295"/>
    </row>
    <row r="381">
      <c r="J381" s="295"/>
    </row>
    <row r="382">
      <c r="J382" s="295"/>
    </row>
    <row r="383">
      <c r="J383" s="295"/>
    </row>
    <row r="384">
      <c r="J384" s="295"/>
    </row>
    <row r="385">
      <c r="J385" s="295"/>
    </row>
    <row r="386">
      <c r="J386" s="295"/>
    </row>
    <row r="387">
      <c r="J387" s="295"/>
    </row>
    <row r="388">
      <c r="J388" s="295"/>
    </row>
    <row r="389">
      <c r="J389" s="295"/>
    </row>
    <row r="390">
      <c r="J390" s="295"/>
    </row>
    <row r="391">
      <c r="J391" s="295"/>
    </row>
    <row r="392">
      <c r="J392" s="295"/>
    </row>
    <row r="393">
      <c r="J393" s="295"/>
    </row>
    <row r="394">
      <c r="J394" s="295"/>
    </row>
    <row r="395">
      <c r="J395" s="295"/>
    </row>
    <row r="396">
      <c r="J396" s="295"/>
    </row>
    <row r="397">
      <c r="J397" s="295"/>
    </row>
    <row r="398">
      <c r="J398" s="295"/>
    </row>
    <row r="399">
      <c r="J399" s="295"/>
    </row>
    <row r="400">
      <c r="J400" s="295"/>
    </row>
    <row r="401">
      <c r="J401" s="295"/>
    </row>
    <row r="402">
      <c r="J402" s="295"/>
    </row>
    <row r="403">
      <c r="J403" s="295"/>
    </row>
    <row r="404">
      <c r="J404" s="295"/>
    </row>
    <row r="405">
      <c r="J405" s="295"/>
    </row>
    <row r="406">
      <c r="J406" s="295"/>
    </row>
    <row r="407">
      <c r="J407" s="295"/>
    </row>
    <row r="408">
      <c r="J408" s="295"/>
    </row>
    <row r="409">
      <c r="J409" s="295"/>
    </row>
    <row r="410">
      <c r="J410" s="295"/>
    </row>
    <row r="411">
      <c r="J411" s="295"/>
    </row>
    <row r="412">
      <c r="J412" s="295"/>
    </row>
    <row r="413">
      <c r="J413" s="295"/>
    </row>
    <row r="414">
      <c r="J414" s="295"/>
    </row>
    <row r="415">
      <c r="J415" s="295"/>
    </row>
    <row r="416">
      <c r="J416" s="295"/>
    </row>
    <row r="417">
      <c r="J417" s="295"/>
    </row>
    <row r="418">
      <c r="J418" s="295"/>
    </row>
    <row r="419">
      <c r="J419" s="295"/>
    </row>
    <row r="420">
      <c r="J420" s="295"/>
    </row>
    <row r="421">
      <c r="J421" s="295"/>
    </row>
    <row r="422">
      <c r="J422" s="295"/>
    </row>
    <row r="423">
      <c r="J423" s="295"/>
    </row>
    <row r="424">
      <c r="J424" s="295"/>
    </row>
    <row r="425">
      <c r="J425" s="295"/>
    </row>
    <row r="426">
      <c r="J426" s="295"/>
    </row>
    <row r="427">
      <c r="J427" s="295"/>
    </row>
    <row r="428">
      <c r="J428" s="295"/>
    </row>
    <row r="429">
      <c r="J429" s="295"/>
    </row>
    <row r="430">
      <c r="J430" s="295"/>
    </row>
    <row r="431">
      <c r="J431" s="295"/>
    </row>
    <row r="432">
      <c r="J432" s="295"/>
    </row>
    <row r="433">
      <c r="J433" s="295"/>
    </row>
    <row r="434">
      <c r="J434" s="295"/>
    </row>
    <row r="435">
      <c r="J435" s="295"/>
    </row>
    <row r="436">
      <c r="J436" s="295"/>
    </row>
    <row r="437">
      <c r="J437" s="295"/>
    </row>
    <row r="438">
      <c r="J438" s="295"/>
    </row>
    <row r="439">
      <c r="J439" s="295"/>
    </row>
    <row r="440">
      <c r="J440" s="295"/>
    </row>
    <row r="441">
      <c r="J441" s="295"/>
    </row>
    <row r="442">
      <c r="J442" s="295"/>
    </row>
    <row r="443">
      <c r="J443" s="295"/>
    </row>
    <row r="444">
      <c r="J444" s="295"/>
    </row>
    <row r="445">
      <c r="J445" s="295"/>
    </row>
    <row r="446">
      <c r="J446" s="295"/>
    </row>
    <row r="447">
      <c r="J447" s="295"/>
    </row>
    <row r="448">
      <c r="J448" s="295"/>
    </row>
    <row r="449">
      <c r="J449" s="295"/>
    </row>
    <row r="450">
      <c r="J450" s="295"/>
    </row>
    <row r="451">
      <c r="J451" s="295"/>
    </row>
    <row r="452">
      <c r="J452" s="295"/>
    </row>
    <row r="453">
      <c r="J453" s="295"/>
    </row>
    <row r="454">
      <c r="J454" s="295"/>
    </row>
    <row r="455">
      <c r="J455" s="295"/>
    </row>
    <row r="456">
      <c r="J456" s="295"/>
    </row>
    <row r="457">
      <c r="J457" s="295"/>
    </row>
    <row r="458">
      <c r="J458" s="295"/>
    </row>
    <row r="459">
      <c r="J459" s="295"/>
    </row>
    <row r="460">
      <c r="J460" s="295"/>
    </row>
    <row r="461">
      <c r="J461" s="295"/>
    </row>
    <row r="462">
      <c r="J462" s="295"/>
    </row>
    <row r="463">
      <c r="J463" s="295"/>
    </row>
    <row r="464">
      <c r="J464" s="295"/>
    </row>
    <row r="465">
      <c r="J465" s="295"/>
    </row>
    <row r="466">
      <c r="J466" s="295"/>
    </row>
    <row r="467">
      <c r="J467" s="295"/>
    </row>
    <row r="468">
      <c r="J468" s="295"/>
    </row>
    <row r="469">
      <c r="J469" s="295"/>
    </row>
    <row r="470">
      <c r="J470" s="295"/>
    </row>
    <row r="471">
      <c r="J471" s="295"/>
    </row>
    <row r="472">
      <c r="J472" s="295"/>
    </row>
    <row r="473">
      <c r="J473" s="295"/>
    </row>
    <row r="474">
      <c r="J474" s="295"/>
    </row>
    <row r="475">
      <c r="J475" s="295"/>
    </row>
    <row r="476">
      <c r="J476" s="295"/>
    </row>
    <row r="477">
      <c r="J477" s="295"/>
    </row>
    <row r="478">
      <c r="J478" s="295"/>
    </row>
    <row r="479">
      <c r="J479" s="295"/>
    </row>
    <row r="480">
      <c r="J480" s="295"/>
    </row>
    <row r="481">
      <c r="J481" s="295"/>
    </row>
    <row r="482">
      <c r="J482" s="295"/>
    </row>
    <row r="483">
      <c r="J483" s="295"/>
    </row>
    <row r="484">
      <c r="J484" s="295"/>
    </row>
    <row r="485">
      <c r="J485" s="295"/>
    </row>
    <row r="486">
      <c r="J486" s="295"/>
    </row>
    <row r="487">
      <c r="J487" s="295"/>
    </row>
    <row r="488">
      <c r="J488" s="295"/>
    </row>
    <row r="489">
      <c r="J489" s="295"/>
    </row>
    <row r="490">
      <c r="J490" s="295"/>
    </row>
    <row r="491">
      <c r="J491" s="295"/>
    </row>
    <row r="492">
      <c r="J492" s="295"/>
    </row>
    <row r="493">
      <c r="J493" s="295"/>
    </row>
    <row r="494">
      <c r="J494" s="295"/>
    </row>
    <row r="495">
      <c r="J495" s="295"/>
    </row>
    <row r="496">
      <c r="J496" s="295"/>
    </row>
    <row r="497">
      <c r="J497" s="295"/>
    </row>
    <row r="498">
      <c r="J498" s="295"/>
    </row>
    <row r="499">
      <c r="J499" s="295"/>
    </row>
    <row r="500">
      <c r="J500" s="295"/>
    </row>
    <row r="501">
      <c r="J501" s="295"/>
    </row>
    <row r="502">
      <c r="J502" s="295"/>
    </row>
    <row r="503">
      <c r="J503" s="295"/>
    </row>
    <row r="504">
      <c r="J504" s="295"/>
    </row>
    <row r="505">
      <c r="J505" s="295"/>
    </row>
    <row r="506">
      <c r="J506" s="295"/>
    </row>
    <row r="507">
      <c r="J507" s="295"/>
    </row>
    <row r="508">
      <c r="J508" s="295"/>
    </row>
    <row r="509">
      <c r="J509" s="295"/>
    </row>
    <row r="510">
      <c r="J510" s="295"/>
    </row>
    <row r="511">
      <c r="J511" s="295"/>
    </row>
    <row r="512">
      <c r="J512" s="295"/>
    </row>
    <row r="513">
      <c r="J513" s="295"/>
    </row>
    <row r="514">
      <c r="J514" s="295"/>
    </row>
    <row r="515">
      <c r="J515" s="295"/>
    </row>
    <row r="516">
      <c r="J516" s="295"/>
    </row>
    <row r="517">
      <c r="J517" s="295"/>
    </row>
    <row r="518">
      <c r="J518" s="295"/>
    </row>
    <row r="519">
      <c r="J519" s="295"/>
    </row>
    <row r="520">
      <c r="J520" s="295"/>
    </row>
    <row r="521">
      <c r="J521" s="295"/>
    </row>
    <row r="522">
      <c r="J522" s="295"/>
    </row>
    <row r="523">
      <c r="J523" s="295"/>
    </row>
    <row r="524">
      <c r="J524" s="295"/>
    </row>
    <row r="525">
      <c r="J525" s="295"/>
    </row>
    <row r="526">
      <c r="J526" s="295"/>
    </row>
    <row r="527">
      <c r="J527" s="295"/>
    </row>
    <row r="528">
      <c r="J528" s="295"/>
    </row>
    <row r="529">
      <c r="J529" s="295"/>
    </row>
    <row r="530">
      <c r="J530" s="295"/>
    </row>
    <row r="531">
      <c r="J531" s="295"/>
    </row>
    <row r="532">
      <c r="J532" s="295"/>
    </row>
    <row r="533">
      <c r="J533" s="295"/>
    </row>
    <row r="534">
      <c r="J534" s="295"/>
    </row>
    <row r="535">
      <c r="J535" s="295"/>
    </row>
    <row r="536">
      <c r="J536" s="295"/>
    </row>
    <row r="537">
      <c r="J537" s="295"/>
    </row>
    <row r="538">
      <c r="J538" s="295"/>
    </row>
    <row r="539">
      <c r="J539" s="295"/>
    </row>
    <row r="540">
      <c r="J540" s="295"/>
    </row>
    <row r="541">
      <c r="J541" s="295"/>
    </row>
    <row r="542">
      <c r="J542" s="295"/>
    </row>
    <row r="543">
      <c r="J543" s="295"/>
    </row>
    <row r="544">
      <c r="J544" s="295"/>
    </row>
    <row r="545">
      <c r="J545" s="295"/>
    </row>
    <row r="546">
      <c r="J546" s="295"/>
    </row>
    <row r="547">
      <c r="J547" s="295"/>
    </row>
    <row r="548">
      <c r="J548" s="295"/>
    </row>
    <row r="549">
      <c r="J549" s="295"/>
    </row>
    <row r="550">
      <c r="J550" s="295"/>
    </row>
    <row r="551">
      <c r="J551" s="295"/>
    </row>
    <row r="552">
      <c r="J552" s="295"/>
    </row>
    <row r="553">
      <c r="J553" s="295"/>
    </row>
    <row r="554">
      <c r="J554" s="295"/>
    </row>
    <row r="555">
      <c r="J555" s="295"/>
    </row>
    <row r="556">
      <c r="J556" s="295"/>
    </row>
    <row r="557">
      <c r="J557" s="295"/>
    </row>
    <row r="558">
      <c r="J558" s="295"/>
    </row>
    <row r="559">
      <c r="J559" s="295"/>
    </row>
    <row r="560">
      <c r="J560" s="295"/>
    </row>
    <row r="561">
      <c r="J561" s="295"/>
    </row>
    <row r="562">
      <c r="J562" s="295"/>
    </row>
    <row r="563">
      <c r="J563" s="295"/>
    </row>
    <row r="564">
      <c r="J564" s="295"/>
    </row>
    <row r="565">
      <c r="J565" s="295"/>
    </row>
    <row r="566">
      <c r="J566" s="295"/>
    </row>
    <row r="567">
      <c r="J567" s="295"/>
    </row>
    <row r="568">
      <c r="J568" s="295"/>
    </row>
    <row r="569">
      <c r="J569" s="295"/>
    </row>
    <row r="570">
      <c r="J570" s="295"/>
    </row>
    <row r="571">
      <c r="J571" s="295"/>
    </row>
    <row r="572">
      <c r="J572" s="295"/>
    </row>
    <row r="573">
      <c r="J573" s="295"/>
    </row>
    <row r="574">
      <c r="J574" s="295"/>
    </row>
    <row r="575">
      <c r="J575" s="295"/>
    </row>
    <row r="576">
      <c r="J576" s="295"/>
    </row>
    <row r="577">
      <c r="J577" s="295"/>
    </row>
    <row r="578">
      <c r="J578" s="295"/>
    </row>
    <row r="579">
      <c r="J579" s="295"/>
    </row>
    <row r="580">
      <c r="J580" s="295"/>
    </row>
    <row r="581">
      <c r="J581" s="295"/>
    </row>
    <row r="582">
      <c r="J582" s="295"/>
    </row>
    <row r="583">
      <c r="J583" s="295"/>
    </row>
    <row r="584">
      <c r="J584" s="295"/>
    </row>
    <row r="585">
      <c r="J585" s="295"/>
    </row>
    <row r="586">
      <c r="J586" s="295"/>
    </row>
    <row r="587">
      <c r="J587" s="295"/>
    </row>
    <row r="588">
      <c r="J588" s="295"/>
    </row>
    <row r="589">
      <c r="J589" s="295"/>
    </row>
    <row r="590">
      <c r="J590" s="295"/>
    </row>
    <row r="591">
      <c r="J591" s="295"/>
    </row>
    <row r="592">
      <c r="J592" s="295"/>
    </row>
    <row r="593">
      <c r="J593" s="295"/>
    </row>
    <row r="594">
      <c r="J594" s="295"/>
    </row>
    <row r="595">
      <c r="J595" s="295"/>
    </row>
    <row r="596">
      <c r="J596" s="295"/>
    </row>
    <row r="597">
      <c r="J597" s="295"/>
    </row>
    <row r="598">
      <c r="J598" s="295"/>
    </row>
    <row r="599">
      <c r="J599" s="295"/>
    </row>
    <row r="600">
      <c r="J600" s="295"/>
    </row>
    <row r="601">
      <c r="J601" s="295"/>
    </row>
    <row r="602">
      <c r="J602" s="295"/>
    </row>
    <row r="603">
      <c r="J603" s="295"/>
    </row>
    <row r="604">
      <c r="J604" s="295"/>
    </row>
    <row r="605">
      <c r="J605" s="295"/>
    </row>
    <row r="606">
      <c r="J606" s="295"/>
    </row>
    <row r="607">
      <c r="J607" s="295"/>
    </row>
    <row r="608">
      <c r="J608" s="295"/>
    </row>
    <row r="609">
      <c r="J609" s="295"/>
    </row>
    <row r="610">
      <c r="J610" s="295"/>
    </row>
    <row r="611">
      <c r="J611" s="295"/>
    </row>
    <row r="612">
      <c r="J612" s="295"/>
    </row>
    <row r="613">
      <c r="J613" s="295"/>
    </row>
    <row r="614">
      <c r="J614" s="295"/>
    </row>
    <row r="615">
      <c r="J615" s="295"/>
    </row>
    <row r="616">
      <c r="J616" s="295"/>
    </row>
    <row r="617">
      <c r="J617" s="295"/>
    </row>
    <row r="618">
      <c r="J618" s="295"/>
    </row>
    <row r="619">
      <c r="J619" s="295"/>
    </row>
    <row r="620">
      <c r="J620" s="295"/>
    </row>
    <row r="621">
      <c r="J621" s="295"/>
    </row>
    <row r="622">
      <c r="J622" s="295"/>
    </row>
    <row r="623">
      <c r="J623" s="295"/>
    </row>
    <row r="624">
      <c r="J624" s="295"/>
    </row>
    <row r="625">
      <c r="J625" s="295"/>
    </row>
    <row r="626">
      <c r="J626" s="295"/>
    </row>
    <row r="627">
      <c r="J627" s="295"/>
    </row>
    <row r="628">
      <c r="J628" s="295"/>
    </row>
    <row r="629">
      <c r="J629" s="295"/>
    </row>
    <row r="630">
      <c r="J630" s="295"/>
    </row>
    <row r="631">
      <c r="J631" s="295"/>
    </row>
    <row r="632">
      <c r="J632" s="295"/>
    </row>
    <row r="633">
      <c r="J633" s="295"/>
    </row>
    <row r="634">
      <c r="J634" s="295"/>
    </row>
    <row r="635">
      <c r="J635" s="295"/>
    </row>
    <row r="636">
      <c r="J636" s="295"/>
    </row>
    <row r="637">
      <c r="J637" s="295"/>
    </row>
    <row r="638">
      <c r="J638" s="295"/>
    </row>
    <row r="639">
      <c r="J639" s="295"/>
    </row>
    <row r="640">
      <c r="J640" s="295"/>
    </row>
    <row r="641">
      <c r="J641" s="295"/>
    </row>
    <row r="642">
      <c r="J642" s="295"/>
    </row>
    <row r="643">
      <c r="J643" s="295"/>
    </row>
    <row r="644">
      <c r="J644" s="295"/>
    </row>
    <row r="645">
      <c r="J645" s="295"/>
    </row>
    <row r="646">
      <c r="J646" s="295"/>
    </row>
    <row r="647">
      <c r="J647" s="295"/>
    </row>
    <row r="648">
      <c r="J648" s="295"/>
    </row>
    <row r="649">
      <c r="J649" s="295"/>
    </row>
    <row r="650">
      <c r="J650" s="295"/>
    </row>
    <row r="651">
      <c r="J651" s="295"/>
    </row>
    <row r="652">
      <c r="J652" s="295"/>
    </row>
    <row r="653">
      <c r="J653" s="295"/>
    </row>
    <row r="654">
      <c r="J654" s="295"/>
    </row>
    <row r="655">
      <c r="J655" s="295"/>
    </row>
    <row r="656">
      <c r="J656" s="295"/>
    </row>
    <row r="657">
      <c r="J657" s="295"/>
    </row>
    <row r="658">
      <c r="J658" s="295"/>
    </row>
    <row r="659">
      <c r="J659" s="295"/>
    </row>
    <row r="660">
      <c r="J660" s="295"/>
    </row>
    <row r="661">
      <c r="J661" s="295"/>
    </row>
    <row r="662">
      <c r="J662" s="295"/>
    </row>
    <row r="663">
      <c r="J663" s="295"/>
    </row>
    <row r="664">
      <c r="J664" s="295"/>
    </row>
    <row r="665">
      <c r="J665" s="295"/>
    </row>
    <row r="666">
      <c r="J666" s="295"/>
    </row>
    <row r="667">
      <c r="J667" s="295"/>
    </row>
    <row r="668">
      <c r="J668" s="295"/>
    </row>
    <row r="669">
      <c r="J669" s="295"/>
    </row>
    <row r="670">
      <c r="J670" s="295"/>
    </row>
    <row r="671">
      <c r="J671" s="295"/>
    </row>
    <row r="672">
      <c r="J672" s="295"/>
    </row>
    <row r="673">
      <c r="J673" s="295"/>
    </row>
    <row r="674">
      <c r="J674" s="295"/>
    </row>
    <row r="675">
      <c r="J675" s="295"/>
    </row>
    <row r="676">
      <c r="J676" s="295"/>
    </row>
    <row r="677">
      <c r="J677" s="295"/>
    </row>
    <row r="678">
      <c r="J678" s="295"/>
    </row>
    <row r="679">
      <c r="J679" s="295"/>
    </row>
    <row r="680">
      <c r="J680" s="295"/>
    </row>
    <row r="681">
      <c r="J681" s="295"/>
    </row>
    <row r="682">
      <c r="J682" s="295"/>
    </row>
    <row r="683">
      <c r="J683" s="295"/>
    </row>
    <row r="684">
      <c r="J684" s="295"/>
    </row>
    <row r="685">
      <c r="J685" s="295"/>
    </row>
    <row r="686">
      <c r="J686" s="295"/>
    </row>
    <row r="687">
      <c r="J687" s="295"/>
    </row>
    <row r="688">
      <c r="J688" s="295"/>
    </row>
    <row r="689">
      <c r="J689" s="295"/>
    </row>
    <row r="690">
      <c r="J690" s="295"/>
    </row>
    <row r="691">
      <c r="J691" s="295"/>
    </row>
    <row r="692">
      <c r="J692" s="295"/>
    </row>
    <row r="693">
      <c r="J693" s="295"/>
    </row>
    <row r="694">
      <c r="J694" s="295"/>
    </row>
    <row r="695">
      <c r="J695" s="295"/>
    </row>
    <row r="696">
      <c r="J696" s="295"/>
    </row>
    <row r="697">
      <c r="J697" s="295"/>
    </row>
    <row r="698">
      <c r="J698" s="295"/>
    </row>
    <row r="699">
      <c r="J699" s="295"/>
    </row>
    <row r="700">
      <c r="J700" s="295"/>
    </row>
    <row r="701">
      <c r="J701" s="295"/>
    </row>
    <row r="702">
      <c r="J702" s="295"/>
    </row>
    <row r="703">
      <c r="J703" s="295"/>
    </row>
    <row r="704">
      <c r="J704" s="295"/>
    </row>
    <row r="705">
      <c r="J705" s="295"/>
    </row>
    <row r="706">
      <c r="J706" s="295"/>
    </row>
    <row r="707">
      <c r="J707" s="295"/>
    </row>
    <row r="708">
      <c r="J708" s="295"/>
    </row>
    <row r="709">
      <c r="J709" s="295"/>
    </row>
    <row r="710">
      <c r="J710" s="295"/>
    </row>
    <row r="711">
      <c r="J711" s="295"/>
    </row>
    <row r="712">
      <c r="J712" s="295"/>
    </row>
    <row r="713">
      <c r="J713" s="295"/>
    </row>
    <row r="714">
      <c r="J714" s="295"/>
    </row>
    <row r="715">
      <c r="J715" s="295"/>
    </row>
    <row r="716">
      <c r="J716" s="295"/>
    </row>
    <row r="717">
      <c r="J717" s="295"/>
    </row>
    <row r="718">
      <c r="J718" s="295"/>
    </row>
    <row r="719">
      <c r="J719" s="295"/>
    </row>
    <row r="720">
      <c r="J720" s="295"/>
    </row>
    <row r="721">
      <c r="J721" s="295"/>
    </row>
    <row r="722">
      <c r="J722" s="295"/>
    </row>
    <row r="723">
      <c r="J723" s="295"/>
    </row>
    <row r="724">
      <c r="J724" s="295"/>
    </row>
    <row r="725">
      <c r="J725" s="295"/>
    </row>
    <row r="726">
      <c r="J726" s="295"/>
    </row>
    <row r="727">
      <c r="J727" s="295"/>
    </row>
    <row r="728">
      <c r="J728" s="295"/>
    </row>
    <row r="729">
      <c r="J729" s="295"/>
    </row>
    <row r="730">
      <c r="J730" s="295"/>
    </row>
    <row r="731">
      <c r="J731" s="295"/>
    </row>
    <row r="732">
      <c r="J732" s="295"/>
    </row>
    <row r="733">
      <c r="J733" s="295"/>
    </row>
    <row r="734">
      <c r="J734" s="295"/>
    </row>
    <row r="735">
      <c r="J735" s="295"/>
    </row>
    <row r="736">
      <c r="J736" s="295"/>
    </row>
    <row r="737">
      <c r="J737" s="295"/>
    </row>
    <row r="738">
      <c r="J738" s="295"/>
    </row>
    <row r="739">
      <c r="J739" s="295"/>
    </row>
    <row r="740">
      <c r="J740" s="295"/>
    </row>
    <row r="741">
      <c r="J741" s="295"/>
    </row>
    <row r="742">
      <c r="J742" s="295"/>
    </row>
    <row r="743">
      <c r="J743" s="295"/>
    </row>
    <row r="744">
      <c r="J744" s="295"/>
    </row>
    <row r="745">
      <c r="J745" s="295"/>
    </row>
    <row r="746">
      <c r="J746" s="295"/>
    </row>
    <row r="747">
      <c r="J747" s="295"/>
    </row>
    <row r="748">
      <c r="J748" s="295"/>
    </row>
    <row r="749">
      <c r="J749" s="295"/>
    </row>
    <row r="750">
      <c r="J750" s="295"/>
    </row>
    <row r="751">
      <c r="J751" s="295"/>
    </row>
    <row r="752">
      <c r="J752" s="295"/>
    </row>
    <row r="753">
      <c r="J753" s="295"/>
    </row>
    <row r="754">
      <c r="J754" s="295"/>
    </row>
    <row r="755">
      <c r="J755" s="295"/>
    </row>
    <row r="756">
      <c r="J756" s="295"/>
    </row>
    <row r="757">
      <c r="J757" s="295"/>
    </row>
    <row r="758">
      <c r="J758" s="295"/>
    </row>
    <row r="759">
      <c r="J759" s="295"/>
    </row>
    <row r="760">
      <c r="J760" s="295"/>
    </row>
    <row r="761">
      <c r="J761" s="295"/>
    </row>
    <row r="762">
      <c r="J762" s="295"/>
    </row>
    <row r="763">
      <c r="J763" s="295"/>
    </row>
    <row r="764">
      <c r="J764" s="295"/>
    </row>
    <row r="765">
      <c r="J765" s="295"/>
    </row>
    <row r="766">
      <c r="J766" s="295"/>
    </row>
    <row r="767">
      <c r="J767" s="295"/>
    </row>
    <row r="768">
      <c r="J768" s="295"/>
    </row>
    <row r="769">
      <c r="J769" s="295"/>
    </row>
    <row r="770">
      <c r="J770" s="295"/>
    </row>
    <row r="771">
      <c r="J771" s="295"/>
    </row>
    <row r="772">
      <c r="J772" s="295"/>
    </row>
    <row r="773">
      <c r="J773" s="295"/>
    </row>
    <row r="774">
      <c r="J774" s="295"/>
    </row>
    <row r="775">
      <c r="J775" s="295"/>
    </row>
    <row r="776">
      <c r="J776" s="295"/>
    </row>
    <row r="777">
      <c r="J777" s="295"/>
    </row>
    <row r="778">
      <c r="J778" s="295"/>
    </row>
    <row r="779">
      <c r="J779" s="295"/>
    </row>
    <row r="780">
      <c r="J780" s="295"/>
    </row>
    <row r="781">
      <c r="J781" s="295"/>
    </row>
    <row r="782">
      <c r="J782" s="295"/>
    </row>
    <row r="783">
      <c r="J783" s="295"/>
    </row>
    <row r="784">
      <c r="J784" s="295"/>
    </row>
    <row r="785">
      <c r="J785" s="295"/>
    </row>
    <row r="786">
      <c r="J786" s="295"/>
    </row>
    <row r="787">
      <c r="J787" s="295"/>
    </row>
    <row r="788">
      <c r="J788" s="295"/>
    </row>
    <row r="789">
      <c r="J789" s="295"/>
    </row>
    <row r="790">
      <c r="J790" s="295"/>
    </row>
    <row r="791">
      <c r="J791" s="295"/>
    </row>
    <row r="792">
      <c r="J792" s="295"/>
    </row>
    <row r="793">
      <c r="J793" s="295"/>
    </row>
    <row r="794">
      <c r="J794" s="295"/>
    </row>
    <row r="795">
      <c r="J795" s="295"/>
    </row>
    <row r="796">
      <c r="J796" s="295"/>
    </row>
    <row r="797">
      <c r="J797" s="295"/>
    </row>
    <row r="798">
      <c r="J798" s="295"/>
    </row>
    <row r="799">
      <c r="J799" s="295"/>
    </row>
    <row r="800">
      <c r="J800" s="295"/>
    </row>
    <row r="801">
      <c r="J801" s="295"/>
    </row>
    <row r="802">
      <c r="J802" s="295"/>
    </row>
    <row r="803">
      <c r="J803" s="295"/>
    </row>
    <row r="804">
      <c r="J804" s="295"/>
    </row>
    <row r="805">
      <c r="J805" s="295"/>
    </row>
    <row r="806">
      <c r="J806" s="295"/>
    </row>
    <row r="807">
      <c r="J807" s="295"/>
    </row>
    <row r="808">
      <c r="J808" s="295"/>
    </row>
    <row r="809">
      <c r="J809" s="295"/>
    </row>
    <row r="810">
      <c r="J810" s="295"/>
    </row>
    <row r="811">
      <c r="J811" s="295"/>
    </row>
    <row r="812">
      <c r="J812" s="295"/>
    </row>
    <row r="813">
      <c r="J813" s="295"/>
    </row>
    <row r="814">
      <c r="J814" s="295"/>
    </row>
    <row r="815">
      <c r="J815" s="295"/>
    </row>
    <row r="816">
      <c r="J816" s="295"/>
    </row>
    <row r="817">
      <c r="J817" s="295"/>
    </row>
    <row r="818">
      <c r="J818" s="295"/>
    </row>
    <row r="819">
      <c r="J819" s="295"/>
    </row>
    <row r="820">
      <c r="J820" s="295"/>
    </row>
    <row r="821">
      <c r="J821" s="295"/>
    </row>
    <row r="822">
      <c r="J822" s="295"/>
    </row>
    <row r="823">
      <c r="J823" s="295"/>
    </row>
    <row r="824">
      <c r="J824" s="295"/>
    </row>
    <row r="825">
      <c r="J825" s="295"/>
    </row>
    <row r="826">
      <c r="J826" s="295"/>
    </row>
    <row r="827">
      <c r="J827" s="295"/>
    </row>
    <row r="828">
      <c r="J828" s="295"/>
    </row>
    <row r="829">
      <c r="J829" s="295"/>
    </row>
    <row r="830">
      <c r="J830" s="295"/>
    </row>
    <row r="831">
      <c r="J831" s="295"/>
    </row>
    <row r="832">
      <c r="J832" s="295"/>
    </row>
    <row r="833">
      <c r="J833" s="295"/>
    </row>
    <row r="834">
      <c r="J834" s="295"/>
    </row>
    <row r="835">
      <c r="J835" s="295"/>
    </row>
    <row r="836">
      <c r="J836" s="295"/>
    </row>
    <row r="837">
      <c r="J837" s="295"/>
    </row>
    <row r="838">
      <c r="J838" s="295"/>
    </row>
    <row r="839">
      <c r="J839" s="295"/>
    </row>
    <row r="840">
      <c r="J840" s="295"/>
    </row>
    <row r="841">
      <c r="J841" s="295"/>
    </row>
    <row r="842">
      <c r="J842" s="295"/>
    </row>
    <row r="843">
      <c r="J843" s="295"/>
    </row>
    <row r="844">
      <c r="J844" s="295"/>
    </row>
    <row r="845">
      <c r="J845" s="295"/>
    </row>
    <row r="846">
      <c r="J846" s="295"/>
    </row>
    <row r="847">
      <c r="J847" s="295"/>
    </row>
    <row r="848">
      <c r="J848" s="295"/>
    </row>
    <row r="849">
      <c r="J849" s="295"/>
    </row>
    <row r="850">
      <c r="J850" s="295"/>
    </row>
    <row r="851">
      <c r="J851" s="295"/>
    </row>
    <row r="852">
      <c r="J852" s="295"/>
    </row>
    <row r="853">
      <c r="J853" s="295"/>
    </row>
    <row r="854">
      <c r="J854" s="295"/>
    </row>
    <row r="855">
      <c r="J855" s="295"/>
    </row>
    <row r="856">
      <c r="J856" s="295"/>
    </row>
    <row r="857">
      <c r="J857" s="295"/>
    </row>
    <row r="858">
      <c r="J858" s="295"/>
    </row>
    <row r="859">
      <c r="J859" s="295"/>
    </row>
    <row r="860">
      <c r="J860" s="295"/>
    </row>
    <row r="861">
      <c r="J861" s="295"/>
    </row>
    <row r="862">
      <c r="J862" s="295"/>
    </row>
    <row r="863">
      <c r="J863" s="295"/>
    </row>
    <row r="864">
      <c r="J864" s="295"/>
    </row>
    <row r="865">
      <c r="J865" s="295"/>
    </row>
    <row r="866">
      <c r="J866" s="295"/>
    </row>
    <row r="867">
      <c r="J867" s="295"/>
    </row>
    <row r="868">
      <c r="J868" s="295"/>
    </row>
    <row r="869">
      <c r="J869" s="295"/>
    </row>
    <row r="870">
      <c r="J870" s="295"/>
    </row>
    <row r="871">
      <c r="J871" s="295"/>
    </row>
    <row r="872">
      <c r="J872" s="295"/>
    </row>
    <row r="873">
      <c r="J873" s="295"/>
    </row>
    <row r="874">
      <c r="J874" s="295"/>
    </row>
    <row r="875">
      <c r="J875" s="295"/>
    </row>
    <row r="876">
      <c r="J876" s="295"/>
    </row>
    <row r="877">
      <c r="J877" s="295"/>
    </row>
    <row r="878">
      <c r="J878" s="295"/>
    </row>
    <row r="879">
      <c r="J879" s="295"/>
    </row>
    <row r="880">
      <c r="J880" s="295"/>
    </row>
    <row r="881">
      <c r="J881" s="295"/>
    </row>
    <row r="882">
      <c r="J882" s="295"/>
    </row>
    <row r="883">
      <c r="J883" s="295"/>
    </row>
    <row r="884">
      <c r="J884" s="295"/>
    </row>
    <row r="885">
      <c r="J885" s="295"/>
    </row>
    <row r="886">
      <c r="J886" s="295"/>
    </row>
    <row r="887">
      <c r="J887" s="295"/>
    </row>
    <row r="888">
      <c r="J888" s="295"/>
    </row>
    <row r="889">
      <c r="J889" s="295"/>
    </row>
    <row r="890">
      <c r="J890" s="295"/>
    </row>
    <row r="891">
      <c r="J891" s="295"/>
    </row>
    <row r="892">
      <c r="J892" s="295"/>
    </row>
    <row r="893">
      <c r="J893" s="295"/>
    </row>
    <row r="894">
      <c r="J894" s="295"/>
    </row>
    <row r="895">
      <c r="J895" s="295"/>
    </row>
    <row r="896">
      <c r="J896" s="295"/>
    </row>
    <row r="897">
      <c r="J897" s="295"/>
    </row>
    <row r="898">
      <c r="J898" s="295"/>
    </row>
    <row r="899">
      <c r="J899" s="295"/>
    </row>
    <row r="900">
      <c r="J900" s="295"/>
    </row>
    <row r="901">
      <c r="J901" s="295"/>
    </row>
    <row r="902">
      <c r="J902" s="295"/>
    </row>
    <row r="903">
      <c r="J903" s="295"/>
    </row>
    <row r="904">
      <c r="J904" s="295"/>
    </row>
    <row r="905">
      <c r="J905" s="295"/>
    </row>
    <row r="906">
      <c r="J906" s="295"/>
    </row>
    <row r="907">
      <c r="J907" s="295"/>
    </row>
    <row r="908">
      <c r="J908" s="295"/>
    </row>
    <row r="909">
      <c r="J909" s="295"/>
    </row>
    <row r="910">
      <c r="J910" s="295"/>
    </row>
    <row r="911">
      <c r="J911" s="295"/>
    </row>
    <row r="912">
      <c r="J912" s="295"/>
    </row>
    <row r="913">
      <c r="J913" s="295"/>
    </row>
    <row r="914">
      <c r="J914" s="295"/>
    </row>
    <row r="915">
      <c r="J915" s="295"/>
    </row>
    <row r="916">
      <c r="J916" s="295"/>
    </row>
    <row r="917">
      <c r="J917" s="295"/>
    </row>
    <row r="918">
      <c r="J918" s="295"/>
    </row>
    <row r="919">
      <c r="J919" s="295"/>
    </row>
    <row r="920">
      <c r="J920" s="295"/>
    </row>
    <row r="921">
      <c r="J921" s="295"/>
    </row>
    <row r="922">
      <c r="J922" s="295"/>
    </row>
    <row r="923">
      <c r="J923" s="295"/>
    </row>
    <row r="924">
      <c r="J924" s="295"/>
    </row>
    <row r="925">
      <c r="J925" s="295"/>
    </row>
    <row r="926">
      <c r="J926" s="295"/>
    </row>
    <row r="927">
      <c r="J927" s="295"/>
    </row>
    <row r="928">
      <c r="J928" s="295"/>
    </row>
    <row r="929">
      <c r="J929" s="295"/>
    </row>
    <row r="930">
      <c r="J930" s="295"/>
    </row>
    <row r="931">
      <c r="J931" s="295"/>
    </row>
    <row r="932">
      <c r="J932" s="295"/>
    </row>
    <row r="933">
      <c r="J933" s="295"/>
    </row>
    <row r="934">
      <c r="J934" s="295"/>
    </row>
    <row r="935">
      <c r="J935" s="295"/>
    </row>
    <row r="936">
      <c r="J936" s="295"/>
    </row>
    <row r="937">
      <c r="J937" s="295"/>
    </row>
    <row r="938">
      <c r="J938" s="295"/>
    </row>
    <row r="939">
      <c r="J939" s="295"/>
    </row>
    <row r="940">
      <c r="J940" s="295"/>
    </row>
    <row r="941">
      <c r="J941" s="295"/>
    </row>
    <row r="942">
      <c r="J942" s="295"/>
    </row>
    <row r="943">
      <c r="J943" s="295"/>
    </row>
    <row r="944">
      <c r="J944" s="295"/>
    </row>
    <row r="945">
      <c r="J945" s="295"/>
    </row>
    <row r="946">
      <c r="J946" s="295"/>
    </row>
    <row r="947">
      <c r="J947" s="295"/>
    </row>
    <row r="948">
      <c r="J948" s="295"/>
    </row>
    <row r="949">
      <c r="J949" s="295"/>
    </row>
    <row r="950">
      <c r="J950" s="295"/>
    </row>
    <row r="951">
      <c r="J951" s="295"/>
    </row>
    <row r="952">
      <c r="J952" s="295"/>
    </row>
    <row r="953">
      <c r="J953" s="295"/>
    </row>
    <row r="954">
      <c r="J954" s="295"/>
    </row>
    <row r="955">
      <c r="J955" s="295"/>
    </row>
    <row r="956">
      <c r="J956" s="295"/>
    </row>
    <row r="957">
      <c r="J957" s="295"/>
    </row>
    <row r="958">
      <c r="J958" s="295"/>
    </row>
    <row r="959">
      <c r="J959" s="295"/>
    </row>
    <row r="960">
      <c r="J960" s="295"/>
    </row>
    <row r="961">
      <c r="J961" s="295"/>
    </row>
    <row r="962">
      <c r="J962" s="295"/>
    </row>
    <row r="963">
      <c r="J963" s="295"/>
    </row>
    <row r="964">
      <c r="J964" s="295"/>
    </row>
    <row r="965">
      <c r="J965" s="295"/>
    </row>
    <row r="966">
      <c r="J966" s="295"/>
    </row>
    <row r="967">
      <c r="J967" s="295"/>
    </row>
    <row r="968">
      <c r="J968" s="295"/>
    </row>
    <row r="969">
      <c r="J969" s="295"/>
    </row>
    <row r="970">
      <c r="J970" s="295"/>
    </row>
    <row r="971">
      <c r="J971" s="295"/>
    </row>
    <row r="972">
      <c r="J972" s="295"/>
    </row>
    <row r="973">
      <c r="J973" s="295"/>
    </row>
    <row r="974">
      <c r="J974" s="295"/>
    </row>
    <row r="975">
      <c r="J975" s="295"/>
    </row>
    <row r="976">
      <c r="J976" s="295"/>
    </row>
    <row r="977">
      <c r="J977" s="295"/>
    </row>
    <row r="978">
      <c r="J978" s="295"/>
    </row>
    <row r="979">
      <c r="J979" s="295"/>
    </row>
    <row r="980">
      <c r="J980" s="295"/>
    </row>
    <row r="981">
      <c r="J981" s="295"/>
    </row>
    <row r="982">
      <c r="J982" s="295"/>
    </row>
    <row r="983">
      <c r="J983" s="295"/>
    </row>
    <row r="984">
      <c r="J984" s="295"/>
    </row>
    <row r="985">
      <c r="J985" s="295"/>
    </row>
    <row r="986">
      <c r="J986" s="295"/>
    </row>
    <row r="987">
      <c r="J987" s="295"/>
    </row>
    <row r="988">
      <c r="J988" s="295"/>
    </row>
    <row r="989">
      <c r="J989" s="295"/>
    </row>
    <row r="990">
      <c r="J990" s="295"/>
    </row>
    <row r="991">
      <c r="J991" s="295"/>
    </row>
    <row r="992">
      <c r="J992" s="295"/>
    </row>
    <row r="993">
      <c r="J993" s="295"/>
    </row>
    <row r="994">
      <c r="J994" s="295"/>
    </row>
    <row r="995">
      <c r="J995" s="295"/>
    </row>
    <row r="996">
      <c r="J996" s="295"/>
    </row>
    <row r="997">
      <c r="J997" s="295"/>
    </row>
    <row r="998">
      <c r="J998" s="295"/>
    </row>
    <row r="999">
      <c r="J999" s="295"/>
    </row>
    <row r="1000">
      <c r="J1000" s="295"/>
    </row>
    <row r="1001">
      <c r="J1001" s="295"/>
    </row>
    <row r="1002">
      <c r="J1002" s="295"/>
    </row>
    <row r="1003">
      <c r="J1003" s="295"/>
    </row>
    <row r="1004">
      <c r="J1004" s="295"/>
    </row>
    <row r="1005">
      <c r="J1005" s="295"/>
    </row>
    <row r="1006">
      <c r="J1006" s="295"/>
    </row>
    <row r="1007">
      <c r="J1007" s="295"/>
    </row>
    <row r="1008">
      <c r="J1008" s="295"/>
    </row>
    <row r="1009">
      <c r="J1009" s="295"/>
    </row>
    <row r="1010">
      <c r="J1010" s="295"/>
    </row>
    <row r="1011">
      <c r="J1011" s="295"/>
    </row>
    <row r="1012">
      <c r="J1012" s="295"/>
    </row>
    <row r="1013">
      <c r="J1013" s="295"/>
    </row>
    <row r="1014">
      <c r="J1014" s="295"/>
    </row>
    <row r="1015">
      <c r="J1015" s="295"/>
    </row>
    <row r="1016">
      <c r="J1016" s="295"/>
    </row>
    <row r="1017">
      <c r="J1017" s="295"/>
    </row>
    <row r="1018">
      <c r="J1018" s="295"/>
    </row>
    <row r="1019">
      <c r="J1019" s="295"/>
    </row>
    <row r="1020">
      <c r="J1020" s="295"/>
    </row>
    <row r="1021">
      <c r="J1021" s="295"/>
    </row>
    <row r="1022">
      <c r="J1022" s="295"/>
    </row>
    <row r="1023">
      <c r="J1023" s="295"/>
    </row>
    <row r="1024">
      <c r="J1024" s="295"/>
    </row>
    <row r="1025">
      <c r="J1025" s="295"/>
    </row>
    <row r="1026">
      <c r="J1026" s="295"/>
    </row>
    <row r="1027">
      <c r="J1027" s="295"/>
    </row>
    <row r="1028">
      <c r="J1028" s="295"/>
    </row>
    <row r="1029">
      <c r="J1029" s="295"/>
    </row>
    <row r="1030">
      <c r="J1030" s="295"/>
    </row>
    <row r="1031">
      <c r="J1031" s="295"/>
    </row>
    <row r="1032">
      <c r="J1032" s="295"/>
    </row>
    <row r="1033">
      <c r="J1033" s="295"/>
    </row>
    <row r="1034">
      <c r="J1034" s="295"/>
    </row>
    <row r="1035">
      <c r="J1035" s="295"/>
    </row>
    <row r="1036">
      <c r="J1036" s="295"/>
    </row>
    <row r="1037">
      <c r="J1037" s="295"/>
    </row>
    <row r="1038">
      <c r="J1038" s="295"/>
    </row>
    <row r="1039">
      <c r="J1039" s="295"/>
    </row>
    <row r="1040">
      <c r="J1040" s="295"/>
    </row>
    <row r="1041">
      <c r="J1041" s="295"/>
    </row>
    <row r="1042">
      <c r="J1042" s="295"/>
    </row>
    <row r="1043">
      <c r="J1043" s="295"/>
    </row>
    <row r="1044">
      <c r="J1044" s="295"/>
    </row>
    <row r="1045">
      <c r="J1045" s="295"/>
    </row>
    <row r="1046">
      <c r="J1046" s="295"/>
    </row>
    <row r="1047">
      <c r="J1047" s="295"/>
    </row>
    <row r="1048">
      <c r="J1048" s="295"/>
    </row>
    <row r="1049">
      <c r="J1049" s="295"/>
    </row>
    <row r="1050">
      <c r="J1050" s="295"/>
    </row>
    <row r="1051">
      <c r="J1051" s="295"/>
    </row>
    <row r="1052">
      <c r="J1052" s="295"/>
    </row>
    <row r="1053">
      <c r="J1053" s="295"/>
    </row>
    <row r="1054">
      <c r="J1054" s="295"/>
    </row>
    <row r="1055">
      <c r="J1055" s="295"/>
    </row>
    <row r="1056">
      <c r="J1056" s="295"/>
    </row>
    <row r="1057">
      <c r="J1057" s="295"/>
    </row>
    <row r="1058">
      <c r="J1058" s="295"/>
    </row>
    <row r="1059">
      <c r="J1059" s="295"/>
    </row>
    <row r="1060">
      <c r="J1060" s="295"/>
    </row>
    <row r="1061">
      <c r="J1061" s="295"/>
    </row>
    <row r="1062">
      <c r="J1062" s="295"/>
    </row>
    <row r="1063">
      <c r="J1063" s="295"/>
    </row>
    <row r="1064">
      <c r="J1064" s="295"/>
    </row>
    <row r="1065">
      <c r="J1065" s="295"/>
    </row>
    <row r="1066">
      <c r="J1066" s="295"/>
    </row>
    <row r="1067">
      <c r="J1067" s="295"/>
    </row>
    <row r="1068">
      <c r="J1068" s="295"/>
    </row>
    <row r="1069">
      <c r="J1069" s="295"/>
    </row>
    <row r="1070">
      <c r="J1070" s="295"/>
    </row>
    <row r="1071">
      <c r="J1071" s="295"/>
    </row>
    <row r="1072">
      <c r="J1072" s="295"/>
    </row>
    <row r="1073">
      <c r="J1073" s="295"/>
    </row>
    <row r="1074">
      <c r="J1074" s="295"/>
    </row>
    <row r="1075">
      <c r="J1075" s="295"/>
    </row>
    <row r="1076">
      <c r="J1076" s="295"/>
    </row>
  </sheetData>
  <autoFilter ref="$X$3:$X$1076"/>
  <conditionalFormatting sqref="C3:C101">
    <cfRule type="expression" dxfId="10" priority="1">
      <formula>(today()-Q3)&lt;0</formula>
    </cfRule>
  </conditionalFormatting>
  <conditionalFormatting sqref="C3:C101">
    <cfRule type="expression" dxfId="7" priority="2">
      <formula>(today()-Q3)&lt;180</formula>
    </cfRule>
  </conditionalFormatting>
  <conditionalFormatting sqref="D1:D1076">
    <cfRule type="cellIs" dxfId="0" priority="3" operator="between">
      <formula>50</formula>
      <formula>200</formula>
    </cfRule>
  </conditionalFormatting>
  <conditionalFormatting sqref="D1:D1076">
    <cfRule type="cellIs" dxfId="1" priority="4" operator="between">
      <formula>201</formula>
      <formula>400</formula>
    </cfRule>
  </conditionalFormatting>
  <conditionalFormatting sqref="D3:D1071">
    <cfRule type="cellIs" dxfId="2" priority="5" operator="between">
      <formula>401</formula>
      <formula>650</formula>
    </cfRule>
  </conditionalFormatting>
  <conditionalFormatting sqref="D3:D1071">
    <cfRule type="cellIs" dxfId="3" priority="6" operator="between">
      <formula>651</formula>
      <formula>900</formula>
    </cfRule>
  </conditionalFormatting>
  <conditionalFormatting sqref="D3:D1071">
    <cfRule type="cellIs" dxfId="4" priority="7" operator="greaterThan">
      <formula>900</formula>
    </cfRule>
  </conditionalFormatting>
  <conditionalFormatting sqref="M3:M1060 T5:T1071">
    <cfRule type="containsText" dxfId="5" priority="8" operator="containsText" text="yes">
      <formula>NOT(ISERROR(SEARCH(("yes"),(M3))))</formula>
    </cfRule>
  </conditionalFormatting>
  <conditionalFormatting sqref="H1:H1076">
    <cfRule type="colorScale" priority="9">
      <colorScale>
        <cfvo type="min"/>
        <cfvo type="formula" val="150"/>
        <color rgb="FFEAD1DC"/>
        <color rgb="FFA64D79"/>
      </colorScale>
    </cfRule>
  </conditionalFormatting>
  <conditionalFormatting sqref="F3:F84">
    <cfRule type="colorScale" priority="10">
      <colorScale>
        <cfvo type="formula" val="1.2"/>
        <cfvo type="formula" val="4"/>
        <color rgb="FF0B5394"/>
        <color rgb="FFFFFFFF"/>
      </colorScale>
    </cfRule>
  </conditionalFormatting>
  <conditionalFormatting sqref="G3:G84">
    <cfRule type="colorScale" priority="11">
      <colorScale>
        <cfvo type="formula" val="65"/>
        <cfvo type="formula" val="100"/>
        <color rgb="FFD9D2E9"/>
        <color rgb="FF674EA7"/>
      </colorScale>
    </cfRule>
  </conditionalFormatting>
  <conditionalFormatting sqref="F3:F84">
    <cfRule type="containsText" dxfId="6" priority="12" operator="containsText" text="1.2">
      <formula>NOT(ISERROR(SEARCH(("1.2"),(F3))))</formula>
    </cfRule>
  </conditionalFormatting>
  <conditionalFormatting sqref="F12 F14">
    <cfRule type="notContainsBlanks" dxfId="7" priority="13">
      <formula>LEN(TRIM(F12))&gt;0</formula>
    </cfRule>
  </conditionalFormatting>
  <conditionalFormatting sqref="F3:F84">
    <cfRule type="containsText" dxfId="8" priority="14" operator="containsText" text="1.4">
      <formula>NOT(ISERROR(SEARCH(("1.4"),(F3))))</formula>
    </cfRule>
  </conditionalFormatting>
  <conditionalFormatting sqref="F3:F103">
    <cfRule type="containsText" dxfId="9" priority="15" operator="containsText" text="1.8">
      <formula>NOT(ISERROR(SEARCH(("1.8"),(F3))))</formula>
    </cfRule>
  </conditionalFormatting>
  <conditionalFormatting sqref="C5:C102">
    <cfRule type="expression" dxfId="10" priority="16">
      <formula>(today()-V5)&lt;0</formula>
    </cfRule>
  </conditionalFormatting>
  <conditionalFormatting sqref="C5:C102">
    <cfRule type="expression" dxfId="7" priority="17">
      <formula>(today()-V5)&lt;180</formula>
    </cfRule>
  </conditionalFormatting>
  <conditionalFormatting sqref="I3:I114">
    <cfRule type="cellIs" dxfId="10" priority="18" operator="equal">
      <formula>"MF"</formula>
    </cfRule>
  </conditionalFormatting>
  <conditionalFormatting sqref="K3:K114">
    <cfRule type="cellIs" dxfId="11" priority="19" operator="between">
      <formula>0.24</formula>
      <formula>0.45</formula>
    </cfRule>
  </conditionalFormatting>
  <conditionalFormatting sqref="K3:K114">
    <cfRule type="cellIs" dxfId="12" priority="20" operator="between">
      <formula>0.45</formula>
      <formula>0.99</formula>
    </cfRule>
  </conditionalFormatting>
  <conditionalFormatting sqref="K3:K114">
    <cfRule type="cellIs" dxfId="13" priority="21" operator="greaterThan">
      <formula>0.99</formula>
    </cfRule>
  </conditionalFormatting>
  <conditionalFormatting sqref="N5:N84">
    <cfRule type="cellIs" dxfId="7" priority="22" operator="lessThan">
      <formula>"25%"</formula>
    </cfRule>
  </conditionalFormatting>
  <conditionalFormatting sqref="N5:N84">
    <cfRule type="cellIs" dxfId="14" priority="23" operator="between">
      <formula>"25%"</formula>
      <formula>"45%"</formula>
    </cfRule>
  </conditionalFormatting>
  <conditionalFormatting sqref="N5:N84">
    <cfRule type="cellIs" dxfId="15" priority="24" operator="greaterThan">
      <formula>"45%"</formula>
    </cfRule>
  </conditionalFormatting>
  <dataValidations>
    <dataValidation type="list" allowBlank="1" sqref="P3:P83">
      <formula1>"Sony,Voigtlander,Zeiss,Sigma,Samyang,Viltrox,Tokina,Tamron"</formula1>
    </dataValidation>
  </dataValidations>
  <hyperlinks>
    <hyperlink r:id="rId1" ref="T1"/>
    <hyperlink r:id="rId2" ref="V1"/>
    <hyperlink r:id="rId3" ref="W1"/>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2" width="4.0"/>
    <col customWidth="1" min="3" max="3" width="29.14"/>
    <col customWidth="1" min="4" max="4" width="6.57"/>
    <col customWidth="1" min="5" max="5" width="8.14"/>
    <col customWidth="1" min="6" max="6" width="8.0"/>
    <col customWidth="1" min="7" max="8" width="7.29"/>
    <col customWidth="1" min="9" max="9" width="4.0"/>
    <col customWidth="1" min="10" max="10" width="7.14"/>
    <col customWidth="1" min="11" max="11" width="4.43"/>
    <col customWidth="1" min="12" max="12" width="7.57"/>
    <col customWidth="1" min="13" max="13" width="5.43"/>
    <col customWidth="1" min="14" max="14" width="5.0"/>
    <col customWidth="1" min="15" max="15" width="6.14"/>
    <col customWidth="1" min="16" max="16" width="13.29"/>
    <col customWidth="1" min="17" max="17" width="7.43"/>
    <col customWidth="1" min="18" max="19" width="7.71"/>
    <col customWidth="1" min="20" max="23" width="4.0"/>
    <col customWidth="1" min="24" max="24" width="7.43"/>
  </cols>
  <sheetData>
    <row r="1" ht="76.5" customHeight="1">
      <c r="A1" s="685"/>
      <c r="B1" s="685"/>
      <c r="C1" s="1" t="s">
        <v>0</v>
      </c>
      <c r="D1" s="2" t="s">
        <v>1</v>
      </c>
      <c r="E1" s="3" t="s">
        <v>2</v>
      </c>
      <c r="F1" s="4" t="s">
        <v>3</v>
      </c>
      <c r="G1" s="5" t="s">
        <v>4</v>
      </c>
      <c r="H1" s="6" t="s">
        <v>5</v>
      </c>
      <c r="I1" s="7" t="s">
        <v>6</v>
      </c>
      <c r="J1" s="8" t="s">
        <v>7</v>
      </c>
      <c r="K1" s="3" t="s">
        <v>8</v>
      </c>
      <c r="L1" s="3" t="s">
        <v>9</v>
      </c>
      <c r="M1" s="5" t="s">
        <v>10</v>
      </c>
      <c r="N1" s="3" t="s">
        <v>11</v>
      </c>
      <c r="O1" s="3" t="s">
        <v>12</v>
      </c>
      <c r="P1" s="3" t="s">
        <v>13</v>
      </c>
      <c r="Q1" s="3" t="s">
        <v>14</v>
      </c>
      <c r="R1" s="11" t="s">
        <v>15</v>
      </c>
      <c r="S1" s="11" t="s">
        <v>308</v>
      </c>
      <c r="T1" s="13" t="s">
        <v>17</v>
      </c>
      <c r="U1" s="14" t="s">
        <v>18</v>
      </c>
      <c r="V1" s="13" t="s">
        <v>19</v>
      </c>
      <c r="W1" s="15" t="s">
        <v>20</v>
      </c>
      <c r="X1" s="16" t="s">
        <v>21</v>
      </c>
    </row>
    <row r="2">
      <c r="A2" s="685"/>
      <c r="B2" s="685"/>
      <c r="C2" s="17" t="s">
        <v>166</v>
      </c>
      <c r="D2" s="18"/>
      <c r="E2" s="18"/>
      <c r="F2" s="18"/>
      <c r="G2" s="18"/>
      <c r="H2" s="18"/>
      <c r="I2" s="19"/>
      <c r="J2" s="20"/>
      <c r="K2" s="18"/>
      <c r="L2" s="18"/>
      <c r="M2" s="19"/>
      <c r="N2" s="18"/>
      <c r="O2" s="19"/>
      <c r="P2" s="21"/>
      <c r="Q2" s="19"/>
      <c r="R2" s="18"/>
      <c r="S2" s="18"/>
      <c r="T2" s="18"/>
      <c r="U2" s="18"/>
      <c r="V2" s="18"/>
      <c r="W2" s="18"/>
    </row>
    <row r="3">
      <c r="A3" s="686"/>
      <c r="B3" s="686" t="b">
        <f>IFERROR(__xludf.DUMMYFUNCTION("Query(Beta!B5:S102, ""where B = TRUE"")"),TRUE)</f>
        <v>1</v>
      </c>
      <c r="C3" s="117" t="str">
        <f>IFERROR(__xludf.DUMMYFUNCTION("""COMPUTED_VALUE"""),"Voigtlander 50mm F2 APO-Lanthar")</f>
        <v>Voigtlander 50mm F2 APO-Lanthar</v>
      </c>
      <c r="D3" s="23">
        <f>IFERROR(__xludf.DUMMYFUNCTION("""COMPUTED_VALUE"""),364.0)</f>
        <v>364</v>
      </c>
      <c r="E3" s="24">
        <f>IFERROR(__xludf.DUMMYFUNCTION("""COMPUTED_VALUE"""),50.0)</f>
        <v>50</v>
      </c>
      <c r="F3" s="25">
        <f>IFERROR(__xludf.DUMMYFUNCTION("""COMPUTED_VALUE"""),2.0)</f>
        <v>2</v>
      </c>
      <c r="G3" s="26">
        <f>IFERROR(__xludf.DUMMYFUNCTION("""COMPUTED_VALUE"""),63.0)</f>
        <v>63</v>
      </c>
      <c r="H3" s="27">
        <f>IFERROR(__xludf.DUMMYFUNCTION("""COMPUTED_VALUE"""),61.0)</f>
        <v>61</v>
      </c>
      <c r="I3" s="28" t="str">
        <f>IFERROR(__xludf.DUMMYFUNCTION("""COMPUTED_VALUE"""),"MF")</f>
        <v>MF</v>
      </c>
      <c r="J3" s="29" t="str">
        <f>IFERROR(__xludf.DUMMYFUNCTION("""COMPUTED_VALUE"""),"49mm")</f>
        <v>49mm</v>
      </c>
      <c r="K3" s="30"/>
      <c r="L3" s="31">
        <f>IFERROR(__xludf.DUMMYFUNCTION("""COMPUTED_VALUE"""),45.0)</f>
        <v>45</v>
      </c>
      <c r="M3" s="32" t="str">
        <f>IFERROR(__xludf.DUMMYFUNCTION("""COMPUTED_VALUE"""),"no")</f>
        <v>no</v>
      </c>
      <c r="N3" s="30">
        <f>IFERROR(__xludf.DUMMYFUNCTION("""COMPUTED_VALUE"""),12.0)</f>
        <v>12</v>
      </c>
      <c r="O3" s="33">
        <f>IFERROR(__xludf.DUMMYFUNCTION("""COMPUTED_VALUE"""),43687.0)</f>
        <v>43687</v>
      </c>
      <c r="P3" s="30" t="str">
        <f>IFERROR(__xludf.DUMMYFUNCTION("""COMPUTED_VALUE"""),"Voigtlander")</f>
        <v>Voigtlander</v>
      </c>
      <c r="Q3" s="34">
        <f>IFERROR(__xludf.DUMMYFUNCTION("""COMPUTED_VALUE"""),43831.0)</f>
        <v>43831</v>
      </c>
      <c r="R3" s="35"/>
      <c r="S3" s="35"/>
      <c r="T3" s="119"/>
      <c r="U3" s="119"/>
      <c r="V3" s="119"/>
      <c r="W3" s="119"/>
      <c r="X3" s="37"/>
    </row>
    <row r="4" ht="18.0" customHeight="1">
      <c r="A4" s="691" t="b">
        <f>IFERROR(__xludf.DUMMYFUNCTION("Query(Beta!A5:S102, ""where A = TRUE"")"),TRUE)</f>
        <v>1</v>
      </c>
      <c r="B4" s="17" t="b">
        <f>IFERROR(__xludf.DUMMYFUNCTION("""COMPUTED_VALUE"""),FALSE)</f>
        <v>0</v>
      </c>
      <c r="C4" s="38" t="str">
        <f>IFERROR(__xludf.DUMMYFUNCTION("""COMPUTED_VALUE"""),"Zeiss Loxia 50mm F2")</f>
        <v>Zeiss Loxia 50mm F2</v>
      </c>
      <c r="D4" s="39">
        <f>IFERROR(__xludf.DUMMYFUNCTION("""COMPUTED_VALUE"""),320.0)</f>
        <v>320</v>
      </c>
      <c r="E4" s="40">
        <f>IFERROR(__xludf.DUMMYFUNCTION("""COMPUTED_VALUE"""),50.0)</f>
        <v>50</v>
      </c>
      <c r="F4" s="41">
        <f>IFERROR(__xludf.DUMMYFUNCTION("""COMPUTED_VALUE"""),2.0)</f>
        <v>2</v>
      </c>
      <c r="G4" s="42">
        <f>IFERROR(__xludf.DUMMYFUNCTION("""COMPUTED_VALUE"""),62.0)</f>
        <v>62</v>
      </c>
      <c r="H4" s="43">
        <f>IFERROR(__xludf.DUMMYFUNCTION("""COMPUTED_VALUE"""),60.0)</f>
        <v>60</v>
      </c>
      <c r="I4" s="44" t="str">
        <f>IFERROR(__xludf.DUMMYFUNCTION("""COMPUTED_VALUE"""),"MF")</f>
        <v>MF</v>
      </c>
      <c r="J4" s="45" t="str">
        <f>IFERROR(__xludf.DUMMYFUNCTION("""COMPUTED_VALUE"""),"52mm")</f>
        <v>52mm</v>
      </c>
      <c r="K4" s="46">
        <f>IFERROR(__xludf.DUMMYFUNCTION("""COMPUTED_VALUE"""),0.15)</f>
        <v>0.15</v>
      </c>
      <c r="L4" s="47">
        <f>IFERROR(__xludf.DUMMYFUNCTION("""COMPUTED_VALUE"""),45.0)</f>
        <v>45</v>
      </c>
      <c r="M4" s="44" t="str">
        <f>IFERROR(__xludf.DUMMYFUNCTION("""COMPUTED_VALUE"""),"no")</f>
        <v>no</v>
      </c>
      <c r="N4" s="46">
        <f>IFERROR(__xludf.DUMMYFUNCTION("""COMPUTED_VALUE"""),10.0)</f>
        <v>10</v>
      </c>
      <c r="O4" s="48">
        <f>IFERROR(__xludf.DUMMYFUNCTION("""COMPUTED_VALUE"""),43561.0)</f>
        <v>43561</v>
      </c>
      <c r="P4" s="46" t="str">
        <f>IFERROR(__xludf.DUMMYFUNCTION("""COMPUTED_VALUE"""),"Zeiss")</f>
        <v>Zeiss</v>
      </c>
      <c r="Q4" s="49">
        <f>IFERROR(__xludf.DUMMYFUNCTION("""COMPUTED_VALUE"""),41913.0)</f>
        <v>41913</v>
      </c>
      <c r="R4" s="50">
        <f>IFERROR(__xludf.DUMMYFUNCTION("""COMPUTED_VALUE"""),949.0)</f>
        <v>949</v>
      </c>
      <c r="S4" s="50">
        <f>IFERROR(__xludf.DUMMYFUNCTION("""COMPUTED_VALUE"""),500.0)</f>
        <v>500</v>
      </c>
      <c r="T4" s="184"/>
      <c r="U4" s="184"/>
      <c r="V4" s="184"/>
      <c r="W4" s="184"/>
    </row>
    <row r="5">
      <c r="A5" s="342"/>
      <c r="B5" s="687"/>
      <c r="C5" s="117"/>
      <c r="D5" s="23"/>
      <c r="E5" s="24"/>
      <c r="F5" s="25"/>
      <c r="G5" s="69"/>
      <c r="H5" s="27"/>
      <c r="I5" s="32"/>
      <c r="J5" s="29"/>
      <c r="K5" s="30"/>
      <c r="L5" s="31"/>
      <c r="M5" s="32"/>
      <c r="N5" s="30"/>
      <c r="O5" s="33"/>
      <c r="P5" s="30"/>
      <c r="Q5" s="34"/>
      <c r="R5" s="35"/>
      <c r="S5" s="35"/>
      <c r="T5" s="70"/>
      <c r="U5" s="70"/>
      <c r="V5" s="70"/>
      <c r="W5" s="119"/>
      <c r="X5" s="37"/>
    </row>
    <row r="6">
      <c r="A6" s="275"/>
      <c r="B6" s="688"/>
      <c r="C6" s="38"/>
      <c r="D6" s="39"/>
      <c r="E6" s="40"/>
      <c r="F6" s="71"/>
      <c r="G6" s="72"/>
      <c r="H6" s="73"/>
      <c r="I6" s="46"/>
      <c r="J6" s="45"/>
      <c r="K6" s="46"/>
      <c r="L6" s="47"/>
      <c r="M6" s="44"/>
      <c r="N6" s="46"/>
      <c r="O6" s="74"/>
      <c r="P6" s="46"/>
      <c r="Q6" s="49"/>
      <c r="R6" s="50"/>
      <c r="S6" s="50"/>
      <c r="T6" s="184"/>
      <c r="U6" s="184"/>
      <c r="V6" s="184"/>
      <c r="W6" s="184"/>
    </row>
    <row r="7">
      <c r="A7" s="342"/>
      <c r="B7" s="687"/>
      <c r="C7" s="75"/>
      <c r="D7" s="76"/>
      <c r="E7" s="77"/>
      <c r="F7" s="78"/>
      <c r="G7" s="79"/>
      <c r="H7" s="80"/>
      <c r="I7" s="81"/>
      <c r="J7" s="82"/>
      <c r="K7" s="81"/>
      <c r="L7" s="83"/>
      <c r="M7" s="84"/>
      <c r="N7" s="81"/>
      <c r="O7" s="85"/>
      <c r="P7" s="81"/>
      <c r="Q7" s="86"/>
      <c r="R7" s="87"/>
      <c r="S7" s="87"/>
      <c r="T7" s="130"/>
      <c r="U7" s="130"/>
      <c r="V7" s="89"/>
      <c r="W7" s="130"/>
    </row>
    <row r="8">
      <c r="A8" s="275"/>
      <c r="B8" s="688"/>
      <c r="C8" s="90"/>
      <c r="D8" s="23"/>
      <c r="E8" s="24"/>
      <c r="F8" s="25"/>
      <c r="G8" s="91"/>
      <c r="H8" s="92"/>
      <c r="I8" s="30"/>
      <c r="J8" s="29"/>
      <c r="K8" s="30"/>
      <c r="L8" s="31"/>
      <c r="M8" s="32"/>
      <c r="N8" s="30"/>
      <c r="O8" s="93"/>
      <c r="P8" s="30"/>
      <c r="Q8" s="34"/>
      <c r="R8" s="35"/>
      <c r="S8" s="35"/>
      <c r="T8" s="119"/>
      <c r="U8" s="119"/>
      <c r="V8" s="119"/>
      <c r="W8" s="119"/>
      <c r="X8" s="94"/>
    </row>
    <row r="9">
      <c r="A9" s="275"/>
      <c r="B9" s="688"/>
      <c r="C9" s="693"/>
      <c r="D9" s="96"/>
      <c r="E9" s="97"/>
      <c r="F9" s="98"/>
      <c r="G9" s="99"/>
      <c r="H9" s="100"/>
      <c r="I9" s="101"/>
      <c r="J9" s="102"/>
      <c r="K9" s="103"/>
      <c r="L9" s="104"/>
      <c r="M9" s="101"/>
      <c r="N9" s="103"/>
      <c r="O9" s="105"/>
      <c r="P9" s="103"/>
      <c r="Q9" s="106"/>
      <c r="R9" s="107"/>
      <c r="S9" s="107"/>
      <c r="T9" s="269"/>
      <c r="U9" s="269"/>
      <c r="V9" s="269"/>
      <c r="W9" s="269"/>
      <c r="X9" s="94"/>
    </row>
    <row r="10">
      <c r="A10" s="275"/>
      <c r="B10" s="688"/>
      <c r="C10" s="183"/>
      <c r="D10" s="39"/>
      <c r="E10" s="40"/>
      <c r="F10" s="41"/>
      <c r="G10" s="42"/>
      <c r="H10" s="43"/>
      <c r="I10" s="44"/>
      <c r="J10" s="45"/>
      <c r="K10" s="46"/>
      <c r="L10" s="47"/>
      <c r="M10" s="110"/>
      <c r="N10" s="46"/>
      <c r="O10" s="111"/>
      <c r="P10" s="46"/>
      <c r="Q10" s="49"/>
      <c r="R10" s="50"/>
      <c r="S10" s="50"/>
      <c r="T10" s="184"/>
      <c r="U10" s="184"/>
      <c r="V10" s="184"/>
      <c r="W10" s="184"/>
    </row>
    <row r="11">
      <c r="A11" s="342"/>
      <c r="B11" s="687"/>
      <c r="C11" s="90"/>
      <c r="D11" s="23"/>
      <c r="E11" s="24"/>
      <c r="F11" s="25"/>
      <c r="G11" s="91"/>
      <c r="H11" s="92"/>
      <c r="I11" s="32"/>
      <c r="J11" s="29"/>
      <c r="K11" s="30"/>
      <c r="L11" s="31"/>
      <c r="M11" s="32"/>
      <c r="N11" s="30"/>
      <c r="O11" s="112"/>
      <c r="P11" s="30"/>
      <c r="Q11" s="34"/>
      <c r="R11" s="35"/>
      <c r="S11" s="35"/>
      <c r="T11" s="119"/>
      <c r="U11" s="119"/>
      <c r="V11" s="119"/>
      <c r="W11" s="119"/>
      <c r="X11" s="94"/>
    </row>
    <row r="12">
      <c r="A12" s="342"/>
      <c r="B12" s="687"/>
      <c r="C12" s="693"/>
      <c r="D12" s="96"/>
      <c r="E12" s="97"/>
      <c r="F12" s="98"/>
      <c r="G12" s="113"/>
      <c r="H12" s="114"/>
      <c r="I12" s="101"/>
      <c r="J12" s="102"/>
      <c r="K12" s="103"/>
      <c r="L12" s="104"/>
      <c r="M12" s="101"/>
      <c r="N12" s="103"/>
      <c r="O12" s="105"/>
      <c r="P12" s="103"/>
      <c r="Q12" s="106"/>
      <c r="R12" s="115"/>
      <c r="S12" s="107"/>
      <c r="T12" s="269"/>
      <c r="U12" s="269"/>
      <c r="V12" s="269"/>
      <c r="W12" s="269"/>
      <c r="X12" s="94"/>
      <c r="Y12" s="116"/>
    </row>
    <row r="13">
      <c r="A13" s="275"/>
      <c r="B13" s="688"/>
      <c r="C13" s="183"/>
      <c r="D13" s="39"/>
      <c r="E13" s="40"/>
      <c r="F13" s="41"/>
      <c r="G13" s="42"/>
      <c r="H13" s="43"/>
      <c r="I13" s="44"/>
      <c r="J13" s="45"/>
      <c r="K13" s="46"/>
      <c r="L13" s="47"/>
      <c r="M13" s="44"/>
      <c r="N13" s="46"/>
      <c r="O13" s="111"/>
      <c r="P13" s="46"/>
      <c r="Q13" s="49"/>
      <c r="R13" s="50"/>
      <c r="S13" s="50"/>
      <c r="T13" s="184"/>
      <c r="U13" s="184"/>
      <c r="V13" s="184"/>
      <c r="W13" s="184"/>
    </row>
    <row r="14">
      <c r="A14" s="342"/>
      <c r="B14" s="687"/>
      <c r="C14" s="117"/>
      <c r="D14" s="23"/>
      <c r="E14" s="24"/>
      <c r="F14" s="25"/>
      <c r="G14" s="91"/>
      <c r="H14" s="92"/>
      <c r="I14" s="32"/>
      <c r="J14" s="29"/>
      <c r="K14" s="30"/>
      <c r="L14" s="31"/>
      <c r="M14" s="32"/>
      <c r="N14" s="30"/>
      <c r="O14" s="112"/>
      <c r="P14" s="30"/>
      <c r="Q14" s="34"/>
      <c r="R14" s="35"/>
      <c r="S14" s="35"/>
      <c r="T14" s="119"/>
      <c r="U14" s="119"/>
      <c r="V14" s="119"/>
      <c r="W14" s="119"/>
      <c r="X14" s="94"/>
    </row>
    <row r="15" customHeight="1">
      <c r="A15" s="342"/>
      <c r="B15" s="687"/>
      <c r="C15" s="38"/>
      <c r="D15" s="39"/>
      <c r="E15" s="40"/>
      <c r="F15" s="120"/>
      <c r="G15" s="42"/>
      <c r="H15" s="43"/>
      <c r="I15" s="46"/>
      <c r="J15" s="45"/>
      <c r="K15" s="46"/>
      <c r="L15" s="47"/>
      <c r="M15" s="44"/>
      <c r="N15" s="46"/>
      <c r="O15" s="74"/>
      <c r="P15" s="46"/>
      <c r="Q15" s="49"/>
      <c r="R15" s="50"/>
      <c r="S15" s="50"/>
      <c r="T15" s="184"/>
      <c r="U15" s="184"/>
      <c r="V15" s="184"/>
      <c r="W15" s="184"/>
    </row>
    <row r="16">
      <c r="A16" s="342"/>
      <c r="B16" s="687"/>
      <c r="C16" s="75"/>
      <c r="D16" s="76"/>
      <c r="E16" s="77"/>
      <c r="F16" s="121"/>
      <c r="G16" s="79"/>
      <c r="H16" s="122"/>
      <c r="I16" s="81"/>
      <c r="J16" s="82"/>
      <c r="K16" s="81"/>
      <c r="L16" s="83"/>
      <c r="M16" s="84"/>
      <c r="N16" s="81"/>
      <c r="O16" s="123"/>
      <c r="P16" s="81"/>
      <c r="Q16" s="86"/>
      <c r="R16" s="87"/>
      <c r="S16" s="87"/>
      <c r="T16" s="130"/>
      <c r="U16" s="130"/>
      <c r="V16" s="130"/>
      <c r="W16" s="130"/>
    </row>
    <row r="17" customHeight="1">
      <c r="A17" s="275"/>
      <c r="B17" s="688"/>
      <c r="C17" s="124"/>
      <c r="D17" s="76"/>
      <c r="E17" s="77"/>
      <c r="F17" s="125"/>
      <c r="G17" s="132"/>
      <c r="H17" s="133"/>
      <c r="I17" s="84"/>
      <c r="J17" s="82"/>
      <c r="K17" s="81"/>
      <c r="L17" s="83"/>
      <c r="M17" s="84"/>
      <c r="N17" s="81"/>
      <c r="O17" s="128"/>
      <c r="P17" s="81"/>
      <c r="Q17" s="86"/>
      <c r="R17" s="129"/>
      <c r="S17" s="129"/>
      <c r="T17" s="130"/>
      <c r="U17" s="130"/>
      <c r="V17" s="130"/>
      <c r="W17" s="130"/>
    </row>
    <row r="18">
      <c r="A18" s="275"/>
      <c r="B18" s="688"/>
      <c r="C18" s="90"/>
      <c r="D18" s="23"/>
      <c r="E18" s="24"/>
      <c r="F18" s="134"/>
      <c r="G18" s="135"/>
      <c r="H18" s="136"/>
      <c r="I18" s="32"/>
      <c r="J18" s="29"/>
      <c r="K18" s="30"/>
      <c r="L18" s="31"/>
      <c r="M18" s="32"/>
      <c r="N18" s="30"/>
      <c r="O18" s="112"/>
      <c r="P18" s="30"/>
      <c r="Q18" s="34"/>
      <c r="R18" s="35"/>
      <c r="S18" s="35"/>
      <c r="T18" s="119"/>
      <c r="U18" s="119"/>
      <c r="V18" s="119"/>
      <c r="W18" s="119"/>
      <c r="X18" s="94"/>
    </row>
    <row r="19">
      <c r="A19" s="342"/>
      <c r="B19" s="687"/>
      <c r="C19" s="183"/>
      <c r="D19" s="39"/>
      <c r="E19" s="40"/>
      <c r="F19" s="143"/>
      <c r="G19" s="144"/>
      <c r="H19" s="145"/>
      <c r="I19" s="44"/>
      <c r="J19" s="45"/>
      <c r="K19" s="46"/>
      <c r="L19" s="47"/>
      <c r="M19" s="44"/>
      <c r="N19" s="46"/>
      <c r="O19" s="111"/>
      <c r="P19" s="46"/>
      <c r="Q19" s="49"/>
      <c r="R19" s="50"/>
      <c r="S19" s="50"/>
      <c r="T19" s="184"/>
      <c r="U19" s="184"/>
      <c r="V19" s="146"/>
      <c r="W19" s="184"/>
    </row>
    <row r="20">
      <c r="A20" s="275"/>
      <c r="B20" s="688"/>
      <c r="C20" s="124"/>
      <c r="D20" s="76"/>
      <c r="E20" s="77"/>
      <c r="F20" s="78"/>
      <c r="G20" s="144"/>
      <c r="H20" s="145"/>
      <c r="I20" s="84"/>
      <c r="J20" s="82"/>
      <c r="K20" s="81"/>
      <c r="L20" s="83"/>
      <c r="M20" s="84"/>
      <c r="N20" s="81"/>
      <c r="O20" s="128"/>
      <c r="P20" s="81"/>
      <c r="Q20" s="86"/>
      <c r="R20" s="87"/>
      <c r="S20" s="87"/>
      <c r="T20" s="130"/>
      <c r="U20" s="130"/>
      <c r="V20" s="130"/>
      <c r="W20" s="130"/>
    </row>
    <row r="21">
      <c r="A21" s="342"/>
      <c r="B21" s="687"/>
      <c r="C21" s="117"/>
      <c r="D21" s="23"/>
      <c r="E21" s="24"/>
      <c r="F21" s="25"/>
      <c r="G21" s="147"/>
      <c r="H21" s="136"/>
      <c r="I21" s="32"/>
      <c r="J21" s="29"/>
      <c r="K21" s="148"/>
      <c r="L21" s="31"/>
      <c r="M21" s="32"/>
      <c r="N21" s="30"/>
      <c r="O21" s="112"/>
      <c r="P21" s="30"/>
      <c r="Q21" s="34"/>
      <c r="R21" s="35"/>
      <c r="S21" s="35"/>
      <c r="T21" s="119"/>
      <c r="U21" s="119"/>
      <c r="V21" s="119"/>
      <c r="W21" s="119"/>
      <c r="X21" s="94"/>
    </row>
    <row r="22">
      <c r="A22" s="342"/>
      <c r="B22" s="687"/>
      <c r="C22" s="183"/>
      <c r="D22" s="39"/>
      <c r="E22" s="40"/>
      <c r="F22" s="143"/>
      <c r="G22" s="144"/>
      <c r="H22" s="145"/>
      <c r="I22" s="44"/>
      <c r="J22" s="45"/>
      <c r="K22" s="46"/>
      <c r="L22" s="47"/>
      <c r="M22" s="44"/>
      <c r="N22" s="46"/>
      <c r="O22" s="111"/>
      <c r="P22" s="46"/>
      <c r="Q22" s="49"/>
      <c r="R22" s="50"/>
      <c r="S22" s="50"/>
      <c r="T22" s="184"/>
      <c r="U22" s="184"/>
      <c r="V22" s="184"/>
      <c r="W22" s="184"/>
    </row>
    <row r="23">
      <c r="A23" s="342"/>
      <c r="B23" s="687"/>
      <c r="C23" s="75"/>
      <c r="D23" s="76"/>
      <c r="E23" s="77"/>
      <c r="F23" s="149"/>
      <c r="G23" s="144"/>
      <c r="H23" s="150"/>
      <c r="I23" s="81"/>
      <c r="J23" s="82"/>
      <c r="K23" s="81"/>
      <c r="L23" s="83"/>
      <c r="M23" s="84"/>
      <c r="N23" s="81"/>
      <c r="O23" s="123"/>
      <c r="P23" s="81"/>
      <c r="Q23" s="86"/>
      <c r="R23" s="87"/>
      <c r="S23" s="87"/>
      <c r="T23" s="130"/>
      <c r="U23" s="130"/>
      <c r="V23" s="130"/>
      <c r="W23" s="130"/>
    </row>
    <row r="24">
      <c r="A24" s="342"/>
      <c r="B24" s="687"/>
      <c r="C24" s="124"/>
      <c r="D24" s="76"/>
      <c r="E24" s="77"/>
      <c r="F24" s="78"/>
      <c r="G24" s="144"/>
      <c r="H24" s="151"/>
      <c r="I24" s="84"/>
      <c r="J24" s="82"/>
      <c r="K24" s="81"/>
      <c r="L24" s="83"/>
      <c r="M24" s="84"/>
      <c r="N24" s="81"/>
      <c r="O24" s="128"/>
      <c r="P24" s="81"/>
      <c r="Q24" s="86"/>
      <c r="R24" s="129"/>
      <c r="S24" s="129"/>
      <c r="T24" s="130"/>
      <c r="U24" s="130"/>
      <c r="V24" s="130"/>
      <c r="W24" s="130"/>
    </row>
    <row r="25">
      <c r="A25" s="275"/>
      <c r="B25" s="688"/>
      <c r="C25" s="137"/>
      <c r="D25" s="76"/>
      <c r="E25" s="77"/>
      <c r="F25" s="78"/>
      <c r="G25" s="144"/>
      <c r="H25" s="151"/>
      <c r="I25" s="84"/>
      <c r="J25" s="82"/>
      <c r="K25" s="140"/>
      <c r="L25" s="83"/>
      <c r="M25" s="84"/>
      <c r="N25" s="81"/>
      <c r="O25" s="128"/>
      <c r="P25" s="81"/>
      <c r="Q25" s="86"/>
      <c r="R25" s="87"/>
      <c r="S25" s="87"/>
      <c r="T25" s="130"/>
      <c r="U25" s="130"/>
      <c r="V25" s="130"/>
      <c r="W25" s="130"/>
    </row>
    <row r="26">
      <c r="A26" s="342"/>
      <c r="B26" s="687"/>
      <c r="C26" s="75"/>
      <c r="D26" s="76"/>
      <c r="E26" s="77"/>
      <c r="F26" s="78"/>
      <c r="G26" s="144"/>
      <c r="H26" s="151"/>
      <c r="I26" s="84"/>
      <c r="J26" s="82"/>
      <c r="K26" s="140"/>
      <c r="L26" s="83"/>
      <c r="M26" s="154"/>
      <c r="N26" s="81"/>
      <c r="O26" s="128"/>
      <c r="P26" s="81"/>
      <c r="Q26" s="86"/>
      <c r="R26" s="87"/>
      <c r="S26" s="87"/>
      <c r="T26" s="130"/>
      <c r="U26" s="130"/>
      <c r="V26" s="130"/>
      <c r="W26" s="130"/>
    </row>
    <row r="27">
      <c r="A27" s="342"/>
      <c r="B27" s="342"/>
      <c r="C27" s="75"/>
      <c r="D27" s="76"/>
      <c r="E27" s="77"/>
      <c r="F27" s="78"/>
      <c r="G27" s="144"/>
      <c r="H27" s="145"/>
      <c r="I27" s="84"/>
      <c r="J27" s="82"/>
      <c r="K27" s="140"/>
      <c r="L27" s="83"/>
      <c r="M27" s="154"/>
      <c r="N27" s="81"/>
      <c r="O27" s="128"/>
      <c r="P27" s="81"/>
      <c r="Q27" s="86"/>
      <c r="R27" s="87"/>
      <c r="T27" s="130"/>
      <c r="U27" s="130"/>
      <c r="V27" s="130"/>
      <c r="W27" s="130"/>
    </row>
    <row r="28">
      <c r="A28" s="275"/>
      <c r="B28" s="688"/>
      <c r="C28" s="117"/>
      <c r="D28" s="23"/>
      <c r="E28" s="24"/>
      <c r="F28" s="25"/>
      <c r="G28" s="147"/>
      <c r="H28" s="155"/>
      <c r="I28" s="32"/>
      <c r="J28" s="29"/>
      <c r="K28" s="30"/>
      <c r="L28" s="31"/>
      <c r="M28" s="156"/>
      <c r="N28" s="30"/>
      <c r="O28" s="112"/>
      <c r="P28" s="30"/>
      <c r="Q28" s="34"/>
      <c r="R28" s="35"/>
      <c r="S28" s="35"/>
      <c r="T28" s="119"/>
      <c r="U28" s="119"/>
      <c r="V28" s="119"/>
      <c r="W28" s="119"/>
      <c r="X28" s="94"/>
    </row>
    <row r="29">
      <c r="A29" s="275"/>
      <c r="B29" s="688"/>
      <c r="C29" s="183"/>
      <c r="D29" s="39"/>
      <c r="E29" s="40"/>
      <c r="F29" s="41"/>
      <c r="G29" s="144"/>
      <c r="H29" s="145"/>
      <c r="I29" s="44"/>
      <c r="J29" s="45"/>
      <c r="K29" s="46"/>
      <c r="L29" s="47"/>
      <c r="M29" s="44"/>
      <c r="N29" s="46"/>
      <c r="O29" s="111"/>
      <c r="P29" s="46"/>
      <c r="Q29" s="49"/>
      <c r="R29" s="50"/>
      <c r="S29" s="50"/>
      <c r="T29" s="184"/>
      <c r="U29" s="184"/>
      <c r="V29" s="184"/>
      <c r="W29" s="184"/>
    </row>
    <row r="30">
      <c r="A30" s="342"/>
      <c r="B30" s="687"/>
      <c r="C30" s="117"/>
      <c r="D30" s="23"/>
      <c r="E30" s="24"/>
      <c r="F30" s="25"/>
      <c r="G30" s="147"/>
      <c r="H30" s="155"/>
      <c r="I30" s="32"/>
      <c r="J30" s="29"/>
      <c r="K30" s="30"/>
      <c r="L30" s="31"/>
      <c r="M30" s="32"/>
      <c r="N30" s="30"/>
      <c r="O30" s="112"/>
      <c r="P30" s="30"/>
      <c r="Q30" s="34"/>
      <c r="R30" s="35"/>
      <c r="S30" s="35"/>
      <c r="T30" s="119"/>
      <c r="U30" s="119"/>
      <c r="V30" s="119"/>
      <c r="W30" s="119"/>
      <c r="X30" s="94"/>
    </row>
    <row r="31">
      <c r="A31" s="342"/>
      <c r="B31" s="687"/>
      <c r="C31" s="38"/>
      <c r="D31" s="39"/>
      <c r="E31" s="40"/>
      <c r="F31" s="41"/>
      <c r="G31" s="144"/>
      <c r="H31" s="145"/>
      <c r="I31" s="44"/>
      <c r="J31" s="45"/>
      <c r="K31" s="46"/>
      <c r="L31" s="47"/>
      <c r="M31" s="44"/>
      <c r="N31" s="46"/>
      <c r="O31" s="111"/>
      <c r="P31" s="46"/>
      <c r="Q31" s="49"/>
      <c r="R31" s="50"/>
      <c r="S31" s="50"/>
      <c r="T31" s="184"/>
      <c r="U31" s="184"/>
      <c r="V31" s="184"/>
      <c r="W31" s="184"/>
    </row>
    <row r="32">
      <c r="A32" s="342"/>
      <c r="B32" s="687"/>
      <c r="C32" s="124"/>
      <c r="D32" s="76"/>
      <c r="E32" s="77"/>
      <c r="F32" s="78"/>
      <c r="G32" s="144"/>
      <c r="H32" s="145"/>
      <c r="I32" s="84"/>
      <c r="J32" s="82"/>
      <c r="K32" s="81"/>
      <c r="L32" s="83"/>
      <c r="M32" s="84"/>
      <c r="N32" s="81"/>
      <c r="O32" s="128"/>
      <c r="P32" s="81"/>
      <c r="Q32" s="86"/>
      <c r="R32" s="153"/>
      <c r="S32" s="153"/>
      <c r="T32" s="130"/>
      <c r="U32" s="130"/>
      <c r="V32" s="130"/>
      <c r="W32" s="130"/>
    </row>
    <row r="33">
      <c r="A33" s="275"/>
      <c r="B33" s="688"/>
      <c r="C33" s="124"/>
      <c r="D33" s="76"/>
      <c r="E33" s="77"/>
      <c r="F33" s="78"/>
      <c r="G33" s="144"/>
      <c r="H33" s="145"/>
      <c r="I33" s="84"/>
      <c r="J33" s="82"/>
      <c r="K33" s="140"/>
      <c r="L33" s="83"/>
      <c r="M33" s="84"/>
      <c r="N33" s="81"/>
      <c r="O33" s="128"/>
      <c r="P33" s="81"/>
      <c r="Q33" s="86"/>
      <c r="R33" s="153"/>
      <c r="S33" s="87"/>
      <c r="T33" s="130"/>
      <c r="U33" s="130"/>
      <c r="V33" s="130"/>
      <c r="W33" s="130"/>
    </row>
    <row r="34">
      <c r="A34" s="342"/>
      <c r="B34" s="687"/>
      <c r="C34" s="75"/>
      <c r="D34" s="76"/>
      <c r="E34" s="77"/>
      <c r="F34" s="78"/>
      <c r="G34" s="144"/>
      <c r="H34" s="145"/>
      <c r="I34" s="84"/>
      <c r="J34" s="82"/>
      <c r="K34" s="81"/>
      <c r="L34" s="83"/>
      <c r="M34" s="154"/>
      <c r="N34" s="81"/>
      <c r="O34" s="128"/>
      <c r="P34" s="81"/>
      <c r="Q34" s="86"/>
      <c r="R34" s="87"/>
      <c r="S34" s="87"/>
      <c r="T34" s="130"/>
      <c r="U34" s="130"/>
      <c r="V34" s="130"/>
      <c r="W34" s="130"/>
    </row>
    <row r="35">
      <c r="A35" s="342"/>
      <c r="B35" s="687"/>
      <c r="C35" s="90"/>
      <c r="D35" s="23"/>
      <c r="E35" s="24"/>
      <c r="F35" s="25"/>
      <c r="G35" s="147"/>
      <c r="H35" s="155"/>
      <c r="I35" s="32"/>
      <c r="J35" s="174"/>
      <c r="K35" s="148"/>
      <c r="L35" s="31"/>
      <c r="M35" s="156"/>
      <c r="N35" s="30"/>
      <c r="O35" s="112"/>
      <c r="P35" s="30"/>
      <c r="Q35" s="34"/>
      <c r="R35" s="35"/>
      <c r="S35" s="35"/>
      <c r="T35" s="119"/>
      <c r="U35" s="119"/>
      <c r="V35" s="119"/>
      <c r="W35" s="119"/>
      <c r="X35" s="37"/>
    </row>
    <row r="36" customHeight="1">
      <c r="A36" s="275"/>
      <c r="B36" s="688"/>
      <c r="C36" s="183"/>
      <c r="D36" s="39"/>
      <c r="E36" s="40"/>
      <c r="F36" s="181"/>
      <c r="G36" s="144"/>
      <c r="H36" s="145"/>
      <c r="I36" s="46"/>
      <c r="J36" s="182"/>
      <c r="K36" s="46"/>
      <c r="L36" s="47"/>
      <c r="M36" s="44"/>
      <c r="N36" s="46"/>
      <c r="O36" s="74"/>
      <c r="P36" s="46"/>
      <c r="Q36" s="49"/>
      <c r="R36" s="50"/>
      <c r="S36" s="50"/>
      <c r="T36" s="184"/>
      <c r="U36" s="184"/>
      <c r="V36" s="146"/>
      <c r="W36" s="184"/>
    </row>
    <row r="37">
      <c r="A37" s="689"/>
      <c r="B37" s="690"/>
      <c r="C37" s="124"/>
      <c r="D37" s="76"/>
      <c r="E37" s="77"/>
      <c r="F37" s="78"/>
      <c r="G37" s="144"/>
      <c r="H37" s="145"/>
      <c r="I37" s="81"/>
      <c r="J37" s="82"/>
      <c r="K37" s="81"/>
      <c r="L37" s="83"/>
      <c r="M37" s="84"/>
      <c r="N37" s="81"/>
      <c r="O37" s="123"/>
      <c r="P37" s="81"/>
      <c r="Q37" s="86"/>
      <c r="R37" s="87"/>
      <c r="S37" s="87"/>
      <c r="T37" s="130"/>
      <c r="U37" s="130"/>
      <c r="V37" s="130"/>
      <c r="W37" s="130"/>
    </row>
    <row r="38" customHeight="1">
      <c r="A38" s="342"/>
      <c r="B38" s="687"/>
      <c r="C38" s="75"/>
      <c r="D38" s="76"/>
      <c r="E38" s="77"/>
      <c r="F38" s="78"/>
      <c r="G38" s="144"/>
      <c r="H38" s="151"/>
      <c r="I38" s="81"/>
      <c r="J38" s="82"/>
      <c r="K38" s="81"/>
      <c r="L38" s="83"/>
      <c r="M38" s="84"/>
      <c r="N38" s="81"/>
      <c r="O38" s="123"/>
      <c r="P38" s="81"/>
      <c r="Q38" s="86"/>
      <c r="R38" s="87"/>
      <c r="S38" s="87"/>
      <c r="T38" s="130"/>
      <c r="U38" s="130"/>
      <c r="V38" s="130"/>
      <c r="W38" s="130"/>
    </row>
    <row r="39">
      <c r="A39" s="342"/>
      <c r="B39" s="687"/>
      <c r="C39" s="124"/>
      <c r="D39" s="76"/>
      <c r="E39" s="77"/>
      <c r="F39" s="78"/>
      <c r="G39" s="144"/>
      <c r="H39" s="151"/>
      <c r="I39" s="81"/>
      <c r="J39" s="82"/>
      <c r="K39" s="81"/>
      <c r="L39" s="83"/>
      <c r="M39" s="84"/>
      <c r="N39" s="81"/>
      <c r="O39" s="123"/>
      <c r="P39" s="81"/>
      <c r="Q39" s="86"/>
      <c r="R39" s="87"/>
      <c r="S39" s="87"/>
      <c r="T39" s="130"/>
      <c r="U39" s="130"/>
      <c r="V39" s="130"/>
      <c r="W39" s="130"/>
    </row>
    <row r="40" customHeight="1">
      <c r="A40" s="275"/>
      <c r="B40" s="688"/>
      <c r="C40" s="124"/>
      <c r="D40" s="76"/>
      <c r="E40" s="77"/>
      <c r="F40" s="78"/>
      <c r="G40" s="144"/>
      <c r="H40" s="139"/>
      <c r="I40" s="81"/>
      <c r="J40" s="82"/>
      <c r="K40" s="81"/>
      <c r="L40" s="83"/>
      <c r="M40" s="84"/>
      <c r="N40" s="81"/>
      <c r="O40" s="123"/>
      <c r="P40" s="81"/>
      <c r="Q40" s="86"/>
      <c r="R40" s="153"/>
      <c r="S40" s="153"/>
      <c r="T40" s="130"/>
      <c r="U40" s="130"/>
      <c r="V40" s="130"/>
      <c r="W40" s="130"/>
    </row>
    <row r="41">
      <c r="A41" s="342"/>
      <c r="B41" s="687"/>
      <c r="C41" s="124"/>
      <c r="D41" s="76"/>
      <c r="E41" s="77"/>
      <c r="F41" s="78"/>
      <c r="G41" s="144"/>
      <c r="H41" s="151"/>
      <c r="I41" s="81"/>
      <c r="J41" s="82"/>
      <c r="K41" s="185"/>
      <c r="L41" s="83"/>
      <c r="M41" s="84"/>
      <c r="N41" s="81"/>
      <c r="O41" s="123"/>
      <c r="P41" s="81"/>
      <c r="Q41" s="86"/>
      <c r="R41" s="87"/>
      <c r="S41" s="87"/>
      <c r="T41" s="130"/>
      <c r="U41" s="130"/>
      <c r="V41" s="130"/>
      <c r="W41" s="130"/>
    </row>
    <row r="42" customHeight="1">
      <c r="A42" s="342"/>
      <c r="B42" s="687"/>
      <c r="C42" s="124"/>
      <c r="D42" s="76"/>
      <c r="E42" s="77"/>
      <c r="F42" s="78"/>
      <c r="G42" s="144"/>
      <c r="H42" s="145"/>
      <c r="I42" s="81"/>
      <c r="J42" s="82"/>
      <c r="K42" s="81"/>
      <c r="L42" s="83"/>
      <c r="M42" s="84"/>
      <c r="N42" s="81"/>
      <c r="O42" s="123"/>
      <c r="P42" s="81"/>
      <c r="Q42" s="86"/>
      <c r="R42" s="87"/>
      <c r="S42" s="87"/>
      <c r="T42" s="130"/>
      <c r="U42" s="130"/>
      <c r="V42" s="89"/>
      <c r="W42" s="130"/>
    </row>
    <row r="43">
      <c r="A43" s="275"/>
      <c r="B43" s="688"/>
      <c r="C43" s="124"/>
      <c r="D43" s="76"/>
      <c r="E43" s="77"/>
      <c r="F43" s="78"/>
      <c r="G43" s="144"/>
      <c r="H43" s="145"/>
      <c r="I43" s="81"/>
      <c r="J43" s="82"/>
      <c r="K43" s="81"/>
      <c r="L43" s="83"/>
      <c r="M43" s="84"/>
      <c r="N43" s="81"/>
      <c r="O43" s="123"/>
      <c r="P43" s="81"/>
      <c r="Q43" s="86"/>
      <c r="R43" s="87"/>
      <c r="S43" s="87"/>
      <c r="T43" s="130"/>
      <c r="U43" s="130"/>
      <c r="V43" s="89"/>
      <c r="W43" s="130"/>
    </row>
    <row r="44">
      <c r="A44" s="342"/>
      <c r="B44" s="687"/>
      <c r="C44" s="90"/>
      <c r="D44" s="23"/>
      <c r="E44" s="24"/>
      <c r="F44" s="25"/>
      <c r="G44" s="147"/>
      <c r="H44" s="155"/>
      <c r="I44" s="30"/>
      <c r="J44" s="29"/>
      <c r="K44" s="30"/>
      <c r="L44" s="31"/>
      <c r="M44" s="32"/>
      <c r="N44" s="30"/>
      <c r="O44" s="93"/>
      <c r="P44" s="30"/>
      <c r="Q44" s="34"/>
      <c r="R44" s="196"/>
      <c r="S44" s="196"/>
      <c r="T44" s="119"/>
      <c r="U44" s="119"/>
      <c r="V44" s="70"/>
      <c r="W44" s="119"/>
      <c r="X44" s="94"/>
    </row>
    <row r="45">
      <c r="A45" s="342"/>
      <c r="B45" s="687"/>
      <c r="C45" s="183"/>
      <c r="D45" s="39"/>
      <c r="E45" s="40"/>
      <c r="F45" s="197"/>
      <c r="G45" s="144"/>
      <c r="H45" s="145"/>
      <c r="I45" s="46"/>
      <c r="J45" s="45"/>
      <c r="K45" s="46"/>
      <c r="L45" s="47"/>
      <c r="M45" s="44"/>
      <c r="N45" s="46"/>
      <c r="O45" s="74"/>
      <c r="P45" s="46"/>
      <c r="Q45" s="49"/>
      <c r="R45" s="50"/>
      <c r="S45" s="50"/>
      <c r="T45" s="184"/>
      <c r="U45" s="184"/>
      <c r="V45" s="146"/>
      <c r="W45" s="184"/>
    </row>
    <row r="46">
      <c r="A46" s="275"/>
      <c r="B46" s="688"/>
      <c r="C46" s="124"/>
      <c r="D46" s="76"/>
      <c r="E46" s="77"/>
      <c r="F46" s="78"/>
      <c r="G46" s="144"/>
      <c r="H46" s="151"/>
      <c r="I46" s="81"/>
      <c r="J46" s="198"/>
      <c r="K46" s="81"/>
      <c r="L46" s="83"/>
      <c r="M46" s="84"/>
      <c r="N46" s="81"/>
      <c r="O46" s="123"/>
      <c r="P46" s="81"/>
      <c r="Q46" s="86"/>
      <c r="R46" s="87"/>
      <c r="S46" s="87"/>
      <c r="T46" s="130"/>
      <c r="U46" s="130"/>
      <c r="V46" s="89"/>
      <c r="W46" s="130"/>
    </row>
    <row r="47">
      <c r="A47" s="342"/>
      <c r="B47" s="687"/>
      <c r="C47" s="117"/>
      <c r="D47" s="23"/>
      <c r="E47" s="24"/>
      <c r="F47" s="25"/>
      <c r="G47" s="147"/>
      <c r="H47" s="136"/>
      <c r="I47" s="30"/>
      <c r="J47" s="29"/>
      <c r="K47" s="199"/>
      <c r="L47" s="31"/>
      <c r="M47" s="32"/>
      <c r="N47" s="30"/>
      <c r="O47" s="93"/>
      <c r="P47" s="30"/>
      <c r="Q47" s="34"/>
      <c r="R47" s="35"/>
      <c r="S47" s="35"/>
      <c r="T47" s="119"/>
      <c r="U47" s="119"/>
      <c r="V47" s="70"/>
      <c r="W47" s="119"/>
      <c r="X47" s="37"/>
    </row>
    <row r="48">
      <c r="A48" s="342"/>
      <c r="B48" s="687"/>
      <c r="C48" s="38"/>
      <c r="D48" s="39"/>
      <c r="E48" s="40"/>
      <c r="F48" s="41"/>
      <c r="G48" s="144"/>
      <c r="H48" s="151"/>
      <c r="I48" s="46"/>
      <c r="J48" s="45"/>
      <c r="K48" s="46"/>
      <c r="L48" s="47"/>
      <c r="M48" s="44"/>
      <c r="N48" s="46"/>
      <c r="O48" s="74"/>
      <c r="P48" s="46"/>
      <c r="Q48" s="49"/>
      <c r="R48" s="200"/>
      <c r="S48" s="200"/>
      <c r="T48" s="184"/>
      <c r="U48" s="184"/>
      <c r="V48" s="146"/>
      <c r="W48" s="184"/>
    </row>
    <row r="49">
      <c r="A49" s="342"/>
      <c r="B49" s="687"/>
      <c r="C49" s="90"/>
      <c r="D49" s="23"/>
      <c r="E49" s="24"/>
      <c r="F49" s="25"/>
      <c r="G49" s="147"/>
      <c r="H49" s="155"/>
      <c r="I49" s="30"/>
      <c r="J49" s="29"/>
      <c r="K49" s="201"/>
      <c r="L49" s="31"/>
      <c r="M49" s="32"/>
      <c r="N49" s="30"/>
      <c r="O49" s="93"/>
      <c r="P49" s="30"/>
      <c r="Q49" s="34"/>
      <c r="R49" s="35"/>
      <c r="S49" s="35"/>
      <c r="T49" s="119"/>
      <c r="U49" s="119"/>
      <c r="V49" s="70"/>
      <c r="W49" s="119"/>
      <c r="X49" s="37"/>
    </row>
    <row r="50">
      <c r="A50" s="275"/>
      <c r="B50" s="688"/>
      <c r="C50" s="183"/>
      <c r="D50" s="39"/>
      <c r="E50" s="40"/>
      <c r="F50" s="197"/>
      <c r="G50" s="144"/>
      <c r="H50" s="145"/>
      <c r="I50" s="46"/>
      <c r="J50" s="45"/>
      <c r="K50" s="46"/>
      <c r="L50" s="47"/>
      <c r="M50" s="44"/>
      <c r="N50" s="46"/>
      <c r="O50" s="74"/>
      <c r="P50" s="46"/>
      <c r="Q50" s="49"/>
      <c r="R50" s="50"/>
      <c r="S50" s="50"/>
      <c r="T50" s="184"/>
      <c r="U50" s="184"/>
      <c r="V50" s="146"/>
      <c r="W50" s="184"/>
    </row>
    <row r="51">
      <c r="A51" s="689"/>
      <c r="B51" s="690"/>
      <c r="C51" s="75"/>
      <c r="D51" s="76"/>
      <c r="E51" s="77"/>
      <c r="F51" s="78"/>
      <c r="G51" s="144"/>
      <c r="H51" s="145"/>
      <c r="I51" s="81"/>
      <c r="J51" s="82"/>
      <c r="K51" s="81"/>
      <c r="L51" s="83"/>
      <c r="M51" s="84"/>
      <c r="N51" s="81"/>
      <c r="O51" s="123"/>
      <c r="P51" s="81"/>
      <c r="Q51" s="86"/>
      <c r="R51" s="87"/>
      <c r="S51" s="87"/>
      <c r="T51" s="130"/>
      <c r="U51" s="130"/>
      <c r="V51" s="89"/>
      <c r="W51" s="130"/>
    </row>
    <row r="52">
      <c r="A52" s="342"/>
      <c r="B52" s="687"/>
      <c r="C52" s="75"/>
      <c r="D52" s="76"/>
      <c r="E52" s="77"/>
      <c r="F52" s="78"/>
      <c r="G52" s="144"/>
      <c r="H52" s="150"/>
      <c r="I52" s="81"/>
      <c r="J52" s="82"/>
      <c r="K52" s="81"/>
      <c r="L52" s="83"/>
      <c r="M52" s="84"/>
      <c r="N52" s="81"/>
      <c r="O52" s="123"/>
      <c r="P52" s="81"/>
      <c r="Q52" s="86"/>
      <c r="R52" s="87"/>
      <c r="S52" s="87"/>
      <c r="T52" s="130"/>
      <c r="U52" s="130"/>
      <c r="V52" s="130"/>
      <c r="W52" s="130"/>
    </row>
    <row r="53">
      <c r="A53" s="275"/>
      <c r="B53" s="688"/>
      <c r="C53" s="75"/>
      <c r="D53" s="76"/>
      <c r="E53" s="77"/>
      <c r="F53" s="78"/>
      <c r="G53" s="144"/>
      <c r="H53" s="145"/>
      <c r="I53" s="81"/>
      <c r="J53" s="82"/>
      <c r="K53" s="81"/>
      <c r="L53" s="83"/>
      <c r="M53" s="84"/>
      <c r="N53" s="81"/>
      <c r="O53" s="123"/>
      <c r="P53" s="81"/>
      <c r="Q53" s="86"/>
      <c r="R53" s="87"/>
      <c r="S53" s="87"/>
      <c r="T53" s="130"/>
      <c r="U53" s="130"/>
      <c r="V53" s="89"/>
      <c r="W53" s="130"/>
    </row>
    <row r="54">
      <c r="A54" s="275"/>
      <c r="B54" s="688"/>
      <c r="C54" s="124"/>
      <c r="D54" s="76"/>
      <c r="E54" s="77"/>
      <c r="F54" s="78"/>
      <c r="G54" s="144"/>
      <c r="H54" s="145"/>
      <c r="I54" s="81"/>
      <c r="J54" s="82"/>
      <c r="K54" s="81"/>
      <c r="L54" s="83"/>
      <c r="M54" s="84"/>
      <c r="N54" s="81"/>
      <c r="O54" s="123"/>
      <c r="P54" s="81"/>
      <c r="Q54" s="86"/>
      <c r="R54" s="153"/>
      <c r="S54" s="153"/>
      <c r="T54" s="130"/>
      <c r="U54" s="130"/>
      <c r="V54" s="130"/>
      <c r="W54" s="130"/>
    </row>
    <row r="55">
      <c r="A55" s="275"/>
      <c r="B55" s="688"/>
      <c r="C55" s="124"/>
      <c r="D55" s="76"/>
      <c r="E55" s="77"/>
      <c r="F55" s="78"/>
      <c r="G55" s="138"/>
      <c r="H55" s="150"/>
      <c r="I55" s="81"/>
      <c r="J55" s="82"/>
      <c r="K55" s="81"/>
      <c r="L55" s="83"/>
      <c r="M55" s="84"/>
      <c r="N55" s="81"/>
      <c r="O55" s="123"/>
      <c r="P55" s="81"/>
      <c r="Q55" s="86"/>
      <c r="R55" s="87"/>
      <c r="S55" s="87"/>
      <c r="T55" s="130"/>
      <c r="U55" s="130"/>
      <c r="V55" s="130"/>
      <c r="W55" s="130"/>
    </row>
    <row r="56">
      <c r="A56" s="342"/>
      <c r="B56" s="687"/>
      <c r="C56" s="124"/>
      <c r="D56" s="76"/>
      <c r="E56" s="77"/>
      <c r="F56" s="78"/>
      <c r="G56" s="144"/>
      <c r="H56" s="145"/>
      <c r="I56" s="81"/>
      <c r="J56" s="82"/>
      <c r="K56" s="81"/>
      <c r="L56" s="83"/>
      <c r="M56" s="84"/>
      <c r="N56" s="81"/>
      <c r="O56" s="123"/>
      <c r="P56" s="81"/>
      <c r="Q56" s="86"/>
      <c r="R56" s="87"/>
      <c r="S56" s="87"/>
      <c r="T56" s="130"/>
      <c r="U56" s="130"/>
      <c r="V56" s="130"/>
      <c r="W56" s="130"/>
    </row>
    <row r="57">
      <c r="A57" s="342"/>
      <c r="B57" s="687"/>
      <c r="C57" s="117"/>
      <c r="D57" s="23"/>
      <c r="E57" s="24"/>
      <c r="F57" s="25"/>
      <c r="G57" s="147"/>
      <c r="H57" s="155"/>
      <c r="I57" s="30"/>
      <c r="J57" s="29"/>
      <c r="K57" s="202"/>
      <c r="L57" s="31"/>
      <c r="M57" s="32"/>
      <c r="N57" s="30"/>
      <c r="O57" s="93"/>
      <c r="P57" s="30"/>
      <c r="Q57" s="34"/>
      <c r="R57" s="203"/>
      <c r="S57" s="203"/>
      <c r="T57" s="119"/>
      <c r="U57" s="119"/>
      <c r="V57" s="119"/>
      <c r="W57" s="119"/>
      <c r="X57" s="94"/>
    </row>
    <row r="58">
      <c r="A58" s="342"/>
      <c r="B58" s="687"/>
      <c r="C58" s="693"/>
      <c r="D58" s="96"/>
      <c r="E58" s="97"/>
      <c r="F58" s="98"/>
      <c r="G58" s="147"/>
      <c r="H58" s="155"/>
      <c r="I58" s="103"/>
      <c r="J58" s="102"/>
      <c r="K58" s="103"/>
      <c r="L58" s="104"/>
      <c r="M58" s="101"/>
      <c r="N58" s="103"/>
      <c r="O58" s="204"/>
      <c r="P58" s="103"/>
      <c r="Q58" s="106"/>
      <c r="R58" s="107"/>
      <c r="S58" s="107"/>
      <c r="T58" s="269"/>
      <c r="U58" s="269"/>
      <c r="V58" s="205"/>
      <c r="W58" s="269"/>
      <c r="X58" s="94"/>
    </row>
    <row r="59">
      <c r="A59" s="342"/>
      <c r="B59" s="687"/>
      <c r="C59" s="693"/>
      <c r="D59" s="96"/>
      <c r="E59" s="97"/>
      <c r="F59" s="98"/>
      <c r="G59" s="147"/>
      <c r="H59" s="155"/>
      <c r="I59" s="103"/>
      <c r="J59" s="102"/>
      <c r="K59" s="206"/>
      <c r="L59" s="104"/>
      <c r="M59" s="101"/>
      <c r="N59" s="103"/>
      <c r="O59" s="204"/>
      <c r="P59" s="103"/>
      <c r="Q59" s="207"/>
      <c r="R59" s="107"/>
      <c r="S59" s="107"/>
      <c r="T59" s="269"/>
      <c r="U59" s="269"/>
      <c r="V59" s="205"/>
      <c r="W59" s="269"/>
      <c r="X59" s="94"/>
    </row>
    <row r="60">
      <c r="A60" s="342"/>
      <c r="B60" s="687"/>
      <c r="C60" s="38"/>
      <c r="D60" s="39"/>
      <c r="E60" s="40"/>
      <c r="F60" s="41"/>
      <c r="G60" s="144"/>
      <c r="H60" s="150"/>
      <c r="I60" s="46"/>
      <c r="J60" s="45"/>
      <c r="K60" s="208"/>
      <c r="L60" s="47"/>
      <c r="M60" s="44"/>
      <c r="N60" s="46"/>
      <c r="O60" s="74"/>
      <c r="P60" s="46"/>
      <c r="Q60" s="49"/>
      <c r="R60" s="209"/>
      <c r="S60" s="209"/>
      <c r="T60" s="184"/>
      <c r="U60" s="184"/>
      <c r="V60" s="146"/>
      <c r="W60" s="184"/>
    </row>
    <row r="61">
      <c r="A61" s="275"/>
      <c r="B61" s="688"/>
      <c r="C61" s="75"/>
      <c r="D61" s="76"/>
      <c r="E61" s="77"/>
      <c r="F61" s="78"/>
      <c r="G61" s="144"/>
      <c r="H61" s="145"/>
      <c r="I61" s="81"/>
      <c r="J61" s="82"/>
      <c r="K61" s="185"/>
      <c r="L61" s="83"/>
      <c r="M61" s="154"/>
      <c r="N61" s="81"/>
      <c r="O61" s="85"/>
      <c r="P61" s="81"/>
      <c r="Q61" s="86"/>
      <c r="R61" s="87"/>
      <c r="S61" s="87"/>
      <c r="T61" s="130"/>
      <c r="U61" s="130"/>
      <c r="V61" s="89"/>
      <c r="W61" s="130"/>
    </row>
    <row r="62">
      <c r="A62" s="275"/>
      <c r="B62" s="688"/>
      <c r="C62" s="75"/>
      <c r="D62" s="76"/>
      <c r="E62" s="77"/>
      <c r="F62" s="78"/>
      <c r="G62" s="144"/>
      <c r="H62" s="145"/>
      <c r="I62" s="81"/>
      <c r="J62" s="82"/>
      <c r="K62" s="140"/>
      <c r="L62" s="83"/>
      <c r="M62" s="154"/>
      <c r="N62" s="81"/>
      <c r="O62" s="85"/>
      <c r="P62" s="81"/>
      <c r="Q62" s="86"/>
      <c r="R62" s="87"/>
      <c r="S62" s="87"/>
      <c r="T62" s="130"/>
      <c r="U62" s="130"/>
      <c r="V62" s="89"/>
      <c r="W62" s="130"/>
    </row>
    <row r="63">
      <c r="A63" s="275"/>
      <c r="B63" s="688"/>
      <c r="C63" s="117"/>
      <c r="D63" s="23"/>
      <c r="E63" s="24"/>
      <c r="F63" s="25"/>
      <c r="G63" s="147"/>
      <c r="H63" s="155"/>
      <c r="I63" s="30"/>
      <c r="J63" s="29"/>
      <c r="K63" s="30"/>
      <c r="L63" s="31"/>
      <c r="M63" s="156"/>
      <c r="N63" s="30"/>
      <c r="O63" s="228"/>
      <c r="P63" s="30"/>
      <c r="Q63" s="34"/>
      <c r="R63" s="35"/>
      <c r="S63" s="35"/>
      <c r="T63" s="119"/>
      <c r="U63" s="119"/>
      <c r="V63" s="119"/>
      <c r="W63" s="119"/>
      <c r="X63" s="94"/>
    </row>
    <row r="64">
      <c r="A64" s="342"/>
      <c r="B64" s="687"/>
      <c r="C64" s="183"/>
      <c r="D64" s="39"/>
      <c r="E64" s="40"/>
      <c r="F64" s="41"/>
      <c r="G64" s="144"/>
      <c r="H64" s="145"/>
      <c r="I64" s="46"/>
      <c r="J64" s="45"/>
      <c r="K64" s="46"/>
      <c r="L64" s="47"/>
      <c r="M64" s="44"/>
      <c r="N64" s="46"/>
      <c r="O64" s="74"/>
      <c r="P64" s="46"/>
      <c r="Q64" s="49"/>
      <c r="R64" s="50"/>
      <c r="S64" s="50"/>
      <c r="T64" s="184"/>
      <c r="U64" s="184"/>
      <c r="V64" s="146"/>
      <c r="W64" s="184"/>
    </row>
    <row r="65">
      <c r="A65" s="342"/>
      <c r="B65" s="687"/>
      <c r="C65" s="75"/>
      <c r="D65" s="76"/>
      <c r="E65" s="77"/>
      <c r="F65" s="78"/>
      <c r="G65" s="144"/>
      <c r="H65" s="145"/>
      <c r="I65" s="81"/>
      <c r="J65" s="232"/>
      <c r="K65" s="81"/>
      <c r="L65" s="83"/>
      <c r="M65" s="84"/>
      <c r="N65" s="81"/>
      <c r="O65" s="123"/>
      <c r="P65" s="81"/>
      <c r="Q65" s="86"/>
      <c r="R65" s="87"/>
      <c r="S65" s="87"/>
      <c r="T65" s="130"/>
      <c r="U65" s="130"/>
      <c r="V65" s="130"/>
      <c r="W65" s="130"/>
    </row>
    <row r="66">
      <c r="A66" s="275"/>
      <c r="B66" s="688"/>
      <c r="C66" s="75"/>
      <c r="D66" s="76"/>
      <c r="E66" s="77"/>
      <c r="F66" s="78"/>
      <c r="G66" s="144"/>
      <c r="H66" s="145"/>
      <c r="I66" s="81"/>
      <c r="J66" s="82"/>
      <c r="K66" s="81"/>
      <c r="L66" s="83"/>
      <c r="M66" s="84"/>
      <c r="N66" s="81"/>
      <c r="O66" s="123"/>
      <c r="P66" s="81"/>
      <c r="Q66" s="86"/>
      <c r="R66" s="153"/>
      <c r="S66" s="87"/>
      <c r="T66" s="130"/>
      <c r="U66" s="130"/>
      <c r="V66" s="89"/>
      <c r="W66" s="130"/>
    </row>
    <row r="67">
      <c r="A67" s="275"/>
      <c r="B67" s="688"/>
      <c r="C67" s="124"/>
      <c r="D67" s="76"/>
      <c r="E67" s="77"/>
      <c r="F67" s="78"/>
      <c r="G67" s="144"/>
      <c r="H67" s="145"/>
      <c r="I67" s="81"/>
      <c r="J67" s="82"/>
      <c r="K67" s="81"/>
      <c r="L67" s="83"/>
      <c r="M67" s="84"/>
      <c r="N67" s="81"/>
      <c r="O67" s="123"/>
      <c r="P67" s="81"/>
      <c r="Q67" s="86"/>
      <c r="R67" s="153"/>
      <c r="S67" s="153"/>
      <c r="T67" s="130"/>
      <c r="U67" s="130"/>
      <c r="V67" s="89"/>
      <c r="W67" s="130"/>
    </row>
    <row r="68">
      <c r="A68" s="342"/>
      <c r="B68" s="687"/>
      <c r="C68" s="124"/>
      <c r="D68" s="76"/>
      <c r="E68" s="77"/>
      <c r="F68" s="78"/>
      <c r="G68" s="144"/>
      <c r="H68" s="145"/>
      <c r="I68" s="81"/>
      <c r="J68" s="82"/>
      <c r="K68" s="81"/>
      <c r="L68" s="83"/>
      <c r="M68" s="154"/>
      <c r="N68" s="81"/>
      <c r="O68" s="123"/>
      <c r="P68" s="81"/>
      <c r="Q68" s="86"/>
      <c r="R68" s="87"/>
      <c r="S68" s="87"/>
      <c r="T68" s="130"/>
      <c r="U68" s="130"/>
      <c r="V68" s="89"/>
      <c r="W68" s="130"/>
    </row>
    <row r="69">
      <c r="A69" s="342"/>
      <c r="B69" s="687"/>
      <c r="C69" s="75"/>
      <c r="D69" s="76"/>
      <c r="E69" s="77"/>
      <c r="F69" s="78"/>
      <c r="G69" s="144"/>
      <c r="H69" s="145"/>
      <c r="I69" s="81"/>
      <c r="J69" s="82"/>
      <c r="K69" s="81"/>
      <c r="L69" s="83"/>
      <c r="M69" s="84"/>
      <c r="N69" s="81"/>
      <c r="O69" s="123"/>
      <c r="P69" s="81"/>
      <c r="Q69" s="233"/>
      <c r="R69" s="87"/>
      <c r="S69" s="87"/>
      <c r="T69" s="130"/>
      <c r="U69" s="130"/>
      <c r="V69" s="89"/>
      <c r="W69" s="130"/>
    </row>
    <row r="70">
      <c r="A70" s="275"/>
      <c r="B70" s="688"/>
      <c r="C70" s="124"/>
      <c r="D70" s="76"/>
      <c r="E70" s="77"/>
      <c r="F70" s="78"/>
      <c r="G70" s="144"/>
      <c r="H70" s="145"/>
      <c r="I70" s="81"/>
      <c r="J70" s="82"/>
      <c r="K70" s="81"/>
      <c r="L70" s="83"/>
      <c r="M70" s="84"/>
      <c r="N70" s="81"/>
      <c r="O70" s="123"/>
      <c r="P70" s="81"/>
      <c r="Q70" s="86"/>
      <c r="R70" s="87"/>
      <c r="S70" s="87"/>
      <c r="T70" s="130"/>
      <c r="U70" s="130"/>
      <c r="V70" s="89"/>
      <c r="W70" s="130"/>
    </row>
    <row r="71">
      <c r="A71" s="275"/>
      <c r="B71" s="688"/>
      <c r="C71" s="117"/>
      <c r="D71" s="23"/>
      <c r="E71" s="24"/>
      <c r="F71" s="25"/>
      <c r="G71" s="147"/>
      <c r="H71" s="155"/>
      <c r="I71" s="30"/>
      <c r="J71" s="29"/>
      <c r="K71" s="30"/>
      <c r="L71" s="31"/>
      <c r="M71" s="32"/>
      <c r="N71" s="30"/>
      <c r="O71" s="93"/>
      <c r="P71" s="30"/>
      <c r="Q71" s="34"/>
      <c r="R71" s="35"/>
      <c r="S71" s="35"/>
      <c r="T71" s="119"/>
      <c r="U71" s="119"/>
      <c r="V71" s="70"/>
      <c r="W71" s="119"/>
      <c r="X71" s="94"/>
    </row>
    <row r="72">
      <c r="A72" s="342"/>
      <c r="B72" s="687"/>
      <c r="C72" s="693"/>
      <c r="D72" s="96"/>
      <c r="E72" s="97"/>
      <c r="F72" s="98"/>
      <c r="G72" s="147"/>
      <c r="H72" s="155"/>
      <c r="I72" s="103"/>
      <c r="J72" s="102"/>
      <c r="K72" s="256"/>
      <c r="L72" s="104"/>
      <c r="M72" s="257"/>
      <c r="N72" s="103"/>
      <c r="O72" s="204"/>
      <c r="P72" s="103"/>
      <c r="Q72" s="106"/>
      <c r="R72" s="107"/>
      <c r="S72" s="107"/>
      <c r="T72" s="269"/>
      <c r="U72" s="269"/>
      <c r="V72" s="269"/>
      <c r="W72" s="269"/>
      <c r="X72" s="94"/>
    </row>
    <row r="73">
      <c r="A73" s="342"/>
      <c r="B73" s="687"/>
      <c r="C73" s="183"/>
      <c r="D73" s="39"/>
      <c r="E73" s="40"/>
      <c r="F73" s="41"/>
      <c r="G73" s="144"/>
      <c r="H73" s="145"/>
      <c r="I73" s="46"/>
      <c r="J73" s="45"/>
      <c r="K73" s="258"/>
      <c r="L73" s="47"/>
      <c r="M73" s="110"/>
      <c r="N73" s="46"/>
      <c r="O73" s="74"/>
      <c r="P73" s="46"/>
      <c r="Q73" s="49"/>
      <c r="R73" s="50"/>
      <c r="S73" s="50"/>
      <c r="T73" s="184"/>
      <c r="U73" s="184"/>
      <c r="V73" s="146"/>
      <c r="W73" s="184"/>
    </row>
    <row r="74">
      <c r="A74" s="342"/>
      <c r="B74" s="687"/>
      <c r="C74" s="124"/>
      <c r="D74" s="76"/>
      <c r="E74" s="77"/>
      <c r="F74" s="78"/>
      <c r="G74" s="144"/>
      <c r="H74" s="151"/>
      <c r="I74" s="81"/>
      <c r="J74" s="82"/>
      <c r="K74" s="259"/>
      <c r="L74" s="83"/>
      <c r="M74" s="84"/>
      <c r="N74" s="81"/>
      <c r="O74" s="123"/>
      <c r="P74" s="81"/>
      <c r="Q74" s="86"/>
      <c r="R74" s="129"/>
      <c r="S74" s="129"/>
      <c r="T74" s="130"/>
      <c r="U74" s="130"/>
      <c r="V74" s="130"/>
      <c r="W74" s="130"/>
    </row>
    <row r="75">
      <c r="A75" s="342"/>
      <c r="B75" s="687"/>
      <c r="C75" s="90"/>
      <c r="D75" s="23"/>
      <c r="E75" s="24"/>
      <c r="F75" s="25"/>
      <c r="G75" s="147"/>
      <c r="H75" s="136"/>
      <c r="I75" s="30"/>
      <c r="J75" s="29"/>
      <c r="K75" s="199"/>
      <c r="L75" s="31"/>
      <c r="M75" s="156"/>
      <c r="N75" s="30"/>
      <c r="O75" s="228"/>
      <c r="P75" s="30"/>
      <c r="Q75" s="34"/>
      <c r="R75" s="35"/>
      <c r="S75" s="35"/>
      <c r="T75" s="119"/>
      <c r="U75" s="119"/>
      <c r="V75" s="70"/>
      <c r="W75" s="119"/>
      <c r="X75" s="94"/>
    </row>
    <row r="76" customHeight="1">
      <c r="A76" s="275"/>
      <c r="B76" s="688"/>
      <c r="C76" s="265"/>
      <c r="D76" s="96"/>
      <c r="E76" s="97"/>
      <c r="F76" s="98"/>
      <c r="G76" s="147"/>
      <c r="H76" s="266"/>
      <c r="I76" s="103"/>
      <c r="J76" s="267"/>
      <c r="K76" s="103"/>
      <c r="L76" s="104"/>
      <c r="M76" s="101"/>
      <c r="N76" s="103"/>
      <c r="O76" s="204"/>
      <c r="P76" s="103"/>
      <c r="Q76" s="106"/>
      <c r="R76" s="107"/>
      <c r="S76" s="107"/>
      <c r="T76" s="269"/>
      <c r="U76" s="269"/>
      <c r="V76" s="269"/>
      <c r="W76" s="269"/>
      <c r="X76" s="37"/>
    </row>
    <row r="77" customHeight="1">
      <c r="A77" s="275"/>
      <c r="B77" s="688"/>
      <c r="C77" s="693"/>
      <c r="D77" s="96"/>
      <c r="E77" s="97"/>
      <c r="F77" s="98"/>
      <c r="G77" s="147"/>
      <c r="H77" s="155"/>
      <c r="I77" s="103"/>
      <c r="J77" s="102"/>
      <c r="K77" s="256"/>
      <c r="L77" s="104"/>
      <c r="M77" s="101"/>
      <c r="N77" s="103"/>
      <c r="O77" s="204"/>
      <c r="P77" s="103"/>
      <c r="Q77" s="106"/>
      <c r="R77" s="107"/>
      <c r="S77" s="107"/>
      <c r="T77" s="269"/>
      <c r="U77" s="269"/>
      <c r="V77" s="205"/>
      <c r="W77" s="269"/>
      <c r="X77" s="94"/>
    </row>
    <row r="78">
      <c r="A78" s="342"/>
      <c r="B78" s="687"/>
      <c r="C78" s="183"/>
      <c r="D78" s="39"/>
      <c r="E78" s="40"/>
      <c r="F78" s="41"/>
      <c r="G78" s="144"/>
      <c r="H78" s="145"/>
      <c r="I78" s="46"/>
      <c r="J78" s="182"/>
      <c r="K78" s="258"/>
      <c r="L78" s="47"/>
      <c r="M78" s="44"/>
      <c r="N78" s="46"/>
      <c r="O78" s="74"/>
      <c r="P78" s="46"/>
      <c r="Q78" s="49"/>
      <c r="R78" s="50"/>
      <c r="S78" s="50"/>
      <c r="T78" s="184"/>
      <c r="U78" s="184"/>
      <c r="V78" s="184"/>
      <c r="W78" s="184"/>
    </row>
    <row r="79">
      <c r="A79" s="342"/>
      <c r="B79" s="687"/>
      <c r="C79" s="75"/>
      <c r="D79" s="76"/>
      <c r="E79" s="77"/>
      <c r="F79" s="78"/>
      <c r="G79" s="144"/>
      <c r="H79" s="150"/>
      <c r="I79" s="81"/>
      <c r="J79" s="270"/>
      <c r="K79" s="81"/>
      <c r="L79" s="83"/>
      <c r="M79" s="84"/>
      <c r="N79" s="81"/>
      <c r="O79" s="123"/>
      <c r="P79" s="81"/>
      <c r="Q79" s="86"/>
      <c r="R79" s="129"/>
      <c r="S79" s="129"/>
      <c r="T79" s="130"/>
      <c r="U79" s="130"/>
      <c r="V79" s="89"/>
      <c r="W79" s="130"/>
    </row>
    <row r="80">
      <c r="A80" s="275"/>
      <c r="B80" s="688"/>
      <c r="C80" s="117"/>
      <c r="D80" s="23"/>
      <c r="E80" s="24"/>
      <c r="F80" s="25"/>
      <c r="G80" s="147"/>
      <c r="H80" s="155"/>
      <c r="I80" s="30"/>
      <c r="J80" s="29"/>
      <c r="K80" s="30"/>
      <c r="L80" s="31"/>
      <c r="M80" s="156"/>
      <c r="N80" s="30"/>
      <c r="O80" s="93"/>
      <c r="P80" s="30"/>
      <c r="Q80" s="34"/>
      <c r="R80" s="35"/>
      <c r="S80" s="35"/>
      <c r="T80" s="119"/>
      <c r="U80" s="119"/>
      <c r="V80" s="70"/>
      <c r="W80" s="119"/>
      <c r="X80" s="94"/>
    </row>
    <row r="81">
      <c r="A81" s="342"/>
      <c r="B81" s="687"/>
      <c r="C81" s="265"/>
      <c r="D81" s="96"/>
      <c r="E81" s="97"/>
      <c r="F81" s="98"/>
      <c r="G81" s="147"/>
      <c r="H81" s="155"/>
      <c r="I81" s="103"/>
      <c r="J81" s="271"/>
      <c r="K81" s="103"/>
      <c r="L81" s="104"/>
      <c r="M81" s="257"/>
      <c r="N81" s="103"/>
      <c r="O81" s="272"/>
      <c r="P81" s="103"/>
      <c r="Q81" s="106"/>
      <c r="R81" s="107"/>
      <c r="S81" s="107"/>
      <c r="T81" s="205"/>
      <c r="U81" s="269"/>
      <c r="V81" s="205"/>
      <c r="W81" s="269"/>
      <c r="X81" s="94"/>
    </row>
    <row r="82">
      <c r="A82" s="275"/>
      <c r="B82" s="688"/>
      <c r="C82" s="265"/>
      <c r="D82" s="96"/>
      <c r="E82" s="97"/>
      <c r="F82" s="98"/>
      <c r="G82" s="147"/>
      <c r="H82" s="155"/>
      <c r="I82" s="103"/>
      <c r="J82" s="102"/>
      <c r="K82" s="103"/>
      <c r="L82" s="104"/>
      <c r="M82" s="257"/>
      <c r="N82" s="103"/>
      <c r="O82" s="272"/>
      <c r="P82" s="103"/>
      <c r="Q82" s="106"/>
      <c r="R82" s="107"/>
      <c r="S82" s="107"/>
      <c r="T82" s="205"/>
      <c r="U82" s="269"/>
      <c r="V82" s="205"/>
      <c r="W82" s="269"/>
      <c r="X82" s="94"/>
    </row>
    <row r="83">
      <c r="A83" s="275"/>
      <c r="B83" s="688"/>
      <c r="C83" s="53"/>
      <c r="D83" s="54"/>
      <c r="E83" s="55"/>
      <c r="F83" s="56"/>
      <c r="G83" s="144"/>
      <c r="H83" s="145"/>
      <c r="I83" s="61"/>
      <c r="J83" s="60"/>
      <c r="K83" s="61"/>
      <c r="L83" s="62"/>
      <c r="M83" s="110"/>
      <c r="N83" s="61"/>
      <c r="O83" s="274"/>
      <c r="P83" s="61"/>
      <c r="Q83" s="64"/>
      <c r="R83" s="65"/>
      <c r="S83" s="65"/>
      <c r="T83" s="146"/>
      <c r="U83" s="184"/>
      <c r="V83" s="146"/>
      <c r="W83" s="184"/>
    </row>
    <row r="84" hidden="1">
      <c r="A84" s="275"/>
      <c r="B84" s="688"/>
      <c r="C84" s="275"/>
      <c r="D84" s="276"/>
      <c r="E84" s="277"/>
      <c r="F84" s="278"/>
      <c r="G84" s="144"/>
      <c r="H84" s="145"/>
      <c r="J84" s="279"/>
      <c r="L84" s="280"/>
      <c r="Q84" s="281"/>
      <c r="R84" s="282"/>
      <c r="S84" s="282"/>
      <c r="T84" s="283"/>
      <c r="U84" s="283"/>
      <c r="V84" s="283"/>
      <c r="W84" s="283"/>
    </row>
    <row r="85" hidden="1">
      <c r="A85" s="275"/>
      <c r="B85" s="275"/>
      <c r="C85" s="275"/>
      <c r="D85" s="276"/>
      <c r="E85" s="277"/>
      <c r="F85" s="278"/>
      <c r="G85" s="144"/>
      <c r="H85" s="145"/>
      <c r="J85" s="279"/>
      <c r="L85" s="280"/>
      <c r="Q85" s="281"/>
      <c r="R85" s="282"/>
      <c r="S85" s="282"/>
      <c r="T85" s="283"/>
      <c r="U85" s="283"/>
      <c r="V85" s="283"/>
      <c r="W85" s="283"/>
    </row>
    <row r="86" hidden="1">
      <c r="A86" s="275"/>
      <c r="B86" s="275"/>
      <c r="C86" s="275"/>
      <c r="D86" s="276"/>
      <c r="E86" s="277"/>
      <c r="F86" s="278"/>
      <c r="G86" s="144"/>
      <c r="H86" s="145"/>
      <c r="J86" s="279"/>
      <c r="L86" s="280"/>
      <c r="Q86" s="281"/>
      <c r="R86" s="282"/>
      <c r="S86" s="282"/>
      <c r="T86" s="283"/>
      <c r="U86" s="283"/>
      <c r="V86" s="283"/>
      <c r="W86" s="283"/>
    </row>
    <row r="87" hidden="1">
      <c r="A87" s="275"/>
      <c r="B87" s="275"/>
      <c r="C87" s="275"/>
      <c r="D87" s="276"/>
      <c r="E87" s="277"/>
      <c r="F87" s="278"/>
      <c r="G87" s="144"/>
      <c r="H87" s="145"/>
      <c r="J87" s="279"/>
      <c r="L87" s="280"/>
      <c r="Q87" s="281"/>
      <c r="R87" s="282"/>
      <c r="S87" s="282"/>
      <c r="T87" s="283"/>
      <c r="U87" s="283"/>
      <c r="V87" s="283"/>
      <c r="W87" s="283"/>
    </row>
    <row r="88" hidden="1">
      <c r="A88" s="275"/>
      <c r="B88" s="275"/>
      <c r="C88" s="275"/>
      <c r="D88" s="276"/>
      <c r="E88" s="277"/>
      <c r="F88" s="278"/>
      <c r="G88" s="144"/>
      <c r="H88" s="151"/>
      <c r="J88" s="279"/>
      <c r="L88" s="280"/>
      <c r="Q88" s="281"/>
      <c r="R88" s="282"/>
      <c r="S88" s="282"/>
      <c r="T88" s="283"/>
      <c r="U88" s="283"/>
      <c r="V88" s="283"/>
      <c r="W88" s="283"/>
    </row>
    <row r="89" hidden="1">
      <c r="A89" s="275"/>
      <c r="B89" s="275"/>
      <c r="C89" s="275"/>
      <c r="D89" s="276"/>
      <c r="E89" s="277"/>
      <c r="F89" s="278"/>
      <c r="G89" s="144"/>
      <c r="H89" s="145"/>
      <c r="J89" s="279"/>
      <c r="L89" s="280"/>
      <c r="Q89" s="281"/>
      <c r="R89" s="282"/>
      <c r="S89" s="282"/>
      <c r="T89" s="283"/>
      <c r="U89" s="283"/>
      <c r="V89" s="283"/>
      <c r="W89" s="283"/>
    </row>
    <row r="90" hidden="1">
      <c r="A90" s="275"/>
      <c r="B90" s="275"/>
      <c r="C90" s="275"/>
      <c r="D90" s="276"/>
      <c r="E90" s="277"/>
      <c r="F90" s="278"/>
      <c r="G90" s="144"/>
      <c r="H90" s="145"/>
      <c r="J90" s="279"/>
      <c r="L90" s="280"/>
      <c r="Q90" s="281"/>
      <c r="R90" s="282"/>
      <c r="S90" s="282"/>
      <c r="T90" s="283"/>
      <c r="U90" s="283"/>
      <c r="V90" s="283"/>
      <c r="W90" s="283"/>
    </row>
    <row r="91" hidden="1">
      <c r="A91" s="275"/>
      <c r="B91" s="275"/>
      <c r="C91" s="275"/>
      <c r="D91" s="276"/>
      <c r="E91" s="277"/>
      <c r="F91" s="278"/>
      <c r="G91" s="144"/>
      <c r="H91" s="145"/>
      <c r="J91" s="279"/>
      <c r="L91" s="280"/>
      <c r="Q91" s="281"/>
      <c r="R91" s="282"/>
      <c r="S91" s="282"/>
      <c r="T91" s="283"/>
      <c r="U91" s="283"/>
      <c r="V91" s="283"/>
      <c r="W91" s="283"/>
    </row>
    <row r="92" hidden="1">
      <c r="A92" s="275"/>
      <c r="B92" s="275"/>
      <c r="C92" s="275"/>
      <c r="D92" s="276"/>
      <c r="E92" s="277"/>
      <c r="F92" s="278"/>
      <c r="G92" s="144"/>
      <c r="H92" s="145"/>
      <c r="J92" s="279"/>
      <c r="L92" s="280"/>
      <c r="Q92" s="281"/>
      <c r="R92" s="282"/>
      <c r="S92" s="282"/>
      <c r="T92" s="283"/>
      <c r="U92" s="283"/>
      <c r="V92" s="283"/>
      <c r="W92" s="283"/>
    </row>
    <row r="93" hidden="1">
      <c r="A93" s="275"/>
      <c r="B93" s="275"/>
      <c r="C93" s="275"/>
      <c r="D93" s="276"/>
      <c r="E93" s="277"/>
      <c r="F93" s="278"/>
      <c r="G93" s="144"/>
      <c r="H93" s="145"/>
      <c r="J93" s="279"/>
      <c r="L93" s="280"/>
      <c r="Q93" s="281"/>
      <c r="R93" s="282"/>
      <c r="S93" s="282"/>
      <c r="T93" s="283"/>
      <c r="U93" s="283"/>
      <c r="V93" s="283"/>
      <c r="W93" s="283"/>
    </row>
    <row r="94" hidden="1">
      <c r="A94" s="275"/>
      <c r="B94" s="275"/>
      <c r="C94" s="275"/>
      <c r="D94" s="276"/>
      <c r="E94" s="277"/>
      <c r="F94" s="278"/>
      <c r="G94" s="144"/>
      <c r="H94" s="151"/>
      <c r="J94" s="279"/>
      <c r="L94" s="280"/>
      <c r="Q94" s="281"/>
      <c r="R94" s="282"/>
      <c r="S94" s="282"/>
      <c r="T94" s="283"/>
      <c r="U94" s="283"/>
      <c r="V94" s="283"/>
      <c r="W94" s="283"/>
    </row>
    <row r="95" hidden="1">
      <c r="A95" s="275"/>
      <c r="B95" s="275"/>
      <c r="C95" s="275"/>
      <c r="D95" s="276"/>
      <c r="E95" s="277"/>
      <c r="F95" s="278"/>
      <c r="G95" s="144"/>
      <c r="H95" s="145"/>
      <c r="J95" s="279"/>
      <c r="L95" s="280"/>
      <c r="Q95" s="281"/>
      <c r="R95" s="282"/>
      <c r="S95" s="282"/>
      <c r="T95" s="283"/>
      <c r="U95" s="283"/>
      <c r="V95" s="283"/>
      <c r="W95" s="283"/>
    </row>
    <row r="96" hidden="1">
      <c r="A96" s="275"/>
      <c r="B96" s="275"/>
      <c r="C96" s="275"/>
      <c r="D96" s="276"/>
      <c r="E96" s="277"/>
      <c r="F96" s="278"/>
      <c r="G96" s="175"/>
      <c r="H96" s="176"/>
      <c r="J96" s="279"/>
      <c r="L96" s="280"/>
      <c r="Q96" s="281"/>
      <c r="R96" s="282"/>
      <c r="S96" s="282"/>
      <c r="T96" s="283"/>
      <c r="U96" s="283"/>
      <c r="V96" s="283"/>
      <c r="W96" s="283"/>
    </row>
    <row r="97" hidden="1">
      <c r="A97" s="275"/>
      <c r="B97" s="275"/>
      <c r="C97" s="275"/>
      <c r="D97" s="276"/>
      <c r="E97" s="277"/>
      <c r="F97" s="278"/>
      <c r="G97" s="284"/>
      <c r="H97" s="284"/>
      <c r="J97" s="279"/>
      <c r="L97" s="280"/>
      <c r="Q97" s="281"/>
      <c r="R97" s="282"/>
      <c r="S97" s="282"/>
      <c r="T97" s="283"/>
      <c r="U97" s="283"/>
      <c r="V97" s="283"/>
      <c r="W97" s="283"/>
    </row>
    <row r="98" hidden="1">
      <c r="A98" s="275"/>
      <c r="B98" s="275"/>
      <c r="C98" s="275"/>
      <c r="D98" s="276"/>
      <c r="E98" s="277"/>
      <c r="F98" s="278"/>
      <c r="G98" s="284"/>
      <c r="H98" s="284"/>
      <c r="J98" s="279"/>
      <c r="L98" s="280"/>
      <c r="Q98" s="281"/>
      <c r="R98" s="282"/>
      <c r="S98" s="282"/>
      <c r="T98" s="283"/>
      <c r="U98" s="283"/>
      <c r="V98" s="283"/>
      <c r="W98" s="283"/>
    </row>
    <row r="99" hidden="1">
      <c r="A99" s="275"/>
      <c r="B99" s="275"/>
      <c r="C99" s="275"/>
      <c r="D99" s="276"/>
      <c r="E99" s="277"/>
      <c r="F99" s="278"/>
      <c r="G99" s="284"/>
      <c r="H99" s="284"/>
      <c r="J99" s="279"/>
      <c r="L99" s="280"/>
      <c r="Q99" s="281"/>
      <c r="R99" s="282"/>
      <c r="S99" s="282"/>
      <c r="T99" s="283"/>
      <c r="U99" s="283"/>
      <c r="V99" s="283"/>
      <c r="W99" s="283"/>
    </row>
    <row r="100" hidden="1">
      <c r="A100" s="275"/>
      <c r="B100" s="275"/>
      <c r="C100" s="275"/>
      <c r="D100" s="276"/>
      <c r="E100" s="277"/>
      <c r="F100" s="278"/>
      <c r="G100" s="284"/>
      <c r="H100" s="284"/>
      <c r="J100" s="279"/>
      <c r="L100" s="280"/>
      <c r="Q100" s="281"/>
      <c r="R100" s="282"/>
      <c r="S100" s="282"/>
      <c r="T100" s="283"/>
      <c r="U100" s="283"/>
      <c r="V100" s="283"/>
      <c r="W100" s="283"/>
    </row>
    <row r="101" hidden="1">
      <c r="A101" s="275"/>
      <c r="B101" s="275"/>
      <c r="C101" s="275"/>
      <c r="D101" s="276"/>
      <c r="E101" s="277"/>
      <c r="F101" s="278"/>
      <c r="G101" s="284"/>
      <c r="H101" s="284"/>
      <c r="J101" s="279"/>
      <c r="L101" s="280"/>
      <c r="Q101" s="281"/>
      <c r="R101" s="282"/>
      <c r="S101" s="282"/>
      <c r="T101" s="283"/>
      <c r="U101" s="283"/>
      <c r="V101" s="283"/>
      <c r="W101" s="283"/>
    </row>
    <row r="102" hidden="1">
      <c r="A102" s="275"/>
      <c r="B102" s="275"/>
      <c r="C102" s="275"/>
      <c r="D102" s="276"/>
      <c r="E102" s="277"/>
      <c r="F102" s="278"/>
      <c r="G102" s="284"/>
      <c r="H102" s="284"/>
      <c r="J102" s="279"/>
      <c r="L102" s="280"/>
      <c r="Q102" s="281"/>
      <c r="R102" s="282"/>
      <c r="S102" s="282"/>
      <c r="T102" s="283"/>
      <c r="U102" s="283"/>
      <c r="V102" s="283"/>
      <c r="W102" s="283"/>
    </row>
    <row r="103" hidden="1">
      <c r="A103" s="275"/>
      <c r="B103" s="275"/>
      <c r="C103" s="275"/>
      <c r="D103" s="276"/>
      <c r="E103" s="277"/>
      <c r="F103" s="278"/>
      <c r="G103" s="284"/>
      <c r="H103" s="284"/>
      <c r="J103" s="279"/>
      <c r="L103" s="280"/>
      <c r="Q103" s="281"/>
      <c r="R103" s="282"/>
      <c r="S103" s="282"/>
      <c r="T103" s="283"/>
      <c r="U103" s="283"/>
      <c r="V103" s="283"/>
      <c r="W103" s="283"/>
    </row>
    <row r="104">
      <c r="A104" s="275"/>
      <c r="B104" s="275"/>
      <c r="C104" s="285"/>
      <c r="D104" s="286"/>
      <c r="E104" s="285"/>
      <c r="F104" s="285"/>
      <c r="G104" s="287"/>
      <c r="H104" s="288"/>
      <c r="I104" s="285"/>
      <c r="J104" s="289"/>
      <c r="K104" s="285"/>
      <c r="L104" s="285"/>
      <c r="M104" s="285"/>
      <c r="N104" s="285"/>
      <c r="O104" s="285"/>
      <c r="P104" s="285"/>
      <c r="Q104" s="285"/>
      <c r="R104" s="285"/>
      <c r="S104" s="285"/>
      <c r="T104" s="290"/>
      <c r="U104" s="290"/>
      <c r="V104" s="290"/>
      <c r="W104" s="290"/>
    </row>
    <row r="105">
      <c r="A105" s="275"/>
      <c r="B105" s="275"/>
      <c r="C105" s="291"/>
      <c r="D105" s="292"/>
      <c r="G105" s="284"/>
      <c r="H105" s="293"/>
      <c r="J105" s="279"/>
      <c r="T105" s="283"/>
      <c r="U105" s="283"/>
      <c r="V105" s="283"/>
      <c r="W105" s="283"/>
    </row>
    <row r="106">
      <c r="A106" s="691"/>
      <c r="B106" s="691"/>
      <c r="C106" s="294"/>
      <c r="G106" s="284"/>
      <c r="H106" s="293"/>
      <c r="J106" s="295"/>
      <c r="T106" s="283"/>
      <c r="U106" s="283"/>
      <c r="V106" s="283"/>
      <c r="W106" s="283"/>
    </row>
    <row r="107">
      <c r="A107" s="275"/>
      <c r="B107" s="275"/>
      <c r="C107" s="275"/>
      <c r="G107" s="284"/>
      <c r="H107" s="293"/>
      <c r="J107" s="279"/>
      <c r="T107" s="283"/>
      <c r="U107" s="283"/>
      <c r="V107" s="283"/>
      <c r="W107" s="283"/>
    </row>
    <row r="108">
      <c r="A108" s="275"/>
      <c r="B108" s="275"/>
      <c r="C108" s="692"/>
      <c r="D108" s="297"/>
      <c r="E108" s="297"/>
      <c r="F108" s="297"/>
      <c r="G108" s="298"/>
      <c r="H108" s="299"/>
      <c r="I108" s="297"/>
      <c r="J108" s="300"/>
      <c r="K108" s="297"/>
      <c r="R108" s="297"/>
      <c r="S108" s="297"/>
      <c r="T108" s="283"/>
      <c r="U108" s="283"/>
      <c r="V108" s="283"/>
      <c r="W108" s="283"/>
    </row>
    <row r="109">
      <c r="A109" s="275"/>
      <c r="B109" s="275"/>
      <c r="G109" s="284"/>
      <c r="H109" s="293"/>
      <c r="J109" s="295"/>
      <c r="T109" s="283"/>
      <c r="U109" s="283"/>
      <c r="V109" s="283"/>
      <c r="W109" s="283"/>
    </row>
    <row r="110">
      <c r="A110" s="275"/>
      <c r="B110" s="275"/>
      <c r="C110" s="275"/>
      <c r="G110" s="284"/>
      <c r="H110" s="293"/>
      <c r="J110" s="295"/>
      <c r="T110" s="283"/>
      <c r="U110" s="283"/>
      <c r="V110" s="283"/>
      <c r="W110" s="283"/>
    </row>
    <row r="111">
      <c r="A111" s="275"/>
      <c r="B111" s="275"/>
      <c r="C111" s="116"/>
      <c r="G111" s="284"/>
      <c r="H111" s="293"/>
      <c r="J111" s="295"/>
      <c r="T111" s="283"/>
      <c r="U111" s="283"/>
      <c r="V111" s="283"/>
      <c r="W111" s="283"/>
    </row>
    <row r="112">
      <c r="A112" s="275"/>
      <c r="B112" s="275"/>
      <c r="C112" s="116"/>
      <c r="G112" s="284"/>
      <c r="H112" s="293"/>
      <c r="J112" s="295"/>
      <c r="T112" s="283"/>
      <c r="U112" s="283"/>
      <c r="V112" s="283"/>
      <c r="W112" s="283"/>
    </row>
    <row r="113">
      <c r="A113" s="275"/>
      <c r="B113" s="275"/>
      <c r="C113" s="116"/>
      <c r="G113" s="284"/>
      <c r="H113" s="293"/>
      <c r="J113" s="295"/>
      <c r="T113" s="283"/>
      <c r="U113" s="283"/>
      <c r="V113" s="283"/>
      <c r="W113" s="283"/>
    </row>
    <row r="114">
      <c r="A114" s="275"/>
      <c r="B114" s="275"/>
      <c r="C114" s="116"/>
      <c r="G114" s="284"/>
      <c r="H114" s="293"/>
      <c r="J114" s="295"/>
      <c r="T114" s="283"/>
      <c r="U114" s="283"/>
      <c r="V114" s="283"/>
      <c r="W114" s="283"/>
    </row>
    <row r="115">
      <c r="A115" s="285"/>
      <c r="B115" s="285"/>
      <c r="C115" s="116"/>
      <c r="G115" s="284"/>
      <c r="H115" s="293"/>
      <c r="J115" s="295"/>
      <c r="T115" s="283"/>
      <c r="U115" s="283"/>
      <c r="V115" s="283"/>
      <c r="W115" s="283"/>
    </row>
    <row r="116">
      <c r="A116" s="291"/>
      <c r="B116" s="291"/>
      <c r="C116" s="116"/>
      <c r="G116" s="284"/>
      <c r="H116" s="293"/>
      <c r="J116" s="295"/>
      <c r="T116" s="283"/>
      <c r="U116" s="283"/>
      <c r="V116" s="283"/>
      <c r="W116" s="283"/>
    </row>
    <row r="117">
      <c r="A117" s="294"/>
      <c r="B117" s="294"/>
      <c r="C117" s="116"/>
      <c r="G117" s="284"/>
      <c r="H117" s="293"/>
      <c r="J117" s="295"/>
      <c r="T117" s="283"/>
      <c r="U117" s="283"/>
      <c r="V117" s="283"/>
      <c r="W117" s="283"/>
    </row>
    <row r="118">
      <c r="A118" s="275"/>
      <c r="B118" s="275"/>
      <c r="J118" s="295"/>
      <c r="T118" s="283"/>
      <c r="U118" s="283"/>
      <c r="V118" s="283"/>
      <c r="W118" s="283"/>
    </row>
    <row r="119">
      <c r="A119" s="692"/>
      <c r="B119" s="692"/>
      <c r="C119" s="275"/>
      <c r="J119" s="295"/>
      <c r="T119" s="283"/>
      <c r="U119" s="283"/>
      <c r="V119" s="283"/>
      <c r="W119" s="283"/>
    </row>
    <row r="120">
      <c r="J120" s="295"/>
      <c r="T120" s="283"/>
      <c r="U120" s="283"/>
      <c r="V120" s="283"/>
      <c r="W120" s="283"/>
    </row>
    <row r="121">
      <c r="A121" s="275"/>
      <c r="B121" s="275"/>
      <c r="J121" s="295"/>
      <c r="T121" s="283"/>
      <c r="U121" s="283"/>
      <c r="V121" s="283"/>
      <c r="W121" s="283"/>
    </row>
    <row r="122">
      <c r="A122" s="116"/>
      <c r="B122" s="116"/>
      <c r="J122" s="295"/>
      <c r="T122" s="283"/>
      <c r="U122" s="283"/>
      <c r="V122" s="283"/>
      <c r="W122" s="283"/>
    </row>
    <row r="123">
      <c r="A123" s="116"/>
      <c r="B123" s="116"/>
      <c r="J123" s="295"/>
      <c r="T123" s="283"/>
      <c r="U123" s="283"/>
      <c r="V123" s="283"/>
      <c r="W123" s="283"/>
    </row>
    <row r="124">
      <c r="A124" s="116"/>
      <c r="B124" s="116"/>
      <c r="C124" s="302"/>
      <c r="J124" s="295"/>
      <c r="T124" s="283"/>
      <c r="U124" s="283"/>
      <c r="V124" s="283"/>
      <c r="W124" s="283"/>
    </row>
    <row r="125">
      <c r="A125" s="116"/>
      <c r="B125" s="116"/>
      <c r="C125" s="275"/>
      <c r="J125" s="295"/>
      <c r="T125" s="283"/>
      <c r="U125" s="283"/>
      <c r="V125" s="283"/>
      <c r="W125" s="283"/>
    </row>
    <row r="126">
      <c r="A126" s="116"/>
      <c r="B126" s="116"/>
      <c r="F126" s="302"/>
      <c r="J126" s="295"/>
      <c r="T126" s="283"/>
      <c r="U126" s="283"/>
      <c r="V126" s="283"/>
      <c r="W126" s="283"/>
    </row>
    <row r="127">
      <c r="A127" s="116"/>
      <c r="B127" s="116"/>
      <c r="F127" s="302"/>
      <c r="J127" s="295"/>
      <c r="T127" s="283"/>
      <c r="U127" s="283"/>
      <c r="V127" s="283"/>
      <c r="W127" s="283"/>
    </row>
    <row r="128">
      <c r="A128" s="116"/>
      <c r="B128" s="116"/>
      <c r="J128" s="295"/>
      <c r="T128" s="283"/>
      <c r="U128" s="283"/>
      <c r="V128" s="283"/>
      <c r="W128" s="283"/>
    </row>
    <row r="129">
      <c r="C129" s="116"/>
      <c r="J129" s="295"/>
      <c r="T129" s="283"/>
      <c r="U129" s="283"/>
      <c r="V129" s="283"/>
      <c r="W129" s="283"/>
    </row>
    <row r="130">
      <c r="A130" s="275"/>
      <c r="B130" s="275"/>
      <c r="J130" s="295"/>
      <c r="T130" s="283"/>
      <c r="U130" s="283"/>
      <c r="V130" s="283"/>
      <c r="W130" s="283"/>
    </row>
    <row r="131">
      <c r="A131" s="68"/>
      <c r="B131" s="68"/>
      <c r="J131" s="295"/>
      <c r="T131" s="283"/>
      <c r="U131" s="283"/>
      <c r="V131" s="283"/>
      <c r="W131" s="283"/>
    </row>
    <row r="132">
      <c r="A132" s="68"/>
      <c r="B132" s="68"/>
      <c r="J132" s="295"/>
      <c r="T132" s="283"/>
      <c r="U132" s="283"/>
      <c r="V132" s="283"/>
      <c r="W132" s="283"/>
    </row>
    <row r="133">
      <c r="A133" s="68"/>
      <c r="B133" s="68"/>
      <c r="J133" s="295"/>
      <c r="T133" s="283"/>
      <c r="U133" s="283"/>
      <c r="V133" s="283"/>
      <c r="W133" s="283"/>
    </row>
    <row r="134">
      <c r="A134" s="68"/>
      <c r="B134" s="68"/>
      <c r="J134" s="295"/>
      <c r="T134" s="283"/>
      <c r="U134" s="283"/>
      <c r="V134" s="283"/>
      <c r="W134" s="283"/>
    </row>
    <row r="135">
      <c r="A135" s="302"/>
      <c r="B135" s="302"/>
      <c r="C135" s="275"/>
      <c r="J135" s="295"/>
      <c r="T135" s="283"/>
      <c r="U135" s="283"/>
      <c r="V135" s="283"/>
      <c r="W135" s="283"/>
    </row>
    <row r="136">
      <c r="A136" s="275"/>
      <c r="B136" s="275"/>
      <c r="C136" s="275"/>
      <c r="J136" s="295"/>
      <c r="T136" s="283"/>
      <c r="U136" s="283"/>
      <c r="V136" s="283"/>
      <c r="W136" s="283"/>
    </row>
    <row r="137">
      <c r="A137" s="68"/>
      <c r="B137" s="68"/>
      <c r="C137" s="275"/>
      <c r="J137" s="295"/>
      <c r="T137" s="283"/>
      <c r="U137" s="283"/>
      <c r="V137" s="283"/>
      <c r="W137" s="283"/>
    </row>
    <row r="138">
      <c r="A138" s="68"/>
      <c r="B138" s="68"/>
      <c r="C138" s="275"/>
      <c r="J138" s="295"/>
      <c r="T138" s="283"/>
      <c r="U138" s="283"/>
      <c r="V138" s="283"/>
      <c r="W138" s="283"/>
    </row>
    <row r="139">
      <c r="C139" s="275"/>
      <c r="J139" s="295"/>
      <c r="T139" s="283"/>
      <c r="U139" s="283"/>
      <c r="V139" s="283"/>
      <c r="W139" s="283"/>
    </row>
    <row r="140">
      <c r="A140" s="116"/>
      <c r="B140" s="116"/>
      <c r="C140" s="275"/>
      <c r="J140" s="295"/>
      <c r="T140" s="283"/>
      <c r="U140" s="283"/>
      <c r="V140" s="283"/>
      <c r="W140" s="283"/>
    </row>
    <row r="141">
      <c r="C141" s="302"/>
      <c r="J141" s="295"/>
      <c r="T141" s="283"/>
      <c r="U141" s="283"/>
      <c r="V141" s="283"/>
      <c r="W141" s="283"/>
    </row>
    <row r="142">
      <c r="C142" s="275"/>
      <c r="J142" s="295"/>
      <c r="T142" s="283"/>
      <c r="U142" s="283"/>
      <c r="V142" s="283"/>
      <c r="W142" s="283"/>
    </row>
    <row r="143">
      <c r="C143" s="275"/>
      <c r="J143" s="295"/>
      <c r="T143" s="283"/>
      <c r="U143" s="283"/>
      <c r="V143" s="283"/>
      <c r="W143" s="283"/>
    </row>
    <row r="144">
      <c r="C144" s="302"/>
      <c r="J144" s="295"/>
      <c r="T144" s="283"/>
      <c r="U144" s="283"/>
      <c r="V144" s="283"/>
      <c r="W144" s="283"/>
    </row>
    <row r="145">
      <c r="C145" s="275"/>
      <c r="J145" s="295"/>
      <c r="T145" s="283"/>
      <c r="U145" s="283"/>
      <c r="V145" s="283"/>
      <c r="W145" s="283"/>
    </row>
    <row r="146">
      <c r="A146" s="275"/>
      <c r="B146" s="275"/>
      <c r="C146" s="275"/>
      <c r="J146" s="295"/>
      <c r="T146" s="283"/>
      <c r="U146" s="283"/>
      <c r="V146" s="283"/>
      <c r="W146" s="283"/>
    </row>
    <row r="147">
      <c r="A147" s="275"/>
      <c r="B147" s="275"/>
      <c r="C147" s="275"/>
      <c r="J147" s="295"/>
      <c r="T147" s="283"/>
      <c r="U147" s="283"/>
      <c r="V147" s="283"/>
      <c r="W147" s="283"/>
    </row>
    <row r="148">
      <c r="A148" s="275"/>
      <c r="B148" s="275"/>
      <c r="C148" s="275"/>
      <c r="J148" s="295"/>
      <c r="T148" s="283"/>
      <c r="U148" s="283"/>
      <c r="V148" s="283"/>
      <c r="W148" s="283"/>
    </row>
    <row r="149">
      <c r="A149" s="275"/>
      <c r="B149" s="275"/>
      <c r="C149" s="275"/>
      <c r="J149" s="295"/>
      <c r="T149" s="283"/>
      <c r="U149" s="283"/>
      <c r="V149" s="283"/>
      <c r="W149" s="283"/>
    </row>
    <row r="150">
      <c r="A150" s="275"/>
      <c r="B150" s="275"/>
      <c r="C150" s="275"/>
      <c r="J150" s="295"/>
      <c r="T150" s="283"/>
      <c r="U150" s="283"/>
      <c r="V150" s="283"/>
      <c r="W150" s="283"/>
    </row>
    <row r="151">
      <c r="A151" s="275"/>
      <c r="B151" s="275"/>
      <c r="C151" s="275"/>
      <c r="J151" s="295"/>
      <c r="T151" s="283"/>
      <c r="U151" s="283"/>
      <c r="V151" s="283"/>
      <c r="W151" s="283"/>
    </row>
    <row r="152">
      <c r="A152" s="302"/>
      <c r="B152" s="302"/>
      <c r="C152" s="275"/>
      <c r="J152" s="295"/>
      <c r="T152" s="283"/>
      <c r="U152" s="283"/>
      <c r="V152" s="283"/>
      <c r="W152" s="283"/>
    </row>
    <row r="153">
      <c r="A153" s="275"/>
      <c r="B153" s="275"/>
      <c r="C153" s="275"/>
      <c r="J153" s="295"/>
      <c r="T153" s="283"/>
      <c r="U153" s="283"/>
      <c r="V153" s="283"/>
      <c r="W153" s="283"/>
    </row>
    <row r="154">
      <c r="A154" s="275"/>
      <c r="B154" s="275"/>
      <c r="C154" s="302"/>
      <c r="J154" s="295"/>
      <c r="T154" s="283"/>
      <c r="U154" s="283"/>
      <c r="V154" s="283"/>
      <c r="W154" s="283"/>
    </row>
    <row r="155">
      <c r="A155" s="302"/>
      <c r="B155" s="302"/>
      <c r="C155" s="302"/>
      <c r="J155" s="295"/>
      <c r="T155" s="283"/>
      <c r="U155" s="283"/>
      <c r="V155" s="283"/>
      <c r="W155" s="283"/>
    </row>
    <row r="156">
      <c r="A156" s="275"/>
      <c r="B156" s="275"/>
      <c r="J156" s="295"/>
      <c r="T156" s="283"/>
      <c r="U156" s="283"/>
      <c r="V156" s="283"/>
      <c r="W156" s="283"/>
    </row>
    <row r="157">
      <c r="A157" s="275"/>
      <c r="B157" s="275"/>
      <c r="J157" s="295"/>
      <c r="T157" s="283"/>
      <c r="U157" s="283"/>
      <c r="V157" s="283"/>
      <c r="W157" s="283"/>
    </row>
    <row r="158">
      <c r="A158" s="275"/>
      <c r="B158" s="275"/>
      <c r="J158" s="295"/>
      <c r="T158" s="283"/>
      <c r="U158" s="283"/>
      <c r="V158" s="283"/>
      <c r="W158" s="283"/>
    </row>
    <row r="159">
      <c r="A159" s="275"/>
      <c r="B159" s="275"/>
      <c r="J159" s="295"/>
      <c r="T159" s="283"/>
      <c r="U159" s="283"/>
      <c r="V159" s="283"/>
      <c r="W159" s="283"/>
    </row>
    <row r="160">
      <c r="A160" s="275"/>
      <c r="B160" s="275"/>
      <c r="J160" s="295"/>
    </row>
    <row r="161">
      <c r="A161" s="275"/>
      <c r="B161" s="275"/>
      <c r="J161" s="295"/>
    </row>
    <row r="162">
      <c r="A162" s="275"/>
      <c r="B162" s="275"/>
      <c r="J162" s="295"/>
    </row>
    <row r="163">
      <c r="A163" s="275"/>
      <c r="B163" s="275"/>
      <c r="J163" s="295"/>
    </row>
    <row r="164">
      <c r="A164" s="275"/>
      <c r="B164" s="275"/>
      <c r="J164" s="295"/>
    </row>
    <row r="165">
      <c r="A165" s="302"/>
      <c r="B165" s="302"/>
      <c r="J165" s="295"/>
    </row>
    <row r="166">
      <c r="A166" s="302"/>
      <c r="B166" s="302"/>
      <c r="J166" s="295"/>
    </row>
    <row r="167">
      <c r="J167" s="295"/>
    </row>
    <row r="168">
      <c r="J168" s="295"/>
    </row>
    <row r="169">
      <c r="J169" s="295"/>
    </row>
    <row r="170">
      <c r="J170" s="295"/>
    </row>
    <row r="171">
      <c r="J171" s="295"/>
    </row>
    <row r="172">
      <c r="J172" s="295"/>
    </row>
    <row r="173">
      <c r="J173" s="295"/>
    </row>
    <row r="174">
      <c r="J174" s="295"/>
    </row>
    <row r="175">
      <c r="J175" s="295"/>
    </row>
    <row r="176">
      <c r="J176" s="295"/>
    </row>
    <row r="177">
      <c r="J177" s="295"/>
    </row>
    <row r="178">
      <c r="J178" s="295"/>
    </row>
    <row r="179">
      <c r="J179" s="295"/>
    </row>
    <row r="180">
      <c r="J180" s="295"/>
    </row>
    <row r="181">
      <c r="J181" s="295"/>
    </row>
    <row r="182">
      <c r="J182" s="295"/>
    </row>
    <row r="183">
      <c r="J183" s="295"/>
    </row>
    <row r="184">
      <c r="J184" s="295"/>
    </row>
    <row r="185">
      <c r="J185" s="295"/>
    </row>
    <row r="186">
      <c r="J186" s="295"/>
    </row>
    <row r="187">
      <c r="J187" s="295"/>
    </row>
    <row r="188">
      <c r="J188" s="295"/>
    </row>
    <row r="189">
      <c r="J189" s="295"/>
    </row>
    <row r="190">
      <c r="J190" s="295"/>
    </row>
    <row r="191">
      <c r="J191" s="295"/>
    </row>
    <row r="192">
      <c r="J192" s="295"/>
    </row>
    <row r="193">
      <c r="J193" s="295"/>
    </row>
    <row r="194">
      <c r="J194" s="295"/>
    </row>
    <row r="195">
      <c r="J195" s="295"/>
    </row>
    <row r="196">
      <c r="J196" s="295"/>
    </row>
    <row r="197">
      <c r="J197" s="295"/>
    </row>
    <row r="198">
      <c r="J198" s="295"/>
    </row>
    <row r="199">
      <c r="J199" s="295"/>
    </row>
    <row r="200">
      <c r="J200" s="295"/>
    </row>
    <row r="201">
      <c r="J201" s="295"/>
    </row>
    <row r="202">
      <c r="J202" s="295"/>
    </row>
    <row r="203">
      <c r="J203" s="295"/>
    </row>
    <row r="204">
      <c r="J204" s="295"/>
    </row>
    <row r="205">
      <c r="J205" s="295"/>
    </row>
    <row r="206">
      <c r="J206" s="295"/>
    </row>
    <row r="207">
      <c r="J207" s="295"/>
    </row>
    <row r="208">
      <c r="J208" s="295"/>
    </row>
    <row r="209">
      <c r="J209" s="295"/>
    </row>
    <row r="210">
      <c r="J210" s="295"/>
    </row>
    <row r="211">
      <c r="J211" s="295"/>
    </row>
    <row r="212">
      <c r="J212" s="295"/>
    </row>
    <row r="213">
      <c r="J213" s="295"/>
    </row>
    <row r="214">
      <c r="J214" s="295"/>
    </row>
    <row r="215">
      <c r="J215" s="295"/>
    </row>
    <row r="216">
      <c r="J216" s="295"/>
    </row>
    <row r="217">
      <c r="J217" s="295"/>
    </row>
    <row r="218">
      <c r="J218" s="295"/>
    </row>
    <row r="219">
      <c r="J219" s="295"/>
    </row>
    <row r="220">
      <c r="J220" s="295"/>
    </row>
    <row r="221">
      <c r="J221" s="295"/>
    </row>
    <row r="222">
      <c r="J222" s="295"/>
    </row>
    <row r="223">
      <c r="J223" s="295"/>
    </row>
    <row r="224">
      <c r="J224" s="295"/>
    </row>
    <row r="225">
      <c r="J225" s="295"/>
    </row>
    <row r="226">
      <c r="J226" s="295"/>
    </row>
    <row r="227">
      <c r="J227" s="295"/>
    </row>
    <row r="228">
      <c r="J228" s="295"/>
    </row>
    <row r="229">
      <c r="J229" s="295"/>
    </row>
    <row r="230">
      <c r="J230" s="295"/>
    </row>
    <row r="231">
      <c r="J231" s="295"/>
    </row>
    <row r="232">
      <c r="J232" s="295"/>
    </row>
    <row r="233">
      <c r="J233" s="295"/>
    </row>
    <row r="234">
      <c r="J234" s="295"/>
    </row>
    <row r="235">
      <c r="J235" s="295"/>
    </row>
    <row r="236">
      <c r="J236" s="295"/>
    </row>
    <row r="237">
      <c r="J237" s="295"/>
    </row>
    <row r="238">
      <c r="J238" s="295"/>
    </row>
    <row r="239">
      <c r="J239" s="295"/>
    </row>
    <row r="240">
      <c r="J240" s="295"/>
    </row>
    <row r="241">
      <c r="J241" s="295"/>
    </row>
    <row r="242">
      <c r="J242" s="295"/>
    </row>
    <row r="243">
      <c r="J243" s="295"/>
    </row>
    <row r="244">
      <c r="J244" s="295"/>
    </row>
    <row r="245">
      <c r="J245" s="295"/>
    </row>
    <row r="246">
      <c r="J246" s="295"/>
    </row>
    <row r="247">
      <c r="J247" s="295"/>
    </row>
    <row r="248">
      <c r="J248" s="295"/>
    </row>
    <row r="249">
      <c r="J249" s="295"/>
    </row>
    <row r="250">
      <c r="J250" s="295"/>
    </row>
    <row r="251">
      <c r="J251" s="295"/>
    </row>
    <row r="252">
      <c r="J252" s="295"/>
    </row>
    <row r="253">
      <c r="J253" s="295"/>
    </row>
    <row r="254">
      <c r="J254" s="295"/>
    </row>
    <row r="255">
      <c r="J255" s="295"/>
    </row>
    <row r="256">
      <c r="J256" s="295"/>
    </row>
    <row r="257">
      <c r="J257" s="295"/>
    </row>
    <row r="258">
      <c r="J258" s="295"/>
    </row>
    <row r="259">
      <c r="J259" s="295"/>
    </row>
    <row r="260">
      <c r="J260" s="295"/>
    </row>
    <row r="261">
      <c r="J261" s="295"/>
    </row>
    <row r="262">
      <c r="J262" s="295"/>
    </row>
    <row r="263">
      <c r="J263" s="295"/>
    </row>
    <row r="264">
      <c r="J264" s="295"/>
    </row>
    <row r="265">
      <c r="J265" s="295"/>
    </row>
    <row r="266">
      <c r="J266" s="295"/>
    </row>
    <row r="267">
      <c r="J267" s="295"/>
    </row>
    <row r="268">
      <c r="J268" s="295"/>
    </row>
    <row r="269">
      <c r="J269" s="295"/>
    </row>
    <row r="270">
      <c r="J270" s="295"/>
    </row>
    <row r="271">
      <c r="J271" s="295"/>
    </row>
    <row r="272">
      <c r="J272" s="295"/>
    </row>
    <row r="273">
      <c r="J273" s="295"/>
    </row>
    <row r="274">
      <c r="J274" s="295"/>
    </row>
    <row r="275">
      <c r="J275" s="295"/>
    </row>
    <row r="276">
      <c r="J276" s="295"/>
    </row>
    <row r="277">
      <c r="J277" s="295"/>
    </row>
    <row r="278">
      <c r="J278" s="295"/>
    </row>
    <row r="279">
      <c r="J279" s="295"/>
    </row>
    <row r="280">
      <c r="J280" s="295"/>
    </row>
    <row r="281">
      <c r="J281" s="295"/>
    </row>
    <row r="282">
      <c r="J282" s="295"/>
    </row>
    <row r="283">
      <c r="J283" s="295"/>
    </row>
    <row r="284">
      <c r="J284" s="295"/>
    </row>
    <row r="285">
      <c r="J285" s="295"/>
    </row>
    <row r="286">
      <c r="J286" s="295"/>
    </row>
    <row r="287">
      <c r="J287" s="295"/>
    </row>
    <row r="288">
      <c r="J288" s="295"/>
    </row>
    <row r="289">
      <c r="J289" s="295"/>
    </row>
    <row r="290">
      <c r="J290" s="295"/>
    </row>
    <row r="291">
      <c r="J291" s="295"/>
    </row>
    <row r="292">
      <c r="J292" s="295"/>
    </row>
    <row r="293">
      <c r="J293" s="295"/>
    </row>
    <row r="294">
      <c r="J294" s="295"/>
    </row>
    <row r="295">
      <c r="J295" s="295"/>
    </row>
    <row r="296">
      <c r="J296" s="295"/>
    </row>
    <row r="297">
      <c r="J297" s="295"/>
    </row>
    <row r="298">
      <c r="J298" s="295"/>
    </row>
    <row r="299">
      <c r="J299" s="295"/>
    </row>
    <row r="300">
      <c r="J300" s="295"/>
    </row>
    <row r="301">
      <c r="J301" s="295"/>
    </row>
    <row r="302">
      <c r="J302" s="295"/>
    </row>
    <row r="303">
      <c r="J303" s="295"/>
    </row>
    <row r="304">
      <c r="J304" s="295"/>
    </row>
    <row r="305">
      <c r="J305" s="295"/>
    </row>
    <row r="306">
      <c r="J306" s="295"/>
    </row>
    <row r="307">
      <c r="J307" s="295"/>
    </row>
    <row r="308">
      <c r="J308" s="295"/>
    </row>
    <row r="309">
      <c r="J309" s="295"/>
    </row>
    <row r="310">
      <c r="J310" s="295"/>
    </row>
    <row r="311">
      <c r="J311" s="295"/>
    </row>
    <row r="312">
      <c r="J312" s="295"/>
    </row>
    <row r="313">
      <c r="J313" s="295"/>
    </row>
    <row r="314">
      <c r="J314" s="295"/>
    </row>
    <row r="315">
      <c r="J315" s="295"/>
    </row>
    <row r="316">
      <c r="J316" s="295"/>
    </row>
    <row r="317">
      <c r="J317" s="295"/>
    </row>
    <row r="318">
      <c r="J318" s="295"/>
    </row>
    <row r="319">
      <c r="J319" s="295"/>
    </row>
    <row r="320">
      <c r="J320" s="295"/>
    </row>
    <row r="321">
      <c r="J321" s="295"/>
    </row>
    <row r="322">
      <c r="J322" s="295"/>
    </row>
    <row r="323">
      <c r="J323" s="295"/>
    </row>
    <row r="324">
      <c r="J324" s="295"/>
    </row>
    <row r="325">
      <c r="J325" s="295"/>
    </row>
    <row r="326">
      <c r="J326" s="295"/>
    </row>
    <row r="327">
      <c r="J327" s="295"/>
    </row>
    <row r="328">
      <c r="J328" s="295"/>
    </row>
    <row r="329">
      <c r="J329" s="295"/>
    </row>
    <row r="330">
      <c r="J330" s="295"/>
    </row>
    <row r="331">
      <c r="J331" s="295"/>
    </row>
    <row r="332">
      <c r="J332" s="295"/>
    </row>
    <row r="333">
      <c r="J333" s="295"/>
    </row>
    <row r="334">
      <c r="J334" s="295"/>
    </row>
    <row r="335">
      <c r="J335" s="295"/>
    </row>
    <row r="336">
      <c r="J336" s="295"/>
    </row>
    <row r="337">
      <c r="J337" s="295"/>
    </row>
    <row r="338">
      <c r="J338" s="295"/>
    </row>
    <row r="339">
      <c r="J339" s="295"/>
    </row>
    <row r="340">
      <c r="J340" s="295"/>
    </row>
    <row r="341">
      <c r="J341" s="295"/>
    </row>
    <row r="342">
      <c r="J342" s="295"/>
    </row>
    <row r="343">
      <c r="J343" s="295"/>
    </row>
    <row r="344">
      <c r="J344" s="295"/>
    </row>
    <row r="345">
      <c r="J345" s="295"/>
    </row>
    <row r="346">
      <c r="J346" s="295"/>
    </row>
    <row r="347">
      <c r="J347" s="295"/>
    </row>
    <row r="348">
      <c r="J348" s="295"/>
    </row>
    <row r="349">
      <c r="J349" s="295"/>
    </row>
    <row r="350">
      <c r="J350" s="295"/>
    </row>
    <row r="351">
      <c r="J351" s="295"/>
    </row>
    <row r="352">
      <c r="J352" s="295"/>
    </row>
    <row r="353">
      <c r="J353" s="295"/>
    </row>
    <row r="354">
      <c r="J354" s="295"/>
    </row>
    <row r="355">
      <c r="J355" s="295"/>
    </row>
    <row r="356">
      <c r="J356" s="295"/>
    </row>
    <row r="357">
      <c r="J357" s="295"/>
    </row>
    <row r="358">
      <c r="J358" s="295"/>
    </row>
    <row r="359">
      <c r="J359" s="295"/>
    </row>
    <row r="360">
      <c r="J360" s="295"/>
    </row>
    <row r="361">
      <c r="J361" s="295"/>
    </row>
    <row r="362">
      <c r="J362" s="295"/>
    </row>
    <row r="363">
      <c r="J363" s="295"/>
    </row>
    <row r="364">
      <c r="J364" s="295"/>
    </row>
    <row r="365">
      <c r="J365" s="295"/>
    </row>
    <row r="366">
      <c r="J366" s="295"/>
    </row>
    <row r="367">
      <c r="J367" s="295"/>
    </row>
    <row r="368">
      <c r="J368" s="295"/>
    </row>
    <row r="369">
      <c r="J369" s="295"/>
    </row>
    <row r="370">
      <c r="J370" s="295"/>
    </row>
    <row r="371">
      <c r="J371" s="295"/>
    </row>
    <row r="372">
      <c r="J372" s="295"/>
    </row>
    <row r="373">
      <c r="J373" s="295"/>
    </row>
    <row r="374">
      <c r="J374" s="295"/>
    </row>
    <row r="375">
      <c r="J375" s="295"/>
    </row>
    <row r="376">
      <c r="J376" s="295"/>
    </row>
    <row r="377">
      <c r="J377" s="295"/>
    </row>
    <row r="378">
      <c r="J378" s="295"/>
    </row>
    <row r="379">
      <c r="J379" s="295"/>
    </row>
    <row r="380">
      <c r="J380" s="295"/>
    </row>
    <row r="381">
      <c r="J381" s="295"/>
    </row>
    <row r="382">
      <c r="J382" s="295"/>
    </row>
    <row r="383">
      <c r="J383" s="295"/>
    </row>
    <row r="384">
      <c r="J384" s="295"/>
    </row>
    <row r="385">
      <c r="J385" s="295"/>
    </row>
    <row r="386">
      <c r="J386" s="295"/>
    </row>
    <row r="387">
      <c r="J387" s="295"/>
    </row>
    <row r="388">
      <c r="J388" s="295"/>
    </row>
    <row r="389">
      <c r="J389" s="295"/>
    </row>
    <row r="390">
      <c r="J390" s="295"/>
    </row>
    <row r="391">
      <c r="J391" s="295"/>
    </row>
    <row r="392">
      <c r="J392" s="295"/>
    </row>
    <row r="393">
      <c r="J393" s="295"/>
    </row>
    <row r="394">
      <c r="J394" s="295"/>
    </row>
    <row r="395">
      <c r="J395" s="295"/>
    </row>
    <row r="396">
      <c r="J396" s="295"/>
    </row>
    <row r="397">
      <c r="J397" s="295"/>
    </row>
    <row r="398">
      <c r="J398" s="295"/>
    </row>
    <row r="399">
      <c r="J399" s="295"/>
    </row>
    <row r="400">
      <c r="J400" s="295"/>
    </row>
    <row r="401">
      <c r="J401" s="295"/>
    </row>
    <row r="402">
      <c r="J402" s="295"/>
    </row>
    <row r="403">
      <c r="J403" s="295"/>
    </row>
    <row r="404">
      <c r="J404" s="295"/>
    </row>
    <row r="405">
      <c r="J405" s="295"/>
    </row>
    <row r="406">
      <c r="J406" s="295"/>
    </row>
    <row r="407">
      <c r="J407" s="295"/>
    </row>
    <row r="408">
      <c r="J408" s="295"/>
    </row>
    <row r="409">
      <c r="J409" s="295"/>
    </row>
    <row r="410">
      <c r="J410" s="295"/>
    </row>
    <row r="411">
      <c r="J411" s="295"/>
    </row>
    <row r="412">
      <c r="J412" s="295"/>
    </row>
    <row r="413">
      <c r="J413" s="295"/>
    </row>
    <row r="414">
      <c r="J414" s="295"/>
    </row>
    <row r="415">
      <c r="J415" s="295"/>
    </row>
    <row r="416">
      <c r="J416" s="295"/>
    </row>
    <row r="417">
      <c r="J417" s="295"/>
    </row>
    <row r="418">
      <c r="J418" s="295"/>
    </row>
    <row r="419">
      <c r="J419" s="295"/>
    </row>
    <row r="420">
      <c r="J420" s="295"/>
    </row>
    <row r="421">
      <c r="J421" s="295"/>
    </row>
    <row r="422">
      <c r="J422" s="295"/>
    </row>
    <row r="423">
      <c r="J423" s="295"/>
    </row>
    <row r="424">
      <c r="J424" s="295"/>
    </row>
    <row r="425">
      <c r="J425" s="295"/>
    </row>
    <row r="426">
      <c r="J426" s="295"/>
    </row>
    <row r="427">
      <c r="J427" s="295"/>
    </row>
    <row r="428">
      <c r="J428" s="295"/>
    </row>
    <row r="429">
      <c r="J429" s="295"/>
    </row>
    <row r="430">
      <c r="J430" s="295"/>
    </row>
    <row r="431">
      <c r="J431" s="295"/>
    </row>
    <row r="432">
      <c r="J432" s="295"/>
    </row>
    <row r="433">
      <c r="J433" s="295"/>
    </row>
    <row r="434">
      <c r="J434" s="295"/>
    </row>
    <row r="435">
      <c r="J435" s="295"/>
    </row>
    <row r="436">
      <c r="J436" s="295"/>
    </row>
    <row r="437">
      <c r="J437" s="295"/>
    </row>
    <row r="438">
      <c r="J438" s="295"/>
    </row>
    <row r="439">
      <c r="J439" s="295"/>
    </row>
    <row r="440">
      <c r="J440" s="295"/>
    </row>
    <row r="441">
      <c r="J441" s="295"/>
    </row>
    <row r="442">
      <c r="J442" s="295"/>
    </row>
    <row r="443">
      <c r="J443" s="295"/>
    </row>
    <row r="444">
      <c r="J444" s="295"/>
    </row>
    <row r="445">
      <c r="J445" s="295"/>
    </row>
    <row r="446">
      <c r="J446" s="295"/>
    </row>
    <row r="447">
      <c r="J447" s="295"/>
    </row>
    <row r="448">
      <c r="J448" s="295"/>
    </row>
    <row r="449">
      <c r="J449" s="295"/>
    </row>
    <row r="450">
      <c r="J450" s="295"/>
    </row>
    <row r="451">
      <c r="J451" s="295"/>
    </row>
    <row r="452">
      <c r="J452" s="295"/>
    </row>
    <row r="453">
      <c r="J453" s="295"/>
    </row>
    <row r="454">
      <c r="J454" s="295"/>
    </row>
    <row r="455">
      <c r="J455" s="295"/>
    </row>
    <row r="456">
      <c r="J456" s="295"/>
    </row>
    <row r="457">
      <c r="J457" s="295"/>
    </row>
    <row r="458">
      <c r="J458" s="295"/>
    </row>
    <row r="459">
      <c r="J459" s="295"/>
    </row>
    <row r="460">
      <c r="J460" s="295"/>
    </row>
    <row r="461">
      <c r="J461" s="295"/>
    </row>
    <row r="462">
      <c r="J462" s="295"/>
    </row>
    <row r="463">
      <c r="J463" s="295"/>
    </row>
    <row r="464">
      <c r="J464" s="295"/>
    </row>
    <row r="465">
      <c r="J465" s="295"/>
    </row>
    <row r="466">
      <c r="J466" s="295"/>
    </row>
    <row r="467">
      <c r="J467" s="295"/>
    </row>
    <row r="468">
      <c r="J468" s="295"/>
    </row>
    <row r="469">
      <c r="J469" s="295"/>
    </row>
    <row r="470">
      <c r="J470" s="295"/>
    </row>
    <row r="471">
      <c r="J471" s="295"/>
    </row>
    <row r="472">
      <c r="J472" s="295"/>
    </row>
    <row r="473">
      <c r="J473" s="295"/>
    </row>
    <row r="474">
      <c r="J474" s="295"/>
    </row>
    <row r="475">
      <c r="J475" s="295"/>
    </row>
    <row r="476">
      <c r="J476" s="295"/>
    </row>
    <row r="477">
      <c r="J477" s="295"/>
    </row>
    <row r="478">
      <c r="J478" s="295"/>
    </row>
    <row r="479">
      <c r="J479" s="295"/>
    </row>
    <row r="480">
      <c r="J480" s="295"/>
    </row>
    <row r="481">
      <c r="J481" s="295"/>
    </row>
    <row r="482">
      <c r="J482" s="295"/>
    </row>
    <row r="483">
      <c r="J483" s="295"/>
    </row>
    <row r="484">
      <c r="J484" s="295"/>
    </row>
    <row r="485">
      <c r="J485" s="295"/>
    </row>
    <row r="486">
      <c r="J486" s="295"/>
    </row>
    <row r="487">
      <c r="J487" s="295"/>
    </row>
    <row r="488">
      <c r="J488" s="295"/>
    </row>
    <row r="489">
      <c r="J489" s="295"/>
    </row>
    <row r="490">
      <c r="J490" s="295"/>
    </row>
    <row r="491">
      <c r="J491" s="295"/>
    </row>
    <row r="492">
      <c r="J492" s="295"/>
    </row>
    <row r="493">
      <c r="J493" s="295"/>
    </row>
    <row r="494">
      <c r="J494" s="295"/>
    </row>
    <row r="495">
      <c r="J495" s="295"/>
    </row>
    <row r="496">
      <c r="J496" s="295"/>
    </row>
    <row r="497">
      <c r="J497" s="295"/>
    </row>
    <row r="498">
      <c r="J498" s="295"/>
    </row>
    <row r="499">
      <c r="J499" s="295"/>
    </row>
    <row r="500">
      <c r="J500" s="295"/>
    </row>
    <row r="501">
      <c r="J501" s="295"/>
    </row>
    <row r="502">
      <c r="J502" s="295"/>
    </row>
    <row r="503">
      <c r="J503" s="295"/>
    </row>
    <row r="504">
      <c r="J504" s="295"/>
    </row>
    <row r="505">
      <c r="J505" s="295"/>
    </row>
    <row r="506">
      <c r="J506" s="295"/>
    </row>
    <row r="507">
      <c r="J507" s="295"/>
    </row>
    <row r="508">
      <c r="J508" s="295"/>
    </row>
    <row r="509">
      <c r="J509" s="295"/>
    </row>
    <row r="510">
      <c r="J510" s="295"/>
    </row>
    <row r="511">
      <c r="J511" s="295"/>
    </row>
    <row r="512">
      <c r="J512" s="295"/>
    </row>
    <row r="513">
      <c r="J513" s="295"/>
    </row>
    <row r="514">
      <c r="J514" s="295"/>
    </row>
    <row r="515">
      <c r="J515" s="295"/>
    </row>
    <row r="516">
      <c r="J516" s="295"/>
    </row>
    <row r="517">
      <c r="J517" s="295"/>
    </row>
    <row r="518">
      <c r="J518" s="295"/>
    </row>
    <row r="519">
      <c r="J519" s="295"/>
    </row>
    <row r="520">
      <c r="J520" s="295"/>
    </row>
    <row r="521">
      <c r="J521" s="295"/>
    </row>
    <row r="522">
      <c r="J522" s="295"/>
    </row>
    <row r="523">
      <c r="J523" s="295"/>
    </row>
    <row r="524">
      <c r="J524" s="295"/>
    </row>
    <row r="525">
      <c r="J525" s="295"/>
    </row>
    <row r="526">
      <c r="J526" s="295"/>
    </row>
    <row r="527">
      <c r="J527" s="295"/>
    </row>
    <row r="528">
      <c r="J528" s="295"/>
    </row>
    <row r="529">
      <c r="J529" s="295"/>
    </row>
    <row r="530">
      <c r="J530" s="295"/>
    </row>
    <row r="531">
      <c r="J531" s="295"/>
    </row>
    <row r="532">
      <c r="J532" s="295"/>
    </row>
    <row r="533">
      <c r="J533" s="295"/>
    </row>
    <row r="534">
      <c r="J534" s="295"/>
    </row>
    <row r="535">
      <c r="J535" s="295"/>
    </row>
    <row r="536">
      <c r="J536" s="295"/>
    </row>
    <row r="537">
      <c r="J537" s="295"/>
    </row>
    <row r="538">
      <c r="J538" s="295"/>
    </row>
    <row r="539">
      <c r="J539" s="295"/>
    </row>
    <row r="540">
      <c r="J540" s="295"/>
    </row>
    <row r="541">
      <c r="J541" s="295"/>
    </row>
    <row r="542">
      <c r="J542" s="295"/>
    </row>
    <row r="543">
      <c r="J543" s="295"/>
    </row>
    <row r="544">
      <c r="J544" s="295"/>
    </row>
    <row r="545">
      <c r="J545" s="295"/>
    </row>
    <row r="546">
      <c r="J546" s="295"/>
    </row>
    <row r="547">
      <c r="J547" s="295"/>
    </row>
    <row r="548">
      <c r="J548" s="295"/>
    </row>
    <row r="549">
      <c r="J549" s="295"/>
    </row>
    <row r="550">
      <c r="J550" s="295"/>
    </row>
    <row r="551">
      <c r="J551" s="295"/>
    </row>
    <row r="552">
      <c r="J552" s="295"/>
    </row>
    <row r="553">
      <c r="J553" s="295"/>
    </row>
    <row r="554">
      <c r="J554" s="295"/>
    </row>
    <row r="555">
      <c r="J555" s="295"/>
    </row>
    <row r="556">
      <c r="J556" s="295"/>
    </row>
    <row r="557">
      <c r="J557" s="295"/>
    </row>
    <row r="558">
      <c r="J558" s="295"/>
    </row>
    <row r="559">
      <c r="J559" s="295"/>
    </row>
    <row r="560">
      <c r="J560" s="295"/>
    </row>
    <row r="561">
      <c r="J561" s="295"/>
    </row>
    <row r="562">
      <c r="J562" s="295"/>
    </row>
    <row r="563">
      <c r="J563" s="295"/>
    </row>
    <row r="564">
      <c r="J564" s="295"/>
    </row>
    <row r="565">
      <c r="J565" s="295"/>
    </row>
    <row r="566">
      <c r="J566" s="295"/>
    </row>
    <row r="567">
      <c r="J567" s="295"/>
    </row>
    <row r="568">
      <c r="J568" s="295"/>
    </row>
    <row r="569">
      <c r="J569" s="295"/>
    </row>
    <row r="570">
      <c r="J570" s="295"/>
    </row>
    <row r="571">
      <c r="J571" s="295"/>
    </row>
    <row r="572">
      <c r="J572" s="295"/>
    </row>
    <row r="573">
      <c r="J573" s="295"/>
    </row>
    <row r="574">
      <c r="J574" s="295"/>
    </row>
    <row r="575">
      <c r="J575" s="295"/>
    </row>
    <row r="576">
      <c r="J576" s="295"/>
    </row>
    <row r="577">
      <c r="J577" s="295"/>
    </row>
    <row r="578">
      <c r="J578" s="295"/>
    </row>
    <row r="579">
      <c r="J579" s="295"/>
    </row>
    <row r="580">
      <c r="J580" s="295"/>
    </row>
    <row r="581">
      <c r="J581" s="295"/>
    </row>
    <row r="582">
      <c r="J582" s="295"/>
    </row>
    <row r="583">
      <c r="J583" s="295"/>
    </row>
    <row r="584">
      <c r="J584" s="295"/>
    </row>
    <row r="585">
      <c r="J585" s="295"/>
    </row>
    <row r="586">
      <c r="J586" s="295"/>
    </row>
    <row r="587">
      <c r="J587" s="295"/>
    </row>
    <row r="588">
      <c r="J588" s="295"/>
    </row>
    <row r="589">
      <c r="J589" s="295"/>
    </row>
    <row r="590">
      <c r="J590" s="295"/>
    </row>
    <row r="591">
      <c r="J591" s="295"/>
    </row>
    <row r="592">
      <c r="J592" s="295"/>
    </row>
    <row r="593">
      <c r="J593" s="295"/>
    </row>
    <row r="594">
      <c r="J594" s="295"/>
    </row>
    <row r="595">
      <c r="J595" s="295"/>
    </row>
    <row r="596">
      <c r="J596" s="295"/>
    </row>
    <row r="597">
      <c r="J597" s="295"/>
    </row>
    <row r="598">
      <c r="J598" s="295"/>
    </row>
    <row r="599">
      <c r="J599" s="295"/>
    </row>
    <row r="600">
      <c r="J600" s="295"/>
    </row>
    <row r="601">
      <c r="J601" s="295"/>
    </row>
    <row r="602">
      <c r="J602" s="295"/>
    </row>
    <row r="603">
      <c r="J603" s="295"/>
    </row>
    <row r="604">
      <c r="J604" s="295"/>
    </row>
    <row r="605">
      <c r="J605" s="295"/>
    </row>
    <row r="606">
      <c r="J606" s="295"/>
    </row>
    <row r="607">
      <c r="J607" s="295"/>
    </row>
    <row r="608">
      <c r="J608" s="295"/>
    </row>
    <row r="609">
      <c r="J609" s="295"/>
    </row>
    <row r="610">
      <c r="J610" s="295"/>
    </row>
    <row r="611">
      <c r="J611" s="295"/>
    </row>
    <row r="612">
      <c r="J612" s="295"/>
    </row>
    <row r="613">
      <c r="J613" s="295"/>
    </row>
    <row r="614">
      <c r="J614" s="295"/>
    </row>
    <row r="615">
      <c r="J615" s="295"/>
    </row>
    <row r="616">
      <c r="J616" s="295"/>
    </row>
    <row r="617">
      <c r="J617" s="295"/>
    </row>
    <row r="618">
      <c r="J618" s="295"/>
    </row>
    <row r="619">
      <c r="J619" s="295"/>
    </row>
    <row r="620">
      <c r="J620" s="295"/>
    </row>
    <row r="621">
      <c r="J621" s="295"/>
    </row>
    <row r="622">
      <c r="J622" s="295"/>
    </row>
    <row r="623">
      <c r="J623" s="295"/>
    </row>
    <row r="624">
      <c r="J624" s="295"/>
    </row>
    <row r="625">
      <c r="J625" s="295"/>
    </row>
    <row r="626">
      <c r="J626" s="295"/>
    </row>
    <row r="627">
      <c r="J627" s="295"/>
    </row>
    <row r="628">
      <c r="J628" s="295"/>
    </row>
    <row r="629">
      <c r="J629" s="295"/>
    </row>
    <row r="630">
      <c r="J630" s="295"/>
    </row>
    <row r="631">
      <c r="J631" s="295"/>
    </row>
    <row r="632">
      <c r="J632" s="295"/>
    </row>
    <row r="633">
      <c r="J633" s="295"/>
    </row>
    <row r="634">
      <c r="J634" s="295"/>
    </row>
    <row r="635">
      <c r="J635" s="295"/>
    </row>
    <row r="636">
      <c r="J636" s="295"/>
    </row>
    <row r="637">
      <c r="J637" s="295"/>
    </row>
    <row r="638">
      <c r="J638" s="295"/>
    </row>
    <row r="639">
      <c r="J639" s="295"/>
    </row>
    <row r="640">
      <c r="J640" s="295"/>
    </row>
    <row r="641">
      <c r="J641" s="295"/>
    </row>
    <row r="642">
      <c r="J642" s="295"/>
    </row>
    <row r="643">
      <c r="J643" s="295"/>
    </row>
    <row r="644">
      <c r="J644" s="295"/>
    </row>
    <row r="645">
      <c r="J645" s="295"/>
    </row>
    <row r="646">
      <c r="J646" s="295"/>
    </row>
    <row r="647">
      <c r="J647" s="295"/>
    </row>
    <row r="648">
      <c r="J648" s="295"/>
    </row>
    <row r="649">
      <c r="J649" s="295"/>
    </row>
    <row r="650">
      <c r="J650" s="295"/>
    </row>
    <row r="651">
      <c r="J651" s="295"/>
    </row>
    <row r="652">
      <c r="J652" s="295"/>
    </row>
    <row r="653">
      <c r="J653" s="295"/>
    </row>
    <row r="654">
      <c r="J654" s="295"/>
    </row>
    <row r="655">
      <c r="J655" s="295"/>
    </row>
    <row r="656">
      <c r="J656" s="295"/>
    </row>
    <row r="657">
      <c r="J657" s="295"/>
    </row>
    <row r="658">
      <c r="J658" s="295"/>
    </row>
    <row r="659">
      <c r="J659" s="295"/>
    </row>
    <row r="660">
      <c r="J660" s="295"/>
    </row>
    <row r="661">
      <c r="J661" s="295"/>
    </row>
    <row r="662">
      <c r="J662" s="295"/>
    </row>
    <row r="663">
      <c r="J663" s="295"/>
    </row>
    <row r="664">
      <c r="J664" s="295"/>
    </row>
    <row r="665">
      <c r="J665" s="295"/>
    </row>
    <row r="666">
      <c r="J666" s="295"/>
    </row>
    <row r="667">
      <c r="J667" s="295"/>
    </row>
    <row r="668">
      <c r="J668" s="295"/>
    </row>
    <row r="669">
      <c r="J669" s="295"/>
    </row>
    <row r="670">
      <c r="J670" s="295"/>
    </row>
    <row r="671">
      <c r="J671" s="295"/>
    </row>
    <row r="672">
      <c r="J672" s="295"/>
    </row>
    <row r="673">
      <c r="J673" s="295"/>
    </row>
    <row r="674">
      <c r="J674" s="295"/>
    </row>
    <row r="675">
      <c r="J675" s="295"/>
    </row>
    <row r="676">
      <c r="J676" s="295"/>
    </row>
    <row r="677">
      <c r="J677" s="295"/>
    </row>
    <row r="678">
      <c r="J678" s="295"/>
    </row>
    <row r="679">
      <c r="J679" s="295"/>
    </row>
    <row r="680">
      <c r="J680" s="295"/>
    </row>
    <row r="681">
      <c r="J681" s="295"/>
    </row>
    <row r="682">
      <c r="J682" s="295"/>
    </row>
    <row r="683">
      <c r="J683" s="295"/>
    </row>
    <row r="684">
      <c r="J684" s="295"/>
    </row>
    <row r="685">
      <c r="J685" s="295"/>
    </row>
    <row r="686">
      <c r="J686" s="295"/>
    </row>
    <row r="687">
      <c r="J687" s="295"/>
    </row>
    <row r="688">
      <c r="J688" s="295"/>
    </row>
    <row r="689">
      <c r="J689" s="295"/>
    </row>
    <row r="690">
      <c r="J690" s="295"/>
    </row>
    <row r="691">
      <c r="J691" s="295"/>
    </row>
    <row r="692">
      <c r="J692" s="295"/>
    </row>
    <row r="693">
      <c r="J693" s="295"/>
    </row>
    <row r="694">
      <c r="J694" s="295"/>
    </row>
    <row r="695">
      <c r="J695" s="295"/>
    </row>
    <row r="696">
      <c r="J696" s="295"/>
    </row>
    <row r="697">
      <c r="J697" s="295"/>
    </row>
    <row r="698">
      <c r="J698" s="295"/>
    </row>
    <row r="699">
      <c r="J699" s="295"/>
    </row>
    <row r="700">
      <c r="J700" s="295"/>
    </row>
    <row r="701">
      <c r="J701" s="295"/>
    </row>
    <row r="702">
      <c r="J702" s="295"/>
    </row>
    <row r="703">
      <c r="J703" s="295"/>
    </row>
    <row r="704">
      <c r="J704" s="295"/>
    </row>
    <row r="705">
      <c r="J705" s="295"/>
    </row>
    <row r="706">
      <c r="J706" s="295"/>
    </row>
    <row r="707">
      <c r="J707" s="295"/>
    </row>
    <row r="708">
      <c r="J708" s="295"/>
    </row>
    <row r="709">
      <c r="J709" s="295"/>
    </row>
    <row r="710">
      <c r="J710" s="295"/>
    </row>
    <row r="711">
      <c r="J711" s="295"/>
    </row>
    <row r="712">
      <c r="J712" s="295"/>
    </row>
    <row r="713">
      <c r="J713" s="295"/>
    </row>
    <row r="714">
      <c r="J714" s="295"/>
    </row>
    <row r="715">
      <c r="J715" s="295"/>
    </row>
    <row r="716">
      <c r="J716" s="295"/>
    </row>
    <row r="717">
      <c r="J717" s="295"/>
    </row>
    <row r="718">
      <c r="J718" s="295"/>
    </row>
    <row r="719">
      <c r="J719" s="295"/>
    </row>
    <row r="720">
      <c r="J720" s="295"/>
    </row>
    <row r="721">
      <c r="J721" s="295"/>
    </row>
    <row r="722">
      <c r="J722" s="295"/>
    </row>
    <row r="723">
      <c r="J723" s="295"/>
    </row>
    <row r="724">
      <c r="J724" s="295"/>
    </row>
    <row r="725">
      <c r="J725" s="295"/>
    </row>
    <row r="726">
      <c r="J726" s="295"/>
    </row>
    <row r="727">
      <c r="J727" s="295"/>
    </row>
    <row r="728">
      <c r="J728" s="295"/>
    </row>
    <row r="729">
      <c r="J729" s="295"/>
    </row>
    <row r="730">
      <c r="J730" s="295"/>
    </row>
    <row r="731">
      <c r="J731" s="295"/>
    </row>
    <row r="732">
      <c r="J732" s="295"/>
    </row>
    <row r="733">
      <c r="J733" s="295"/>
    </row>
    <row r="734">
      <c r="J734" s="295"/>
    </row>
    <row r="735">
      <c r="J735" s="295"/>
    </row>
    <row r="736">
      <c r="J736" s="295"/>
    </row>
    <row r="737">
      <c r="J737" s="295"/>
    </row>
    <row r="738">
      <c r="J738" s="295"/>
    </row>
    <row r="739">
      <c r="J739" s="295"/>
    </row>
    <row r="740">
      <c r="J740" s="295"/>
    </row>
    <row r="741">
      <c r="J741" s="295"/>
    </row>
    <row r="742">
      <c r="J742" s="295"/>
    </row>
    <row r="743">
      <c r="J743" s="295"/>
    </row>
    <row r="744">
      <c r="J744" s="295"/>
    </row>
    <row r="745">
      <c r="J745" s="295"/>
    </row>
    <row r="746">
      <c r="J746" s="295"/>
    </row>
    <row r="747">
      <c r="J747" s="295"/>
    </row>
    <row r="748">
      <c r="J748" s="295"/>
    </row>
    <row r="749">
      <c r="J749" s="295"/>
    </row>
    <row r="750">
      <c r="J750" s="295"/>
    </row>
    <row r="751">
      <c r="J751" s="295"/>
    </row>
    <row r="752">
      <c r="J752" s="295"/>
    </row>
    <row r="753">
      <c r="J753" s="295"/>
    </row>
    <row r="754">
      <c r="J754" s="295"/>
    </row>
    <row r="755">
      <c r="J755" s="295"/>
    </row>
    <row r="756">
      <c r="J756" s="295"/>
    </row>
    <row r="757">
      <c r="J757" s="295"/>
    </row>
    <row r="758">
      <c r="J758" s="295"/>
    </row>
    <row r="759">
      <c r="J759" s="295"/>
    </row>
    <row r="760">
      <c r="J760" s="295"/>
    </row>
    <row r="761">
      <c r="J761" s="295"/>
    </row>
    <row r="762">
      <c r="J762" s="295"/>
    </row>
    <row r="763">
      <c r="J763" s="295"/>
    </row>
    <row r="764">
      <c r="J764" s="295"/>
    </row>
    <row r="765">
      <c r="J765" s="295"/>
    </row>
    <row r="766">
      <c r="J766" s="295"/>
    </row>
    <row r="767">
      <c r="J767" s="295"/>
    </row>
    <row r="768">
      <c r="J768" s="295"/>
    </row>
    <row r="769">
      <c r="J769" s="295"/>
    </row>
    <row r="770">
      <c r="J770" s="295"/>
    </row>
    <row r="771">
      <c r="J771" s="295"/>
    </row>
    <row r="772">
      <c r="J772" s="295"/>
    </row>
    <row r="773">
      <c r="J773" s="295"/>
    </row>
    <row r="774">
      <c r="J774" s="295"/>
    </row>
    <row r="775">
      <c r="J775" s="295"/>
    </row>
    <row r="776">
      <c r="J776" s="295"/>
    </row>
    <row r="777">
      <c r="J777" s="295"/>
    </row>
    <row r="778">
      <c r="J778" s="295"/>
    </row>
    <row r="779">
      <c r="J779" s="295"/>
    </row>
    <row r="780">
      <c r="J780" s="295"/>
    </row>
    <row r="781">
      <c r="J781" s="295"/>
    </row>
    <row r="782">
      <c r="J782" s="295"/>
    </row>
    <row r="783">
      <c r="J783" s="295"/>
    </row>
    <row r="784">
      <c r="J784" s="295"/>
    </row>
    <row r="785">
      <c r="J785" s="295"/>
    </row>
    <row r="786">
      <c r="J786" s="295"/>
    </row>
    <row r="787">
      <c r="J787" s="295"/>
    </row>
    <row r="788">
      <c r="J788" s="295"/>
    </row>
    <row r="789">
      <c r="J789" s="295"/>
    </row>
    <row r="790">
      <c r="J790" s="295"/>
    </row>
    <row r="791">
      <c r="J791" s="295"/>
    </row>
    <row r="792">
      <c r="J792" s="295"/>
    </row>
    <row r="793">
      <c r="J793" s="295"/>
    </row>
    <row r="794">
      <c r="J794" s="295"/>
    </row>
    <row r="795">
      <c r="J795" s="295"/>
    </row>
    <row r="796">
      <c r="J796" s="295"/>
    </row>
    <row r="797">
      <c r="J797" s="295"/>
    </row>
    <row r="798">
      <c r="J798" s="295"/>
    </row>
    <row r="799">
      <c r="J799" s="295"/>
    </row>
    <row r="800">
      <c r="J800" s="295"/>
    </row>
    <row r="801">
      <c r="J801" s="295"/>
    </row>
    <row r="802">
      <c r="J802" s="295"/>
    </row>
    <row r="803">
      <c r="J803" s="295"/>
    </row>
    <row r="804">
      <c r="J804" s="295"/>
    </row>
    <row r="805">
      <c r="J805" s="295"/>
    </row>
    <row r="806">
      <c r="J806" s="295"/>
    </row>
    <row r="807">
      <c r="J807" s="295"/>
    </row>
    <row r="808">
      <c r="J808" s="295"/>
    </row>
    <row r="809">
      <c r="J809" s="295"/>
    </row>
    <row r="810">
      <c r="J810" s="295"/>
    </row>
    <row r="811">
      <c r="J811" s="295"/>
    </row>
    <row r="812">
      <c r="J812" s="295"/>
    </row>
    <row r="813">
      <c r="J813" s="295"/>
    </row>
    <row r="814">
      <c r="J814" s="295"/>
    </row>
    <row r="815">
      <c r="J815" s="295"/>
    </row>
    <row r="816">
      <c r="J816" s="295"/>
    </row>
    <row r="817">
      <c r="J817" s="295"/>
    </row>
    <row r="818">
      <c r="J818" s="295"/>
    </row>
    <row r="819">
      <c r="J819" s="295"/>
    </row>
    <row r="820">
      <c r="J820" s="295"/>
    </row>
    <row r="821">
      <c r="J821" s="295"/>
    </row>
    <row r="822">
      <c r="J822" s="295"/>
    </row>
    <row r="823">
      <c r="J823" s="295"/>
    </row>
    <row r="824">
      <c r="J824" s="295"/>
    </row>
    <row r="825">
      <c r="J825" s="295"/>
    </row>
    <row r="826">
      <c r="J826" s="295"/>
    </row>
    <row r="827">
      <c r="J827" s="295"/>
    </row>
    <row r="828">
      <c r="J828" s="295"/>
    </row>
    <row r="829">
      <c r="J829" s="295"/>
    </row>
    <row r="830">
      <c r="J830" s="295"/>
    </row>
    <row r="831">
      <c r="J831" s="295"/>
    </row>
    <row r="832">
      <c r="J832" s="295"/>
    </row>
    <row r="833">
      <c r="J833" s="295"/>
    </row>
    <row r="834">
      <c r="J834" s="295"/>
    </row>
    <row r="835">
      <c r="J835" s="295"/>
    </row>
    <row r="836">
      <c r="J836" s="295"/>
    </row>
    <row r="837">
      <c r="J837" s="295"/>
    </row>
    <row r="838">
      <c r="J838" s="295"/>
    </row>
    <row r="839">
      <c r="J839" s="295"/>
    </row>
    <row r="840">
      <c r="J840" s="295"/>
    </row>
    <row r="841">
      <c r="J841" s="295"/>
    </row>
    <row r="842">
      <c r="J842" s="295"/>
    </row>
    <row r="843">
      <c r="J843" s="295"/>
    </row>
    <row r="844">
      <c r="J844" s="295"/>
    </row>
    <row r="845">
      <c r="J845" s="295"/>
    </row>
    <row r="846">
      <c r="J846" s="295"/>
    </row>
    <row r="847">
      <c r="J847" s="295"/>
    </row>
    <row r="848">
      <c r="J848" s="295"/>
    </row>
    <row r="849">
      <c r="J849" s="295"/>
    </row>
    <row r="850">
      <c r="J850" s="295"/>
    </row>
    <row r="851">
      <c r="J851" s="295"/>
    </row>
    <row r="852">
      <c r="J852" s="295"/>
    </row>
    <row r="853">
      <c r="J853" s="295"/>
    </row>
    <row r="854">
      <c r="J854" s="295"/>
    </row>
    <row r="855">
      <c r="J855" s="295"/>
    </row>
    <row r="856">
      <c r="J856" s="295"/>
    </row>
    <row r="857">
      <c r="J857" s="295"/>
    </row>
    <row r="858">
      <c r="J858" s="295"/>
    </row>
    <row r="859">
      <c r="J859" s="295"/>
    </row>
    <row r="860">
      <c r="J860" s="295"/>
    </row>
    <row r="861">
      <c r="J861" s="295"/>
    </row>
    <row r="862">
      <c r="J862" s="295"/>
    </row>
    <row r="863">
      <c r="J863" s="295"/>
    </row>
    <row r="864">
      <c r="J864" s="295"/>
    </row>
    <row r="865">
      <c r="J865" s="295"/>
    </row>
    <row r="866">
      <c r="J866" s="295"/>
    </row>
    <row r="867">
      <c r="J867" s="295"/>
    </row>
    <row r="868">
      <c r="J868" s="295"/>
    </row>
    <row r="869">
      <c r="J869" s="295"/>
    </row>
    <row r="870">
      <c r="J870" s="295"/>
    </row>
    <row r="871">
      <c r="J871" s="295"/>
    </row>
    <row r="872">
      <c r="J872" s="295"/>
    </row>
    <row r="873">
      <c r="J873" s="295"/>
    </row>
    <row r="874">
      <c r="J874" s="295"/>
    </row>
    <row r="875">
      <c r="J875" s="295"/>
    </row>
    <row r="876">
      <c r="J876" s="295"/>
    </row>
    <row r="877">
      <c r="J877" s="295"/>
    </row>
    <row r="878">
      <c r="J878" s="295"/>
    </row>
    <row r="879">
      <c r="J879" s="295"/>
    </row>
    <row r="880">
      <c r="J880" s="295"/>
    </row>
    <row r="881">
      <c r="J881" s="295"/>
    </row>
    <row r="882">
      <c r="J882" s="295"/>
    </row>
    <row r="883">
      <c r="J883" s="295"/>
    </row>
    <row r="884">
      <c r="J884" s="295"/>
    </row>
    <row r="885">
      <c r="J885" s="295"/>
    </row>
    <row r="886">
      <c r="J886" s="295"/>
    </row>
    <row r="887">
      <c r="J887" s="295"/>
    </row>
    <row r="888">
      <c r="J888" s="295"/>
    </row>
    <row r="889">
      <c r="J889" s="295"/>
    </row>
    <row r="890">
      <c r="J890" s="295"/>
    </row>
    <row r="891">
      <c r="J891" s="295"/>
    </row>
    <row r="892">
      <c r="J892" s="295"/>
    </row>
    <row r="893">
      <c r="J893" s="295"/>
    </row>
    <row r="894">
      <c r="J894" s="295"/>
    </row>
    <row r="895">
      <c r="J895" s="295"/>
    </row>
    <row r="896">
      <c r="J896" s="295"/>
    </row>
    <row r="897">
      <c r="J897" s="295"/>
    </row>
    <row r="898">
      <c r="J898" s="295"/>
    </row>
    <row r="899">
      <c r="J899" s="295"/>
    </row>
    <row r="900">
      <c r="J900" s="295"/>
    </row>
    <row r="901">
      <c r="J901" s="295"/>
    </row>
    <row r="902">
      <c r="J902" s="295"/>
    </row>
    <row r="903">
      <c r="J903" s="295"/>
    </row>
    <row r="904">
      <c r="J904" s="295"/>
    </row>
    <row r="905">
      <c r="J905" s="295"/>
    </row>
    <row r="906">
      <c r="J906" s="295"/>
    </row>
    <row r="907">
      <c r="J907" s="295"/>
    </row>
    <row r="908">
      <c r="J908" s="295"/>
    </row>
    <row r="909">
      <c r="J909" s="295"/>
    </row>
    <row r="910">
      <c r="J910" s="295"/>
    </row>
    <row r="911">
      <c r="J911" s="295"/>
    </row>
    <row r="912">
      <c r="J912" s="295"/>
    </row>
    <row r="913">
      <c r="J913" s="295"/>
    </row>
    <row r="914">
      <c r="J914" s="295"/>
    </row>
    <row r="915">
      <c r="J915" s="295"/>
    </row>
    <row r="916">
      <c r="J916" s="295"/>
    </row>
    <row r="917">
      <c r="J917" s="295"/>
    </row>
    <row r="918">
      <c r="J918" s="295"/>
    </row>
    <row r="919">
      <c r="J919" s="295"/>
    </row>
    <row r="920">
      <c r="J920" s="295"/>
    </row>
    <row r="921">
      <c r="J921" s="295"/>
    </row>
    <row r="922">
      <c r="J922" s="295"/>
    </row>
    <row r="923">
      <c r="J923" s="295"/>
    </row>
    <row r="924">
      <c r="J924" s="295"/>
    </row>
    <row r="925">
      <c r="J925" s="295"/>
    </row>
    <row r="926">
      <c r="J926" s="295"/>
    </row>
    <row r="927">
      <c r="J927" s="295"/>
    </row>
    <row r="928">
      <c r="J928" s="295"/>
    </row>
    <row r="929">
      <c r="J929" s="295"/>
    </row>
    <row r="930">
      <c r="J930" s="295"/>
    </row>
    <row r="931">
      <c r="J931" s="295"/>
    </row>
    <row r="932">
      <c r="J932" s="295"/>
    </row>
    <row r="933">
      <c r="J933" s="295"/>
    </row>
    <row r="934">
      <c r="J934" s="295"/>
    </row>
    <row r="935">
      <c r="J935" s="295"/>
    </row>
    <row r="936">
      <c r="J936" s="295"/>
    </row>
    <row r="937">
      <c r="J937" s="295"/>
    </row>
    <row r="938">
      <c r="J938" s="295"/>
    </row>
    <row r="939">
      <c r="J939" s="295"/>
    </row>
    <row r="940">
      <c r="J940" s="295"/>
    </row>
    <row r="941">
      <c r="J941" s="295"/>
    </row>
    <row r="942">
      <c r="J942" s="295"/>
    </row>
    <row r="943">
      <c r="J943" s="295"/>
    </row>
    <row r="944">
      <c r="J944" s="295"/>
    </row>
    <row r="945">
      <c r="J945" s="295"/>
    </row>
    <row r="946">
      <c r="J946" s="295"/>
    </row>
    <row r="947">
      <c r="J947" s="295"/>
    </row>
    <row r="948">
      <c r="J948" s="295"/>
    </row>
    <row r="949">
      <c r="J949" s="295"/>
    </row>
    <row r="950">
      <c r="J950" s="295"/>
    </row>
    <row r="951">
      <c r="J951" s="295"/>
    </row>
    <row r="952">
      <c r="J952" s="295"/>
    </row>
    <row r="953">
      <c r="J953" s="295"/>
    </row>
    <row r="954">
      <c r="J954" s="295"/>
    </row>
    <row r="955">
      <c r="J955" s="295"/>
    </row>
    <row r="956">
      <c r="J956" s="295"/>
    </row>
    <row r="957">
      <c r="J957" s="295"/>
    </row>
    <row r="958">
      <c r="J958" s="295"/>
    </row>
    <row r="959">
      <c r="J959" s="295"/>
    </row>
    <row r="960">
      <c r="J960" s="295"/>
    </row>
    <row r="961">
      <c r="J961" s="295"/>
    </row>
    <row r="962">
      <c r="J962" s="295"/>
    </row>
    <row r="963">
      <c r="J963" s="295"/>
    </row>
    <row r="964">
      <c r="J964" s="295"/>
    </row>
    <row r="965">
      <c r="J965" s="295"/>
    </row>
    <row r="966">
      <c r="J966" s="295"/>
    </row>
    <row r="967">
      <c r="J967" s="295"/>
    </row>
    <row r="968">
      <c r="J968" s="295"/>
    </row>
    <row r="969">
      <c r="J969" s="295"/>
    </row>
    <row r="970">
      <c r="J970" s="295"/>
    </row>
    <row r="971">
      <c r="J971" s="295"/>
    </row>
    <row r="972">
      <c r="J972" s="295"/>
    </row>
    <row r="973">
      <c r="J973" s="295"/>
    </row>
    <row r="974">
      <c r="J974" s="295"/>
    </row>
    <row r="975">
      <c r="J975" s="295"/>
    </row>
    <row r="976">
      <c r="J976" s="295"/>
    </row>
    <row r="977">
      <c r="J977" s="295"/>
    </row>
    <row r="978">
      <c r="J978" s="295"/>
    </row>
    <row r="979">
      <c r="J979" s="295"/>
    </row>
    <row r="980">
      <c r="J980" s="295"/>
    </row>
    <row r="981">
      <c r="J981" s="295"/>
    </row>
    <row r="982">
      <c r="J982" s="295"/>
    </row>
    <row r="983">
      <c r="J983" s="295"/>
    </row>
    <row r="984">
      <c r="J984" s="295"/>
    </row>
    <row r="985">
      <c r="J985" s="295"/>
    </row>
    <row r="986">
      <c r="J986" s="295"/>
    </row>
    <row r="987">
      <c r="J987" s="295"/>
    </row>
    <row r="988">
      <c r="J988" s="295"/>
    </row>
    <row r="989">
      <c r="J989" s="295"/>
    </row>
    <row r="990">
      <c r="J990" s="295"/>
    </row>
    <row r="991">
      <c r="J991" s="295"/>
    </row>
    <row r="992">
      <c r="J992" s="295"/>
    </row>
    <row r="993">
      <c r="J993" s="295"/>
    </row>
    <row r="994">
      <c r="J994" s="295"/>
    </row>
    <row r="995">
      <c r="J995" s="295"/>
    </row>
    <row r="996">
      <c r="J996" s="295"/>
    </row>
    <row r="997">
      <c r="J997" s="295"/>
    </row>
    <row r="998">
      <c r="J998" s="295"/>
    </row>
    <row r="999">
      <c r="J999" s="295"/>
    </row>
    <row r="1000">
      <c r="J1000" s="295"/>
    </row>
    <row r="1001">
      <c r="J1001" s="295"/>
    </row>
    <row r="1002">
      <c r="J1002" s="295"/>
    </row>
    <row r="1003">
      <c r="J1003" s="295"/>
    </row>
    <row r="1004">
      <c r="J1004" s="295"/>
    </row>
    <row r="1005">
      <c r="J1005" s="295"/>
    </row>
    <row r="1006">
      <c r="J1006" s="295"/>
    </row>
    <row r="1007">
      <c r="J1007" s="295"/>
    </row>
    <row r="1008">
      <c r="J1008" s="295"/>
    </row>
    <row r="1009">
      <c r="J1009" s="295"/>
    </row>
    <row r="1010">
      <c r="J1010" s="295"/>
    </row>
    <row r="1011">
      <c r="J1011" s="295"/>
    </row>
    <row r="1012">
      <c r="J1012" s="295"/>
    </row>
    <row r="1013">
      <c r="J1013" s="295"/>
    </row>
    <row r="1014">
      <c r="J1014" s="295"/>
    </row>
    <row r="1015">
      <c r="J1015" s="295"/>
    </row>
    <row r="1016">
      <c r="J1016" s="295"/>
    </row>
    <row r="1017">
      <c r="J1017" s="295"/>
    </row>
    <row r="1018">
      <c r="J1018" s="295"/>
    </row>
    <row r="1019">
      <c r="J1019" s="295"/>
    </row>
    <row r="1020">
      <c r="J1020" s="295"/>
    </row>
    <row r="1021">
      <c r="J1021" s="295"/>
    </row>
    <row r="1022">
      <c r="J1022" s="295"/>
    </row>
    <row r="1023">
      <c r="J1023" s="295"/>
    </row>
    <row r="1024">
      <c r="J1024" s="295"/>
    </row>
    <row r="1025">
      <c r="J1025" s="295"/>
    </row>
    <row r="1026">
      <c r="J1026" s="295"/>
    </row>
    <row r="1027">
      <c r="J1027" s="295"/>
    </row>
    <row r="1028">
      <c r="J1028" s="295"/>
    </row>
    <row r="1029">
      <c r="J1029" s="295"/>
    </row>
    <row r="1030">
      <c r="J1030" s="295"/>
    </row>
    <row r="1031">
      <c r="J1031" s="295"/>
    </row>
    <row r="1032">
      <c r="J1032" s="295"/>
    </row>
    <row r="1033">
      <c r="J1033" s="295"/>
    </row>
    <row r="1034">
      <c r="J1034" s="295"/>
    </row>
    <row r="1035">
      <c r="J1035" s="295"/>
    </row>
    <row r="1036">
      <c r="J1036" s="295"/>
    </row>
    <row r="1037">
      <c r="J1037" s="295"/>
    </row>
    <row r="1038">
      <c r="J1038" s="295"/>
    </row>
    <row r="1039">
      <c r="J1039" s="295"/>
    </row>
    <row r="1040">
      <c r="J1040" s="295"/>
    </row>
    <row r="1041">
      <c r="J1041" s="295"/>
    </row>
    <row r="1042">
      <c r="J1042" s="295"/>
    </row>
    <row r="1043">
      <c r="J1043" s="295"/>
    </row>
    <row r="1044">
      <c r="J1044" s="295"/>
    </row>
    <row r="1045">
      <c r="J1045" s="295"/>
    </row>
    <row r="1046">
      <c r="J1046" s="295"/>
    </row>
    <row r="1047">
      <c r="J1047" s="295"/>
    </row>
    <row r="1048">
      <c r="J1048" s="295"/>
    </row>
    <row r="1049">
      <c r="J1049" s="295"/>
    </row>
    <row r="1050">
      <c r="J1050" s="295"/>
    </row>
    <row r="1051">
      <c r="J1051" s="295"/>
    </row>
    <row r="1052">
      <c r="J1052" s="295"/>
    </row>
    <row r="1053">
      <c r="J1053" s="295"/>
    </row>
    <row r="1054">
      <c r="J1054" s="295"/>
    </row>
    <row r="1055">
      <c r="J1055" s="295"/>
    </row>
    <row r="1056">
      <c r="J1056" s="295"/>
    </row>
    <row r="1057">
      <c r="J1057" s="295"/>
    </row>
    <row r="1058">
      <c r="J1058" s="295"/>
    </row>
    <row r="1059">
      <c r="J1059" s="295"/>
    </row>
    <row r="1060">
      <c r="J1060" s="295"/>
    </row>
    <row r="1061">
      <c r="J1061" s="295"/>
    </row>
    <row r="1062">
      <c r="J1062" s="295"/>
    </row>
    <row r="1063">
      <c r="J1063" s="295"/>
    </row>
    <row r="1064">
      <c r="J1064" s="295"/>
    </row>
    <row r="1065">
      <c r="J1065" s="295"/>
    </row>
    <row r="1066">
      <c r="J1066" s="295"/>
    </row>
    <row r="1067">
      <c r="J1067" s="295"/>
    </row>
    <row r="1068">
      <c r="J1068" s="295"/>
    </row>
    <row r="1069">
      <c r="J1069" s="295"/>
    </row>
    <row r="1070">
      <c r="J1070" s="295"/>
    </row>
    <row r="1071">
      <c r="J1071" s="295"/>
    </row>
    <row r="1072">
      <c r="J1072" s="295"/>
    </row>
    <row r="1073">
      <c r="J1073" s="295"/>
    </row>
    <row r="1074">
      <c r="J1074" s="295"/>
    </row>
    <row r="1075">
      <c r="J1075" s="295"/>
    </row>
    <row r="1076">
      <c r="J1076" s="295"/>
    </row>
  </sheetData>
  <autoFilter ref="$X$3:$X$1076"/>
  <conditionalFormatting sqref="C3:C101">
    <cfRule type="expression" dxfId="10" priority="1">
      <formula>(today()-Q3)&lt;0</formula>
    </cfRule>
  </conditionalFormatting>
  <conditionalFormatting sqref="C3:C101">
    <cfRule type="expression" dxfId="7" priority="2">
      <formula>(today()-Q3)&lt;180</formula>
    </cfRule>
  </conditionalFormatting>
  <conditionalFormatting sqref="D1:D1076">
    <cfRule type="cellIs" dxfId="0" priority="3" operator="between">
      <formula>50</formula>
      <formula>200</formula>
    </cfRule>
  </conditionalFormatting>
  <conditionalFormatting sqref="D1:D1076">
    <cfRule type="cellIs" dxfId="1" priority="4" operator="between">
      <formula>201</formula>
      <formula>400</formula>
    </cfRule>
  </conditionalFormatting>
  <conditionalFormatting sqref="D3:D1071">
    <cfRule type="cellIs" dxfId="2" priority="5" operator="between">
      <formula>401</formula>
      <formula>650</formula>
    </cfRule>
  </conditionalFormatting>
  <conditionalFormatting sqref="D3:D1071">
    <cfRule type="cellIs" dxfId="3" priority="6" operator="between">
      <formula>651</formula>
      <formula>900</formula>
    </cfRule>
  </conditionalFormatting>
  <conditionalFormatting sqref="D3:D1071">
    <cfRule type="cellIs" dxfId="4" priority="7" operator="greaterThan">
      <formula>900</formula>
    </cfRule>
  </conditionalFormatting>
  <conditionalFormatting sqref="M3:M1060 T5:T1071">
    <cfRule type="containsText" dxfId="5" priority="8" operator="containsText" text="yes">
      <formula>NOT(ISERROR(SEARCH(("yes"),(M3))))</formula>
    </cfRule>
  </conditionalFormatting>
  <conditionalFormatting sqref="H1:H1076">
    <cfRule type="colorScale" priority="9">
      <colorScale>
        <cfvo type="min"/>
        <cfvo type="formula" val="150"/>
        <color rgb="FFEAD1DC"/>
        <color rgb="FFA64D79"/>
      </colorScale>
    </cfRule>
  </conditionalFormatting>
  <conditionalFormatting sqref="F3:F84">
    <cfRule type="colorScale" priority="10">
      <colorScale>
        <cfvo type="formula" val="1.2"/>
        <cfvo type="formula" val="4"/>
        <color rgb="FF0B5394"/>
        <color rgb="FFFFFFFF"/>
      </colorScale>
    </cfRule>
  </conditionalFormatting>
  <conditionalFormatting sqref="G3:G84">
    <cfRule type="colorScale" priority="11">
      <colorScale>
        <cfvo type="formula" val="65"/>
        <cfvo type="formula" val="100"/>
        <color rgb="FFD9D2E9"/>
        <color rgb="FF674EA7"/>
      </colorScale>
    </cfRule>
  </conditionalFormatting>
  <conditionalFormatting sqref="F3:F84">
    <cfRule type="containsText" dxfId="6" priority="12" operator="containsText" text="1.2">
      <formula>NOT(ISERROR(SEARCH(("1.2"),(F3))))</formula>
    </cfRule>
  </conditionalFormatting>
  <conditionalFormatting sqref="F12 F14">
    <cfRule type="notContainsBlanks" dxfId="7" priority="13">
      <formula>LEN(TRIM(F12))&gt;0</formula>
    </cfRule>
  </conditionalFormatting>
  <conditionalFormatting sqref="F3:F84">
    <cfRule type="containsText" dxfId="8" priority="14" operator="containsText" text="1.4">
      <formula>NOT(ISERROR(SEARCH(("1.4"),(F3))))</formula>
    </cfRule>
  </conditionalFormatting>
  <conditionalFormatting sqref="F3:F103">
    <cfRule type="containsText" dxfId="9" priority="15" operator="containsText" text="1.8">
      <formula>NOT(ISERROR(SEARCH(("1.8"),(F3))))</formula>
    </cfRule>
  </conditionalFormatting>
  <conditionalFormatting sqref="C5:C102">
    <cfRule type="expression" dxfId="10" priority="16">
      <formula>(today()-V5)&lt;0</formula>
    </cfRule>
  </conditionalFormatting>
  <conditionalFormatting sqref="C5:C102">
    <cfRule type="expression" dxfId="7" priority="17">
      <formula>(today()-V5)&lt;180</formula>
    </cfRule>
  </conditionalFormatting>
  <conditionalFormatting sqref="I3:I114">
    <cfRule type="cellIs" dxfId="10" priority="18" operator="equal">
      <formula>"MF"</formula>
    </cfRule>
  </conditionalFormatting>
  <conditionalFormatting sqref="K3:K114">
    <cfRule type="cellIs" dxfId="11" priority="19" operator="between">
      <formula>0.24</formula>
      <formula>0.45</formula>
    </cfRule>
  </conditionalFormatting>
  <conditionalFormatting sqref="K3:K114">
    <cfRule type="cellIs" dxfId="12" priority="20" operator="between">
      <formula>0.45</formula>
      <formula>0.99</formula>
    </cfRule>
  </conditionalFormatting>
  <conditionalFormatting sqref="K3:K114">
    <cfRule type="cellIs" dxfId="13" priority="21" operator="greaterThan">
      <formula>0.99</formula>
    </cfRule>
  </conditionalFormatting>
  <conditionalFormatting sqref="N5:N84">
    <cfRule type="cellIs" dxfId="7" priority="22" operator="lessThan">
      <formula>"25%"</formula>
    </cfRule>
  </conditionalFormatting>
  <conditionalFormatting sqref="N5:N84">
    <cfRule type="cellIs" dxfId="14" priority="23" operator="between">
      <formula>"25%"</formula>
      <formula>"45%"</formula>
    </cfRule>
  </conditionalFormatting>
  <conditionalFormatting sqref="N5:N84">
    <cfRule type="cellIs" dxfId="15" priority="24" operator="greaterThan">
      <formula>"45%"</formula>
    </cfRule>
  </conditionalFormatting>
  <dataValidations>
    <dataValidation type="list" allowBlank="1" sqref="P3:P83">
      <formula1>"Sony,Voigtlander,Zeiss,Sigma,Samyang,Viltrox,Tokina,Tamron"</formula1>
    </dataValidation>
  </dataValidations>
  <hyperlinks>
    <hyperlink r:id="rId1" ref="T1"/>
    <hyperlink r:id="rId2" ref="V1"/>
    <hyperlink r:id="rId3" ref="W1"/>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outlineLevelCol="1"/>
  <cols>
    <col customWidth="1" min="1" max="2" width="4.0"/>
    <col customWidth="1" min="3" max="3" width="29.14"/>
    <col customWidth="1" min="4" max="4" width="10.29"/>
    <col customWidth="1" min="5" max="5" width="9.43"/>
    <col customWidth="1" min="6" max="6" width="9.0"/>
    <col customWidth="1" min="7" max="8" width="7.29"/>
    <col customWidth="1" min="9" max="9" width="4.0"/>
    <col customWidth="1" min="10" max="10" width="7.14"/>
    <col customWidth="1" min="11" max="11" width="4.43"/>
    <col customWidth="1" min="12" max="13" width="9.43"/>
    <col customWidth="1" hidden="1" min="14" max="16" width="4.0"/>
    <col customWidth="1" hidden="1" min="17" max="17" width="4.0" outlineLevel="1"/>
    <col customWidth="1" min="18" max="18" width="7.57"/>
    <col customWidth="1" min="19" max="19" width="5.43"/>
    <col customWidth="1" min="20" max="20" width="5.0"/>
    <col customWidth="1" hidden="1" min="21" max="21" width="6.14"/>
    <col customWidth="1" min="22" max="22" width="13.29"/>
    <col customWidth="1" min="23" max="23" width="7.43"/>
    <col hidden="1" min="24" max="24" width="14.43"/>
  </cols>
  <sheetData>
    <row r="1" ht="76.5" customHeight="1">
      <c r="A1" s="686"/>
      <c r="B1" s="686"/>
      <c r="C1" s="694" t="s">
        <v>0</v>
      </c>
      <c r="D1" s="2" t="s">
        <v>1</v>
      </c>
      <c r="E1" s="3" t="s">
        <v>2</v>
      </c>
      <c r="F1" s="4" t="s">
        <v>3</v>
      </c>
      <c r="G1" s="5" t="s">
        <v>4</v>
      </c>
      <c r="H1" s="6" t="s">
        <v>5</v>
      </c>
      <c r="I1" s="7" t="s">
        <v>6</v>
      </c>
      <c r="J1" s="8" t="s">
        <v>7</v>
      </c>
      <c r="K1" s="3" t="s">
        <v>8</v>
      </c>
      <c r="L1" s="3" t="s">
        <v>9</v>
      </c>
      <c r="M1" s="5" t="s">
        <v>10</v>
      </c>
      <c r="N1" s="3" t="s">
        <v>11</v>
      </c>
      <c r="O1" s="3" t="s">
        <v>12</v>
      </c>
      <c r="P1" s="3" t="s">
        <v>13</v>
      </c>
      <c r="Q1" s="3" t="s">
        <v>14</v>
      </c>
      <c r="R1" s="11" t="s">
        <v>15</v>
      </c>
      <c r="S1" s="11" t="s">
        <v>308</v>
      </c>
      <c r="T1" s="695" t="s">
        <v>11</v>
      </c>
      <c r="U1" s="695" t="s">
        <v>12</v>
      </c>
      <c r="V1" s="695" t="s">
        <v>13</v>
      </c>
      <c r="W1" s="695" t="s">
        <v>14</v>
      </c>
      <c r="X1" s="16" t="s">
        <v>21</v>
      </c>
    </row>
    <row r="2" ht="18.0" customHeight="1">
      <c r="A2" s="17"/>
      <c r="B2" s="17"/>
      <c r="C2" s="696" t="s">
        <v>318</v>
      </c>
      <c r="D2" s="697"/>
      <c r="E2" s="697"/>
      <c r="F2" s="697"/>
      <c r="G2" s="697"/>
      <c r="H2" s="697"/>
      <c r="I2" s="698"/>
      <c r="J2" s="699"/>
      <c r="K2" s="697"/>
      <c r="L2" s="697"/>
      <c r="M2" s="697"/>
      <c r="N2" s="697"/>
      <c r="O2" s="697"/>
      <c r="P2" s="697"/>
      <c r="Q2" s="697"/>
      <c r="R2" s="697"/>
      <c r="S2" s="698"/>
      <c r="T2" s="697"/>
      <c r="U2" s="698"/>
      <c r="V2" s="700"/>
      <c r="W2" s="701"/>
      <c r="Z2" s="275"/>
    </row>
    <row r="3">
      <c r="A3" s="691"/>
      <c r="B3" s="691" t="b">
        <f>IFERROR(__xludf.DUMMYFUNCTION("Query(Beta!B5:W102, ""where B = TRUE"")"),TRUE)</f>
        <v>1</v>
      </c>
      <c r="C3" s="702" t="str">
        <f>IFERROR(__xludf.DUMMYFUNCTION("""COMPUTED_VALUE"""),"Voigtlander 50mm F2 APO-Lanthar")</f>
        <v>Voigtlander 50mm F2 APO-Lanthar</v>
      </c>
      <c r="D3" s="276">
        <f>IFERROR(__xludf.DUMMYFUNCTION("""COMPUTED_VALUE"""),364.0)</f>
        <v>364</v>
      </c>
      <c r="E3" s="277">
        <f>IFERROR(__xludf.DUMMYFUNCTION("""COMPUTED_VALUE"""),50.0)</f>
        <v>50</v>
      </c>
      <c r="F3" s="703">
        <f>IFERROR(__xludf.DUMMYFUNCTION("""COMPUTED_VALUE"""),2.0)</f>
        <v>2</v>
      </c>
      <c r="G3" s="704">
        <f>IFERROR(__xludf.DUMMYFUNCTION("""COMPUTED_VALUE"""),63.0)</f>
        <v>63</v>
      </c>
      <c r="H3" s="277">
        <f>IFERROR(__xludf.DUMMYFUNCTION("""COMPUTED_VALUE"""),61.0)</f>
        <v>61</v>
      </c>
      <c r="I3" s="705" t="str">
        <f>IFERROR(__xludf.DUMMYFUNCTION("""COMPUTED_VALUE"""),"MF")</f>
        <v>MF</v>
      </c>
      <c r="J3" s="279" t="str">
        <f>IFERROR(__xludf.DUMMYFUNCTION("""COMPUTED_VALUE"""),"49mm")</f>
        <v>49mm</v>
      </c>
      <c r="K3" s="68"/>
      <c r="L3" s="282">
        <f>IFERROR(__xludf.DUMMYFUNCTION("""COMPUTED_VALUE"""),45.0)</f>
        <v>45</v>
      </c>
      <c r="M3" s="282" t="str">
        <f>IFERROR(__xludf.DUMMYFUNCTION("""COMPUTED_VALUE"""),"no")</f>
        <v>no</v>
      </c>
      <c r="N3" s="706">
        <f>IFERROR(__xludf.DUMMYFUNCTION("""COMPUTED_VALUE"""),12.0)</f>
        <v>12</v>
      </c>
      <c r="O3" s="707">
        <f>IFERROR(__xludf.DUMMYFUNCTION("""COMPUTED_VALUE"""),43687.0)</f>
        <v>43687</v>
      </c>
      <c r="P3" s="706" t="str">
        <f>IFERROR(__xludf.DUMMYFUNCTION("""COMPUTED_VALUE"""),"Voigtlander")</f>
        <v>Voigtlander</v>
      </c>
      <c r="Q3" s="708">
        <f>IFERROR(__xludf.DUMMYFUNCTION("""COMPUTED_VALUE"""),43831.0)</f>
        <v>43831</v>
      </c>
      <c r="R3" s="280"/>
      <c r="S3" s="709"/>
      <c r="T3" s="68"/>
      <c r="U3" s="710"/>
      <c r="V3" s="68"/>
      <c r="W3" s="711"/>
      <c r="X3" s="68" t="s">
        <v>225</v>
      </c>
      <c r="AA3" s="712"/>
    </row>
    <row r="4">
      <c r="A4" s="688"/>
      <c r="B4" s="688"/>
      <c r="C4" s="713"/>
      <c r="D4" s="276"/>
      <c r="E4" s="277"/>
      <c r="F4" s="703"/>
      <c r="G4" s="629"/>
      <c r="H4" s="277"/>
      <c r="I4" s="709"/>
      <c r="J4" s="279"/>
      <c r="K4" s="68"/>
      <c r="L4" s="282"/>
      <c r="M4" s="282"/>
      <c r="N4" s="706"/>
      <c r="O4" s="706"/>
      <c r="P4" s="706"/>
      <c r="Q4" s="706"/>
      <c r="R4" s="280"/>
      <c r="S4" s="709"/>
      <c r="T4" s="68"/>
      <c r="U4" s="710"/>
      <c r="V4" s="68"/>
      <c r="W4" s="711"/>
    </row>
    <row r="5">
      <c r="A5" s="687"/>
      <c r="B5" s="687"/>
      <c r="C5" s="702"/>
      <c r="D5" s="276"/>
      <c r="E5" s="277"/>
      <c r="F5" s="703"/>
      <c r="G5" s="629"/>
      <c r="H5" s="277"/>
      <c r="I5" s="709"/>
      <c r="J5" s="279"/>
      <c r="K5" s="68"/>
      <c r="L5" s="282"/>
      <c r="M5" s="282"/>
      <c r="N5" s="714"/>
      <c r="O5" s="714"/>
      <c r="P5" s="714"/>
      <c r="Q5" s="706"/>
      <c r="R5" s="280"/>
      <c r="S5" s="709"/>
      <c r="T5" s="68"/>
      <c r="U5" s="710"/>
      <c r="V5" s="68"/>
      <c r="W5" s="711"/>
      <c r="X5" s="68" t="s">
        <v>39</v>
      </c>
    </row>
    <row r="6">
      <c r="A6" s="688"/>
      <c r="B6" s="688"/>
      <c r="C6" s="713"/>
      <c r="D6" s="276"/>
      <c r="E6" s="277"/>
      <c r="F6" s="703"/>
      <c r="G6" s="629"/>
      <c r="H6" s="277"/>
      <c r="I6" s="68"/>
      <c r="J6" s="279"/>
      <c r="K6" s="68"/>
      <c r="L6" s="282"/>
      <c r="M6" s="282"/>
      <c r="N6" s="706"/>
      <c r="O6" s="706"/>
      <c r="P6" s="706"/>
      <c r="Q6" s="706"/>
      <c r="R6" s="280"/>
      <c r="S6" s="709"/>
      <c r="T6" s="68"/>
      <c r="U6" s="715"/>
      <c r="V6" s="68"/>
      <c r="W6" s="711"/>
      <c r="X6" s="68" t="s">
        <v>42</v>
      </c>
    </row>
    <row r="7">
      <c r="A7" s="688"/>
      <c r="B7" s="688"/>
      <c r="C7" s="713"/>
      <c r="D7" s="276"/>
      <c r="E7" s="277"/>
      <c r="F7" s="703"/>
      <c r="G7" s="629"/>
      <c r="H7" s="277"/>
      <c r="I7" s="68"/>
      <c r="J7" s="279"/>
      <c r="K7" s="68"/>
      <c r="L7" s="282"/>
      <c r="M7" s="282"/>
      <c r="N7" s="706"/>
      <c r="O7" s="706"/>
      <c r="P7" s="714"/>
      <c r="Q7" s="706"/>
      <c r="R7" s="280"/>
      <c r="S7" s="709"/>
      <c r="T7" s="68"/>
      <c r="U7" s="716"/>
      <c r="V7" s="68"/>
      <c r="W7" s="711"/>
      <c r="X7" s="68" t="s">
        <v>37</v>
      </c>
    </row>
    <row r="8">
      <c r="A8" s="688"/>
      <c r="B8" s="688"/>
      <c r="C8" s="713"/>
      <c r="D8" s="276"/>
      <c r="E8" s="277"/>
      <c r="F8" s="703"/>
      <c r="G8" s="629"/>
      <c r="H8" s="277"/>
      <c r="I8" s="68"/>
      <c r="J8" s="279"/>
      <c r="K8" s="68"/>
      <c r="L8" s="282"/>
      <c r="M8" s="282"/>
      <c r="N8" s="706"/>
      <c r="O8" s="706"/>
      <c r="P8" s="706"/>
      <c r="Q8" s="706"/>
      <c r="R8" s="280"/>
      <c r="S8" s="709"/>
      <c r="T8" s="68"/>
      <c r="U8" s="715"/>
      <c r="V8" s="68"/>
      <c r="W8" s="711"/>
    </row>
    <row r="9">
      <c r="A9" s="688"/>
      <c r="B9" s="688"/>
      <c r="C9" s="713"/>
      <c r="D9" s="276"/>
      <c r="E9" s="277"/>
      <c r="F9" s="703"/>
      <c r="G9" s="629"/>
      <c r="H9" s="277"/>
      <c r="I9" s="709"/>
      <c r="J9" s="279"/>
      <c r="K9" s="68"/>
      <c r="L9" s="282"/>
      <c r="M9" s="282"/>
      <c r="N9" s="706"/>
      <c r="O9" s="706"/>
      <c r="P9" s="706"/>
      <c r="Q9" s="706"/>
      <c r="R9" s="280"/>
      <c r="S9" s="709"/>
      <c r="T9" s="68"/>
      <c r="U9" s="717"/>
      <c r="V9" s="68"/>
      <c r="W9" s="711"/>
    </row>
    <row r="10">
      <c r="A10" s="687"/>
      <c r="B10" s="687"/>
      <c r="C10" s="718"/>
      <c r="D10" s="719"/>
      <c r="E10" s="720"/>
      <c r="F10" s="721"/>
      <c r="G10" s="722"/>
      <c r="H10" s="720"/>
      <c r="I10" s="723"/>
      <c r="J10" s="724"/>
      <c r="K10" s="317"/>
      <c r="L10" s="725"/>
      <c r="M10" s="725"/>
      <c r="N10" s="726"/>
      <c r="O10" s="726"/>
      <c r="P10" s="726"/>
      <c r="Q10" s="726"/>
      <c r="R10" s="727"/>
      <c r="S10" s="723"/>
      <c r="T10" s="317"/>
      <c r="U10" s="728"/>
      <c r="V10" s="317"/>
      <c r="W10" s="729"/>
      <c r="Y10" s="116"/>
    </row>
    <row r="11" customHeight="1">
      <c r="A11" s="688"/>
      <c r="B11" s="688"/>
      <c r="E11" s="451"/>
      <c r="F11" s="215"/>
      <c r="G11" s="627"/>
      <c r="H11" s="451"/>
      <c r="I11" s="218"/>
      <c r="J11" s="219"/>
      <c r="K11" s="218"/>
      <c r="L11" s="141"/>
      <c r="M11" s="141"/>
      <c r="N11" s="225"/>
      <c r="O11" s="225"/>
      <c r="P11" s="225"/>
      <c r="Q11" s="225"/>
      <c r="R11" s="221"/>
      <c r="S11" s="730"/>
      <c r="T11" s="218"/>
      <c r="U11" s="223"/>
      <c r="V11" s="218"/>
      <c r="W11" s="224"/>
      <c r="X11" s="68" t="s">
        <v>42</v>
      </c>
    </row>
    <row r="12" ht="9.75" customHeight="1">
      <c r="A12" s="688"/>
      <c r="B12" s="688"/>
      <c r="C12" s="275"/>
      <c r="D12" s="276"/>
      <c r="E12" s="58"/>
      <c r="F12" s="56"/>
      <c r="G12" s="731"/>
      <c r="H12" s="176"/>
      <c r="I12" s="59"/>
      <c r="J12" s="60"/>
      <c r="K12" s="61"/>
      <c r="L12" s="65"/>
      <c r="M12" s="65"/>
      <c r="N12" s="66"/>
      <c r="O12" s="66"/>
      <c r="P12" s="66"/>
      <c r="Q12" s="66"/>
      <c r="R12" s="62"/>
      <c r="S12" s="59"/>
      <c r="T12" s="61"/>
      <c r="U12" s="63"/>
      <c r="V12" s="61"/>
      <c r="W12" s="732"/>
    </row>
    <row r="13">
      <c r="A13" s="688"/>
      <c r="B13" s="688"/>
      <c r="C13" s="733" t="s">
        <v>319</v>
      </c>
      <c r="D13" s="734"/>
      <c r="E13" s="735"/>
      <c r="F13" s="736"/>
      <c r="G13" s="737"/>
      <c r="H13" s="738"/>
      <c r="I13" s="739"/>
      <c r="J13" s="740"/>
      <c r="K13" s="741"/>
      <c r="L13" s="742"/>
      <c r="M13" s="742"/>
      <c r="N13" s="743"/>
      <c r="O13" s="743"/>
      <c r="P13" s="743"/>
      <c r="Q13" s="743"/>
      <c r="R13" s="744"/>
      <c r="S13" s="739"/>
      <c r="T13" s="741"/>
      <c r="U13" s="745"/>
      <c r="V13" s="741"/>
      <c r="W13" s="746"/>
    </row>
    <row r="14">
      <c r="A14" s="691" t="b">
        <f>IFERROR(__xludf.DUMMYFUNCTION("Query(Beta!A5:W102, ""where A = TRUE"")"),TRUE)</f>
        <v>1</v>
      </c>
      <c r="B14" s="691" t="b">
        <f>IFERROR(__xludf.DUMMYFUNCTION("""COMPUTED_VALUE"""),FALSE)</f>
        <v>0</v>
      </c>
      <c r="C14" s="702" t="str">
        <f>IFERROR(__xludf.DUMMYFUNCTION("""COMPUTED_VALUE"""),"Zeiss Loxia 50mm F2")</f>
        <v>Zeiss Loxia 50mm F2</v>
      </c>
      <c r="D14" s="276">
        <f>IFERROR(__xludf.DUMMYFUNCTION("""COMPUTED_VALUE"""),320.0)</f>
        <v>320</v>
      </c>
      <c r="E14" s="277">
        <f>IFERROR(__xludf.DUMMYFUNCTION("""COMPUTED_VALUE"""),50.0)</f>
        <v>50</v>
      </c>
      <c r="F14" s="703">
        <f>IFERROR(__xludf.DUMMYFUNCTION("""COMPUTED_VALUE"""),2.0)</f>
        <v>2</v>
      </c>
      <c r="G14" s="747">
        <f>IFERROR(__xludf.DUMMYFUNCTION("""COMPUTED_VALUE"""),62.0)</f>
        <v>62</v>
      </c>
      <c r="H14" s="284">
        <f>IFERROR(__xludf.DUMMYFUNCTION("""COMPUTED_VALUE"""),60.0)</f>
        <v>60</v>
      </c>
      <c r="I14" s="709" t="str">
        <f>IFERROR(__xludf.DUMMYFUNCTION("""COMPUTED_VALUE"""),"MF")</f>
        <v>MF</v>
      </c>
      <c r="J14" s="279" t="str">
        <f>IFERROR(__xludf.DUMMYFUNCTION("""COMPUTED_VALUE"""),"52mm")</f>
        <v>52mm</v>
      </c>
      <c r="K14" s="68">
        <f>IFERROR(__xludf.DUMMYFUNCTION("""COMPUTED_VALUE"""),0.15)</f>
        <v>0.15</v>
      </c>
      <c r="L14" s="282">
        <f>IFERROR(__xludf.DUMMYFUNCTION("""COMPUTED_VALUE"""),45.0)</f>
        <v>45</v>
      </c>
      <c r="M14" s="282" t="str">
        <f>IFERROR(__xludf.DUMMYFUNCTION("""COMPUTED_VALUE"""),"no")</f>
        <v>no</v>
      </c>
      <c r="N14" s="706">
        <f>IFERROR(__xludf.DUMMYFUNCTION("""COMPUTED_VALUE"""),10.0)</f>
        <v>10</v>
      </c>
      <c r="O14" s="707">
        <f>IFERROR(__xludf.DUMMYFUNCTION("""COMPUTED_VALUE"""),43561.0)</f>
        <v>43561</v>
      </c>
      <c r="P14" s="714" t="str">
        <f>IFERROR(__xludf.DUMMYFUNCTION("""COMPUTED_VALUE"""),"Zeiss")</f>
        <v>Zeiss</v>
      </c>
      <c r="Q14" s="708">
        <f>IFERROR(__xludf.DUMMYFUNCTION("""COMPUTED_VALUE"""),41913.0)</f>
        <v>41913</v>
      </c>
      <c r="R14" s="280">
        <f>IFERROR(__xludf.DUMMYFUNCTION("""COMPUTED_VALUE"""),949.0)</f>
        <v>949</v>
      </c>
      <c r="S14" s="709">
        <f>IFERROR(__xludf.DUMMYFUNCTION("""COMPUTED_VALUE"""),500.0)</f>
        <v>500</v>
      </c>
      <c r="T14" s="68" t="str">
        <f>IFERROR(__xludf.DUMMYFUNCTION("""COMPUTED_VALUE"""),"link*")</f>
        <v>link*</v>
      </c>
      <c r="U14" s="717" t="str">
        <f>IFERROR(__xludf.DUMMYFUNCTION("""COMPUTED_VALUE"""),"link*")</f>
        <v>link*</v>
      </c>
      <c r="V14" s="68" t="str">
        <f>IFERROR(__xludf.DUMMYFUNCTION("""COMPUTED_VALUE"""),"link*")</f>
        <v>link*</v>
      </c>
      <c r="W14" s="711" t="str">
        <f>IFERROR(__xludf.DUMMYFUNCTION("""COMPUTED_VALUE"""),"link*")</f>
        <v>link*</v>
      </c>
    </row>
    <row r="15">
      <c r="A15" s="687"/>
      <c r="B15" s="687"/>
      <c r="C15" s="702"/>
      <c r="D15" s="276"/>
      <c r="E15" s="277"/>
      <c r="F15" s="703"/>
      <c r="G15" s="747"/>
      <c r="H15" s="284"/>
      <c r="I15" s="709"/>
      <c r="J15" s="279"/>
      <c r="K15" s="68"/>
      <c r="L15" s="282"/>
      <c r="M15" s="282"/>
      <c r="N15" s="706"/>
      <c r="O15" s="706"/>
      <c r="P15" s="706"/>
      <c r="Q15" s="706"/>
      <c r="R15" s="280"/>
      <c r="S15" s="709"/>
      <c r="T15" s="68"/>
      <c r="U15" s="717"/>
      <c r="V15" s="68"/>
      <c r="W15" s="711"/>
    </row>
    <row r="16">
      <c r="A16" s="687"/>
      <c r="B16" s="687"/>
      <c r="C16" s="702"/>
      <c r="D16" s="276"/>
      <c r="E16" s="277"/>
      <c r="F16" s="703"/>
      <c r="G16" s="747"/>
      <c r="H16" s="284"/>
      <c r="I16" s="709"/>
      <c r="J16" s="279"/>
      <c r="L16" s="282"/>
      <c r="M16" s="282"/>
      <c r="N16" s="706"/>
      <c r="O16" s="706"/>
      <c r="P16" s="706"/>
      <c r="Q16" s="706"/>
      <c r="R16" s="280"/>
      <c r="S16" s="709"/>
      <c r="T16" s="68"/>
      <c r="U16" s="717"/>
      <c r="V16" s="68"/>
      <c r="W16" s="711"/>
    </row>
    <row r="17">
      <c r="A17" s="687"/>
      <c r="B17" s="687"/>
      <c r="C17" s="702"/>
      <c r="D17" s="276"/>
      <c r="E17" s="277"/>
      <c r="F17" s="703"/>
      <c r="G17" s="747"/>
      <c r="H17" s="284"/>
      <c r="I17" s="709"/>
      <c r="J17" s="279"/>
      <c r="K17" s="68"/>
      <c r="L17" s="282"/>
      <c r="M17" s="282"/>
      <c r="N17" s="706"/>
      <c r="O17" s="706"/>
      <c r="P17" s="706"/>
      <c r="Q17" s="706"/>
      <c r="R17" s="280"/>
      <c r="S17" s="709"/>
      <c r="T17" s="68"/>
      <c r="U17" s="717"/>
      <c r="V17" s="68"/>
      <c r="W17" s="711"/>
    </row>
    <row r="18">
      <c r="A18" s="688"/>
      <c r="B18" s="688"/>
      <c r="C18" s="713"/>
      <c r="D18" s="276"/>
      <c r="E18" s="277"/>
      <c r="F18" s="703"/>
      <c r="G18" s="747"/>
      <c r="H18" s="748"/>
      <c r="I18" s="68"/>
      <c r="J18" s="279"/>
      <c r="K18" s="68"/>
      <c r="L18" s="282"/>
      <c r="M18" s="282"/>
      <c r="N18" s="706"/>
      <c r="O18" s="706"/>
      <c r="P18" s="706"/>
      <c r="Q18" s="706"/>
      <c r="R18" s="280"/>
      <c r="S18" s="709"/>
      <c r="T18" s="68"/>
      <c r="U18" s="715"/>
      <c r="V18" s="68"/>
      <c r="W18" s="711"/>
      <c r="X18" s="68" t="s">
        <v>42</v>
      </c>
    </row>
    <row r="19">
      <c r="A19" s="687"/>
      <c r="B19" s="687"/>
      <c r="C19" s="702"/>
      <c r="D19" s="276"/>
      <c r="E19" s="277"/>
      <c r="F19" s="703"/>
      <c r="G19" s="747"/>
      <c r="H19" s="284"/>
      <c r="I19" s="709"/>
      <c r="J19" s="279"/>
      <c r="K19" s="68"/>
      <c r="L19" s="282"/>
      <c r="M19" s="282"/>
      <c r="N19" s="706"/>
      <c r="O19" s="706"/>
      <c r="P19" s="706"/>
      <c r="Q19" s="706"/>
      <c r="R19" s="280"/>
      <c r="S19" s="709"/>
      <c r="T19" s="68"/>
      <c r="U19" s="717"/>
      <c r="V19" s="68"/>
      <c r="W19" s="711"/>
    </row>
    <row r="20">
      <c r="A20" s="687"/>
      <c r="B20" s="687"/>
      <c r="C20" s="702"/>
      <c r="D20" s="276"/>
      <c r="E20" s="277"/>
      <c r="F20" s="703"/>
      <c r="G20" s="747"/>
      <c r="H20" s="284"/>
      <c r="I20" s="709"/>
      <c r="J20" s="279"/>
      <c r="K20" s="68"/>
      <c r="L20" s="282"/>
      <c r="M20" s="282"/>
      <c r="N20" s="706"/>
      <c r="O20" s="706"/>
      <c r="P20" s="706"/>
      <c r="Q20" s="706"/>
      <c r="R20" s="280"/>
      <c r="S20" s="68"/>
      <c r="T20" s="68"/>
      <c r="U20" s="717"/>
      <c r="V20" s="68"/>
      <c r="W20" s="711"/>
    </row>
    <row r="21">
      <c r="A21" s="687"/>
      <c r="B21" s="687"/>
      <c r="C21" s="718"/>
      <c r="D21" s="719"/>
      <c r="E21" s="720"/>
      <c r="F21" s="721"/>
      <c r="G21" s="749"/>
      <c r="H21" s="750"/>
      <c r="I21" s="723"/>
      <c r="J21" s="724"/>
      <c r="K21" s="317"/>
      <c r="L21" s="725"/>
      <c r="M21" s="725"/>
      <c r="N21" s="726"/>
      <c r="O21" s="726"/>
      <c r="P21" s="726"/>
      <c r="Q21" s="726"/>
      <c r="R21" s="727"/>
      <c r="S21" s="723"/>
      <c r="T21" s="317"/>
      <c r="U21" s="728"/>
      <c r="V21" s="317"/>
      <c r="W21" s="729"/>
    </row>
    <row r="22">
      <c r="A22" s="687"/>
      <c r="B22" s="687"/>
      <c r="C22" s="342"/>
      <c r="D22" s="751" t="s">
        <v>318</v>
      </c>
      <c r="E22" s="752" t="s">
        <v>319</v>
      </c>
      <c r="F22" s="703" t="s">
        <v>320</v>
      </c>
      <c r="G22" s="747"/>
      <c r="H22" s="284"/>
      <c r="I22" s="709"/>
      <c r="J22" s="279"/>
      <c r="K22" s="68"/>
      <c r="L22" s="282"/>
      <c r="M22" s="282"/>
      <c r="N22" s="706"/>
      <c r="O22" s="706"/>
      <c r="P22" s="706"/>
      <c r="Q22" s="706"/>
      <c r="R22" s="280"/>
      <c r="S22" s="709"/>
      <c r="T22" s="68"/>
      <c r="U22" s="717"/>
      <c r="V22" s="68"/>
      <c r="W22" s="281"/>
    </row>
    <row r="23">
      <c r="A23" s="688"/>
      <c r="B23" s="688"/>
      <c r="C23" s="753" t="s">
        <v>321</v>
      </c>
      <c r="D23" s="751">
        <f>Sum(D3:D10)</f>
        <v>364</v>
      </c>
      <c r="E23" s="754">
        <f>Sum(D14:D21)</f>
        <v>320</v>
      </c>
      <c r="F23" s="755">
        <f t="shared" ref="F23:F24" si="1">E23-D23</f>
        <v>-44</v>
      </c>
      <c r="G23" s="747"/>
      <c r="H23" s="284"/>
      <c r="I23" s="709"/>
      <c r="J23" s="279"/>
      <c r="K23" s="68"/>
      <c r="L23" s="282"/>
      <c r="M23" s="282"/>
      <c r="N23" s="706"/>
      <c r="O23" s="706"/>
      <c r="P23" s="706"/>
      <c r="Q23" s="706"/>
      <c r="R23" s="280"/>
      <c r="S23" s="709"/>
      <c r="T23" s="68"/>
      <c r="U23" s="717"/>
      <c r="V23" s="68"/>
      <c r="W23" s="281"/>
    </row>
    <row r="24">
      <c r="A24" s="687"/>
      <c r="B24" s="687"/>
      <c r="C24" s="753" t="s">
        <v>322</v>
      </c>
      <c r="D24" s="756">
        <f>Sum(L3:L10)</f>
        <v>45</v>
      </c>
      <c r="E24" s="757">
        <f>Sum(L14:L21)</f>
        <v>45</v>
      </c>
      <c r="F24" s="758">
        <f t="shared" si="1"/>
        <v>0</v>
      </c>
      <c r="G24" s="747"/>
      <c r="H24" s="284"/>
      <c r="I24" s="709"/>
      <c r="J24" s="279"/>
      <c r="K24" s="68"/>
      <c r="L24" s="282"/>
      <c r="M24" s="282"/>
      <c r="N24" s="706"/>
      <c r="O24" s="706"/>
      <c r="P24" s="706"/>
      <c r="Q24" s="706"/>
      <c r="R24" s="280"/>
      <c r="S24" s="709"/>
      <c r="T24" s="68"/>
      <c r="U24" s="717"/>
      <c r="V24" s="68"/>
      <c r="W24" s="281"/>
    </row>
    <row r="25">
      <c r="A25" s="687"/>
      <c r="B25" s="687"/>
      <c r="C25" s="275"/>
      <c r="D25" s="759"/>
      <c r="E25" s="277"/>
      <c r="F25" s="703"/>
      <c r="G25" s="747"/>
      <c r="H25" s="284"/>
      <c r="I25" s="709"/>
      <c r="J25" s="279"/>
      <c r="K25" s="68"/>
      <c r="L25" s="282"/>
      <c r="M25" s="282"/>
      <c r="N25" s="706"/>
      <c r="O25" s="706"/>
      <c r="P25" s="706"/>
      <c r="Q25" s="706"/>
      <c r="R25" s="280"/>
      <c r="S25" s="709"/>
      <c r="T25" s="68"/>
      <c r="U25" s="717"/>
      <c r="V25" s="68"/>
      <c r="W25" s="281"/>
    </row>
    <row r="26">
      <c r="A26" s="688"/>
      <c r="B26" s="688"/>
      <c r="C26" s="275"/>
      <c r="D26" s="760"/>
      <c r="E26" s="277"/>
      <c r="F26" s="703"/>
      <c r="G26" s="747"/>
      <c r="H26" s="284"/>
      <c r="I26" s="709"/>
      <c r="J26" s="279"/>
      <c r="K26" s="68"/>
      <c r="L26" s="282"/>
      <c r="M26" s="282"/>
      <c r="N26" s="706"/>
      <c r="O26" s="706"/>
      <c r="P26" s="706"/>
      <c r="Q26" s="706"/>
      <c r="R26" s="280"/>
      <c r="S26" s="68"/>
      <c r="T26" s="68"/>
      <c r="U26" s="717"/>
      <c r="V26" s="68"/>
      <c r="W26" s="281"/>
    </row>
    <row r="27">
      <c r="A27" s="688"/>
      <c r="B27" s="688"/>
      <c r="C27" s="275"/>
      <c r="D27" s="276"/>
      <c r="E27" s="277"/>
      <c r="F27" s="703"/>
      <c r="G27" s="747"/>
      <c r="H27" s="284"/>
      <c r="I27" s="709"/>
      <c r="J27" s="279"/>
      <c r="L27" s="282"/>
      <c r="M27" s="282"/>
      <c r="N27" s="706"/>
      <c r="O27" s="706"/>
      <c r="P27" s="706"/>
      <c r="Q27" s="706"/>
      <c r="R27" s="280"/>
      <c r="S27" s="68"/>
      <c r="T27" s="68"/>
      <c r="U27" s="717"/>
      <c r="V27" s="68"/>
      <c r="W27" s="281"/>
      <c r="X27" s="68" t="s">
        <v>94</v>
      </c>
    </row>
    <row r="28" customHeight="1">
      <c r="A28" s="687"/>
      <c r="B28" s="687"/>
      <c r="C28" s="342"/>
      <c r="D28" s="276"/>
      <c r="E28" s="277"/>
      <c r="F28" s="703"/>
      <c r="G28" s="747"/>
      <c r="H28" s="284"/>
      <c r="I28" s="68"/>
      <c r="J28" s="279"/>
      <c r="K28" s="68"/>
      <c r="L28" s="282"/>
      <c r="M28" s="282"/>
      <c r="N28" s="706"/>
      <c r="O28" s="706"/>
      <c r="P28" s="714"/>
      <c r="Q28" s="706"/>
      <c r="R28" s="280"/>
      <c r="S28" s="709"/>
      <c r="T28" s="68"/>
      <c r="U28" s="715"/>
      <c r="V28" s="68"/>
      <c r="W28" s="281"/>
    </row>
    <row r="29">
      <c r="A29" s="687"/>
      <c r="B29" s="687"/>
      <c r="C29" s="342"/>
      <c r="D29" s="276"/>
      <c r="E29" s="277"/>
      <c r="F29" s="703"/>
      <c r="G29" s="747"/>
      <c r="H29" s="284"/>
      <c r="I29" s="68"/>
      <c r="J29" s="279"/>
      <c r="K29" s="68"/>
      <c r="L29" s="282"/>
      <c r="M29" s="282"/>
      <c r="N29" s="706"/>
      <c r="O29" s="706"/>
      <c r="P29" s="706"/>
      <c r="Q29" s="706"/>
      <c r="R29" s="280"/>
      <c r="S29" s="709"/>
      <c r="T29" s="68"/>
      <c r="U29" s="715"/>
      <c r="V29" s="68"/>
      <c r="W29" s="281"/>
    </row>
    <row r="30">
      <c r="A30" s="688"/>
      <c r="B30" s="688"/>
      <c r="C30" s="275"/>
      <c r="D30" s="276"/>
      <c r="E30" s="277"/>
      <c r="F30" s="703"/>
      <c r="G30" s="747"/>
      <c r="H30" s="284"/>
      <c r="I30" s="68"/>
      <c r="J30" s="279"/>
      <c r="K30" s="68"/>
      <c r="L30" s="282"/>
      <c r="M30" s="282"/>
      <c r="N30" s="706"/>
      <c r="O30" s="706"/>
      <c r="P30" s="706"/>
      <c r="Q30" s="706"/>
      <c r="R30" s="280"/>
      <c r="S30" s="709"/>
      <c r="T30" s="68"/>
      <c r="U30" s="715"/>
      <c r="V30" s="68"/>
      <c r="W30" s="281"/>
      <c r="X30" s="68" t="s">
        <v>99</v>
      </c>
    </row>
    <row r="31">
      <c r="A31" s="687"/>
      <c r="B31" s="687"/>
      <c r="C31" s="342"/>
      <c r="D31" s="276"/>
      <c r="E31" s="277"/>
      <c r="F31" s="703"/>
      <c r="G31" s="747"/>
      <c r="H31" s="284"/>
      <c r="I31" s="68"/>
      <c r="J31" s="279"/>
      <c r="K31" s="68"/>
      <c r="L31" s="282"/>
      <c r="M31" s="282"/>
      <c r="N31" s="706"/>
      <c r="O31" s="706"/>
      <c r="P31" s="706"/>
      <c r="Q31" s="706"/>
      <c r="R31" s="280"/>
      <c r="S31" s="709"/>
      <c r="T31" s="68"/>
      <c r="U31" s="715"/>
      <c r="V31" s="68"/>
      <c r="W31" s="281"/>
    </row>
    <row r="32" customHeight="1">
      <c r="A32" s="687"/>
      <c r="B32" s="687"/>
      <c r="C32" s="342"/>
      <c r="D32" s="276"/>
      <c r="E32" s="277"/>
      <c r="F32" s="703"/>
      <c r="G32" s="747"/>
      <c r="H32" s="748"/>
      <c r="I32" s="68"/>
      <c r="J32" s="279"/>
      <c r="K32" s="68"/>
      <c r="L32" s="282"/>
      <c r="M32" s="282"/>
      <c r="N32" s="706"/>
      <c r="O32" s="706"/>
      <c r="P32" s="706"/>
      <c r="Q32" s="706"/>
      <c r="R32" s="280"/>
      <c r="S32" s="709"/>
      <c r="T32" s="68"/>
      <c r="U32" s="715"/>
      <c r="V32" s="68"/>
      <c r="W32" s="281"/>
      <c r="X32" s="68" t="s">
        <v>42</v>
      </c>
    </row>
    <row r="33">
      <c r="A33" s="688"/>
      <c r="B33" s="688"/>
      <c r="C33" s="275"/>
      <c r="D33" s="276"/>
      <c r="E33" s="277"/>
      <c r="F33" s="703"/>
      <c r="G33" s="747"/>
      <c r="H33" s="284"/>
      <c r="I33" s="68"/>
      <c r="J33" s="279"/>
      <c r="K33" s="68"/>
      <c r="L33" s="282"/>
      <c r="M33" s="282"/>
      <c r="N33" s="714"/>
      <c r="O33" s="706"/>
      <c r="P33" s="706"/>
      <c r="Q33" s="706"/>
      <c r="R33" s="280"/>
      <c r="S33" s="709"/>
      <c r="T33" s="68"/>
      <c r="U33" s="715"/>
      <c r="V33" s="68"/>
      <c r="W33" s="281"/>
    </row>
    <row r="34">
      <c r="A34" s="687"/>
      <c r="B34" s="687"/>
      <c r="C34" s="342"/>
      <c r="D34" s="276"/>
      <c r="E34" s="277"/>
      <c r="F34" s="703"/>
      <c r="G34" s="747"/>
      <c r="H34" s="284"/>
      <c r="I34" s="68"/>
      <c r="J34" s="279"/>
      <c r="K34" s="68"/>
      <c r="L34" s="282"/>
      <c r="M34" s="282"/>
      <c r="N34" s="706"/>
      <c r="O34" s="706"/>
      <c r="P34" s="714"/>
      <c r="Q34" s="706"/>
      <c r="R34" s="280"/>
      <c r="S34" s="709"/>
      <c r="T34" s="68"/>
      <c r="U34" s="715"/>
      <c r="V34" s="68"/>
      <c r="W34" s="281"/>
      <c r="X34" s="68" t="s">
        <v>101</v>
      </c>
    </row>
    <row r="35">
      <c r="A35" s="687"/>
      <c r="B35" s="687"/>
      <c r="C35" s="342"/>
      <c r="D35" s="276"/>
      <c r="E35" s="277"/>
      <c r="F35" s="703"/>
      <c r="G35" s="747"/>
      <c r="H35" s="284"/>
      <c r="I35" s="68"/>
      <c r="J35" s="279"/>
      <c r="K35" s="68"/>
      <c r="L35" s="282"/>
      <c r="M35" s="282"/>
      <c r="N35" s="706"/>
      <c r="O35" s="706"/>
      <c r="P35" s="714"/>
      <c r="Q35" s="706"/>
      <c r="R35" s="280"/>
      <c r="S35" s="709"/>
      <c r="T35" s="68"/>
      <c r="U35" s="715"/>
      <c r="V35" s="68"/>
      <c r="W35" s="281"/>
    </row>
    <row r="36">
      <c r="A36" s="688"/>
      <c r="B36" s="688"/>
      <c r="C36" s="275"/>
      <c r="D36" s="276"/>
      <c r="E36" s="277"/>
      <c r="F36" s="703"/>
      <c r="G36" s="747"/>
      <c r="H36" s="284"/>
      <c r="I36" s="68"/>
      <c r="J36" s="279"/>
      <c r="K36" s="68"/>
      <c r="L36" s="282"/>
      <c r="M36" s="282"/>
      <c r="N36" s="706"/>
      <c r="O36" s="706"/>
      <c r="P36" s="714"/>
      <c r="Q36" s="706"/>
      <c r="R36" s="280"/>
      <c r="S36" s="709"/>
      <c r="T36" s="68"/>
      <c r="U36" s="715"/>
      <c r="V36" s="68"/>
      <c r="W36" s="281"/>
    </row>
    <row r="37">
      <c r="A37" s="687"/>
      <c r="B37" s="687"/>
      <c r="C37" s="342"/>
      <c r="D37" s="276"/>
      <c r="E37" s="277"/>
      <c r="F37" s="703"/>
      <c r="G37" s="747"/>
      <c r="H37" s="284"/>
      <c r="I37" s="68"/>
      <c r="J37" s="279"/>
      <c r="K37" s="68"/>
      <c r="L37" s="282"/>
      <c r="M37" s="282"/>
      <c r="N37" s="706"/>
      <c r="O37" s="706"/>
      <c r="P37" s="714"/>
      <c r="Q37" s="706"/>
      <c r="R37" s="280"/>
      <c r="S37" s="709"/>
      <c r="T37" s="68"/>
      <c r="U37" s="715"/>
      <c r="V37" s="68"/>
      <c r="W37" s="281"/>
    </row>
    <row r="38">
      <c r="A38" s="687"/>
      <c r="B38" s="687"/>
      <c r="C38" s="342"/>
      <c r="D38" s="276"/>
      <c r="E38" s="277"/>
      <c r="F38" s="703"/>
      <c r="G38" s="747"/>
      <c r="H38" s="284"/>
      <c r="I38" s="68"/>
      <c r="J38" s="279"/>
      <c r="K38" s="68"/>
      <c r="L38" s="282"/>
      <c r="M38" s="282"/>
      <c r="N38" s="706"/>
      <c r="O38" s="706"/>
      <c r="P38" s="714"/>
      <c r="Q38" s="706"/>
      <c r="R38" s="280"/>
      <c r="S38" s="709"/>
      <c r="T38" s="68"/>
      <c r="U38" s="715"/>
      <c r="V38" s="68"/>
      <c r="W38" s="281"/>
      <c r="X38" s="68" t="s">
        <v>42</v>
      </c>
    </row>
    <row r="39">
      <c r="A39" s="687"/>
      <c r="B39" s="687"/>
      <c r="C39" s="342"/>
      <c r="D39" s="276"/>
      <c r="E39" s="277"/>
      <c r="F39" s="703"/>
      <c r="G39" s="747"/>
      <c r="H39" s="284"/>
      <c r="I39" s="68"/>
      <c r="J39" s="279"/>
      <c r="K39" s="68"/>
      <c r="L39" s="282"/>
      <c r="M39" s="282"/>
      <c r="N39" s="706"/>
      <c r="O39" s="706"/>
      <c r="P39" s="714"/>
      <c r="Q39" s="706"/>
      <c r="R39" s="280"/>
      <c r="S39" s="709"/>
      <c r="T39" s="68"/>
      <c r="U39" s="715"/>
      <c r="V39" s="68"/>
      <c r="W39" s="281"/>
      <c r="X39" s="68" t="s">
        <v>228</v>
      </c>
    </row>
    <row r="40">
      <c r="A40" s="688"/>
      <c r="B40" s="688"/>
      <c r="C40" s="275"/>
      <c r="D40" s="276"/>
      <c r="E40" s="277"/>
      <c r="F40" s="703"/>
      <c r="G40" s="747"/>
      <c r="H40" s="284"/>
      <c r="I40" s="68"/>
      <c r="J40" s="279"/>
      <c r="K40" s="68"/>
      <c r="L40" s="282"/>
      <c r="M40" s="282"/>
      <c r="N40" s="706"/>
      <c r="O40" s="706"/>
      <c r="P40" s="714"/>
      <c r="Q40" s="706"/>
      <c r="R40" s="280"/>
      <c r="S40" s="709"/>
      <c r="T40" s="68"/>
      <c r="U40" s="715"/>
      <c r="V40" s="68"/>
      <c r="W40" s="281"/>
    </row>
    <row r="41">
      <c r="A41" s="688"/>
      <c r="B41" s="688"/>
      <c r="C41" s="275"/>
      <c r="D41" s="276"/>
      <c r="E41" s="277"/>
      <c r="F41" s="703"/>
      <c r="G41" s="747"/>
      <c r="H41" s="284"/>
      <c r="I41" s="68"/>
      <c r="J41" s="279"/>
      <c r="K41" s="68"/>
      <c r="L41" s="282"/>
      <c r="M41" s="282"/>
      <c r="N41" s="706"/>
      <c r="O41" s="706"/>
      <c r="P41" s="714"/>
      <c r="Q41" s="706"/>
      <c r="R41" s="280"/>
      <c r="S41" s="709"/>
      <c r="T41" s="68"/>
      <c r="U41" s="715"/>
      <c r="V41" s="68"/>
      <c r="W41" s="281"/>
      <c r="X41" s="68" t="s">
        <v>108</v>
      </c>
    </row>
    <row r="42">
      <c r="A42" s="687"/>
      <c r="B42" s="687"/>
      <c r="C42" s="342"/>
      <c r="D42" s="276"/>
      <c r="E42" s="277"/>
      <c r="F42" s="703"/>
      <c r="G42" s="747"/>
      <c r="H42" s="284"/>
      <c r="I42" s="68"/>
      <c r="J42" s="279"/>
      <c r="K42" s="68"/>
      <c r="L42" s="282"/>
      <c r="M42" s="282"/>
      <c r="N42" s="706"/>
      <c r="O42" s="706"/>
      <c r="P42" s="714"/>
      <c r="Q42" s="706"/>
      <c r="R42" s="280"/>
      <c r="S42" s="709"/>
      <c r="T42" s="68"/>
      <c r="U42" s="715"/>
      <c r="V42" s="68"/>
      <c r="W42" s="281"/>
    </row>
    <row r="43">
      <c r="A43" s="688"/>
      <c r="B43" s="688"/>
      <c r="C43" s="275"/>
      <c r="D43" s="276"/>
      <c r="E43" s="277"/>
      <c r="F43" s="703"/>
      <c r="G43" s="747"/>
      <c r="H43" s="284"/>
      <c r="I43" s="68"/>
      <c r="J43" s="279"/>
      <c r="K43" s="68"/>
      <c r="L43" s="282"/>
      <c r="M43" s="282"/>
      <c r="N43" s="706"/>
      <c r="O43" s="706"/>
      <c r="P43" s="714"/>
      <c r="Q43" s="706"/>
      <c r="R43" s="280"/>
      <c r="S43" s="709"/>
      <c r="T43" s="68"/>
      <c r="U43" s="715"/>
      <c r="V43" s="68"/>
      <c r="W43" s="281"/>
    </row>
    <row r="44">
      <c r="A44" s="688"/>
      <c r="B44" s="688"/>
      <c r="C44" s="275"/>
      <c r="D44" s="276"/>
      <c r="E44" s="277"/>
      <c r="F44" s="703"/>
      <c r="G44" s="747"/>
      <c r="H44" s="748"/>
      <c r="I44" s="68"/>
      <c r="J44" s="279"/>
      <c r="K44" s="68"/>
      <c r="L44" s="282"/>
      <c r="M44" s="282"/>
      <c r="N44" s="706"/>
      <c r="O44" s="706"/>
      <c r="P44" s="706"/>
      <c r="Q44" s="706"/>
      <c r="R44" s="280"/>
      <c r="S44" s="709"/>
      <c r="T44" s="68"/>
      <c r="U44" s="715"/>
      <c r="V44" s="68"/>
      <c r="W44" s="281"/>
      <c r="X44" s="68" t="s">
        <v>42</v>
      </c>
    </row>
    <row r="45">
      <c r="A45" s="688"/>
      <c r="B45" s="688"/>
      <c r="C45" s="275"/>
      <c r="D45" s="276"/>
      <c r="E45" s="277"/>
      <c r="F45" s="703"/>
      <c r="G45" s="747"/>
      <c r="H45" s="284"/>
      <c r="I45" s="68"/>
      <c r="J45" s="279"/>
      <c r="K45" s="68"/>
      <c r="L45" s="282"/>
      <c r="M45" s="282"/>
      <c r="N45" s="706"/>
      <c r="O45" s="706"/>
      <c r="P45" s="714"/>
      <c r="Q45" s="706"/>
      <c r="R45" s="280"/>
      <c r="S45" s="709"/>
      <c r="T45" s="68"/>
      <c r="U45" s="715"/>
      <c r="V45" s="68"/>
      <c r="W45" s="281"/>
    </row>
    <row r="46">
      <c r="A46" s="687"/>
      <c r="B46" s="687"/>
      <c r="C46" s="342"/>
      <c r="D46" s="276"/>
      <c r="E46" s="277"/>
      <c r="F46" s="703"/>
      <c r="G46" s="747"/>
      <c r="H46" s="284"/>
      <c r="I46" s="68"/>
      <c r="J46" s="279"/>
      <c r="K46" s="68"/>
      <c r="L46" s="282"/>
      <c r="M46" s="282"/>
      <c r="N46" s="706"/>
      <c r="O46" s="706"/>
      <c r="P46" s="706"/>
      <c r="Q46" s="706"/>
      <c r="R46" s="280"/>
      <c r="S46" s="709"/>
      <c r="T46" s="68"/>
      <c r="U46" s="715"/>
      <c r="V46" s="68"/>
      <c r="W46" s="281"/>
    </row>
    <row r="47">
      <c r="A47" s="687"/>
      <c r="B47" s="687"/>
      <c r="C47" s="342"/>
      <c r="D47" s="276"/>
      <c r="E47" s="277"/>
      <c r="F47" s="703"/>
      <c r="G47" s="747"/>
      <c r="H47" s="284"/>
      <c r="I47" s="68"/>
      <c r="J47" s="279"/>
      <c r="K47" s="68"/>
      <c r="L47" s="282"/>
      <c r="M47" s="282"/>
      <c r="N47" s="706"/>
      <c r="O47" s="706"/>
      <c r="P47" s="706"/>
      <c r="Q47" s="706"/>
      <c r="R47" s="280"/>
      <c r="S47" s="709"/>
      <c r="T47" s="68"/>
      <c r="U47" s="715"/>
      <c r="V47" s="68"/>
      <c r="W47" s="281"/>
      <c r="X47" s="68" t="s">
        <v>101</v>
      </c>
    </row>
    <row r="48">
      <c r="A48" s="687"/>
      <c r="B48" s="687"/>
      <c r="C48" s="342"/>
      <c r="D48" s="276"/>
      <c r="E48" s="277"/>
      <c r="F48" s="703"/>
      <c r="G48" s="747"/>
      <c r="H48" s="284"/>
      <c r="I48" s="68"/>
      <c r="J48" s="279"/>
      <c r="K48" s="68"/>
      <c r="L48" s="282"/>
      <c r="M48" s="282"/>
      <c r="N48" s="706"/>
      <c r="O48" s="706"/>
      <c r="P48" s="706"/>
      <c r="Q48" s="706"/>
      <c r="R48" s="280"/>
      <c r="S48" s="709"/>
      <c r="T48" s="68"/>
      <c r="U48" s="715"/>
      <c r="V48" s="68"/>
      <c r="W48" s="281"/>
    </row>
    <row r="49">
      <c r="A49" s="687"/>
      <c r="B49" s="687"/>
      <c r="C49" s="342"/>
      <c r="D49" s="276"/>
      <c r="E49" s="277"/>
      <c r="F49" s="703"/>
      <c r="G49" s="747"/>
      <c r="H49" s="284"/>
      <c r="I49" s="68"/>
      <c r="J49" s="279"/>
      <c r="K49" s="68"/>
      <c r="L49" s="282"/>
      <c r="M49" s="282"/>
      <c r="N49" s="706"/>
      <c r="O49" s="706"/>
      <c r="P49" s="714"/>
      <c r="Q49" s="706"/>
      <c r="R49" s="280"/>
      <c r="S49" s="709"/>
      <c r="T49" s="68"/>
      <c r="U49" s="715"/>
      <c r="V49" s="68"/>
      <c r="W49" s="281"/>
    </row>
    <row r="50">
      <c r="A50" s="687"/>
      <c r="B50" s="687"/>
      <c r="C50" s="342"/>
      <c r="D50" s="276"/>
      <c r="E50" s="277"/>
      <c r="F50" s="703"/>
      <c r="G50" s="747"/>
      <c r="H50" s="284"/>
      <c r="I50" s="68"/>
      <c r="J50" s="279"/>
      <c r="K50" s="68"/>
      <c r="L50" s="282"/>
      <c r="M50" s="282"/>
      <c r="N50" s="706"/>
      <c r="O50" s="706"/>
      <c r="P50" s="714"/>
      <c r="Q50" s="706"/>
      <c r="R50" s="280"/>
      <c r="S50" s="709"/>
      <c r="T50" s="68"/>
      <c r="U50" s="715"/>
      <c r="V50" s="68"/>
      <c r="W50" s="281"/>
    </row>
    <row r="51">
      <c r="A51" s="688"/>
      <c r="B51" s="688"/>
      <c r="C51" s="275"/>
      <c r="D51" s="276"/>
      <c r="E51" s="277"/>
      <c r="F51" s="703"/>
      <c r="G51" s="747"/>
      <c r="H51" s="748"/>
      <c r="I51" s="68"/>
      <c r="J51" s="279"/>
      <c r="K51" s="68"/>
      <c r="L51" s="282"/>
      <c r="M51" s="282"/>
      <c r="N51" s="706"/>
      <c r="O51" s="706"/>
      <c r="P51" s="714"/>
      <c r="Q51" s="706"/>
      <c r="R51" s="280"/>
      <c r="S51" s="709"/>
      <c r="T51" s="68"/>
      <c r="U51" s="715"/>
      <c r="V51" s="68"/>
      <c r="W51" s="281"/>
      <c r="X51" s="68" t="s">
        <v>42</v>
      </c>
    </row>
    <row r="52">
      <c r="A52" s="688"/>
      <c r="B52" s="688"/>
      <c r="C52" s="275"/>
      <c r="D52" s="276"/>
      <c r="E52" s="277"/>
      <c r="F52" s="703"/>
      <c r="G52" s="747"/>
      <c r="H52" s="284"/>
      <c r="I52" s="68"/>
      <c r="J52" s="279"/>
      <c r="K52" s="68"/>
      <c r="L52" s="282"/>
      <c r="M52" s="282"/>
      <c r="N52" s="706"/>
      <c r="O52" s="706"/>
      <c r="P52" s="714"/>
      <c r="Q52" s="706"/>
      <c r="R52" s="280"/>
      <c r="S52" s="68"/>
      <c r="T52" s="68"/>
      <c r="U52" s="716"/>
      <c r="V52" s="68"/>
      <c r="W52" s="281"/>
    </row>
    <row r="53">
      <c r="A53" s="688"/>
      <c r="B53" s="688"/>
      <c r="C53" s="761"/>
      <c r="D53" s="39"/>
      <c r="E53" s="43"/>
      <c r="F53" s="41"/>
      <c r="G53" s="387"/>
      <c r="H53" s="145"/>
      <c r="I53" s="46"/>
      <c r="J53" s="45"/>
      <c r="K53" s="46"/>
      <c r="L53" s="50"/>
      <c r="M53" s="50"/>
      <c r="N53" s="184"/>
      <c r="O53" s="184"/>
      <c r="P53" s="146"/>
      <c r="Q53" s="184"/>
      <c r="R53" s="47"/>
      <c r="S53" s="46"/>
      <c r="T53" s="46"/>
      <c r="U53" s="762"/>
      <c r="V53" s="46"/>
      <c r="W53" s="49"/>
    </row>
    <row r="54">
      <c r="A54" s="687"/>
      <c r="B54" s="687"/>
      <c r="C54" s="137"/>
      <c r="D54" s="76"/>
      <c r="E54" s="122"/>
      <c r="F54" s="78"/>
      <c r="G54" s="387"/>
      <c r="H54" s="145"/>
      <c r="I54" s="81"/>
      <c r="J54" s="82"/>
      <c r="K54" s="81"/>
      <c r="L54" s="87"/>
      <c r="M54" s="87"/>
      <c r="N54" s="130"/>
      <c r="O54" s="130"/>
      <c r="P54" s="130"/>
      <c r="Q54" s="130"/>
      <c r="R54" s="83"/>
      <c r="S54" s="81"/>
      <c r="T54" s="81"/>
      <c r="U54" s="85"/>
      <c r="V54" s="81"/>
      <c r="W54" s="86"/>
    </row>
    <row r="55">
      <c r="A55" s="687"/>
      <c r="B55" s="687"/>
      <c r="C55" s="137"/>
      <c r="D55" s="76"/>
      <c r="E55" s="122"/>
      <c r="F55" s="78"/>
      <c r="G55" s="387"/>
      <c r="H55" s="145"/>
      <c r="I55" s="81"/>
      <c r="J55" s="82"/>
      <c r="K55" s="81"/>
      <c r="L55" s="87"/>
      <c r="M55" s="87"/>
      <c r="N55" s="130"/>
      <c r="O55" s="130"/>
      <c r="P55" s="89"/>
      <c r="Q55" s="130"/>
      <c r="R55" s="83"/>
      <c r="S55" s="84"/>
      <c r="T55" s="81"/>
      <c r="U55" s="123"/>
      <c r="V55" s="81"/>
      <c r="W55" s="86"/>
    </row>
    <row r="56">
      <c r="A56" s="688"/>
      <c r="B56" s="688"/>
      <c r="C56" s="395"/>
      <c r="D56" s="76"/>
      <c r="E56" s="122"/>
      <c r="F56" s="78"/>
      <c r="G56" s="387"/>
      <c r="H56" s="145"/>
      <c r="I56" s="81"/>
      <c r="J56" s="82"/>
      <c r="K56" s="81"/>
      <c r="L56" s="87"/>
      <c r="M56" s="87"/>
      <c r="N56" s="130"/>
      <c r="O56" s="130"/>
      <c r="P56" s="130"/>
      <c r="Q56" s="130"/>
      <c r="R56" s="83"/>
      <c r="S56" s="84"/>
      <c r="T56" s="81"/>
      <c r="U56" s="123"/>
      <c r="V56" s="81"/>
      <c r="W56" s="86"/>
      <c r="X56" s="68" t="s">
        <v>42</v>
      </c>
    </row>
    <row r="57">
      <c r="A57" s="688"/>
      <c r="B57" s="688"/>
      <c r="C57" s="395"/>
      <c r="D57" s="76"/>
      <c r="E57" s="122"/>
      <c r="F57" s="78"/>
      <c r="G57" s="387"/>
      <c r="H57" s="145"/>
      <c r="I57" s="81"/>
      <c r="J57" s="82"/>
      <c r="K57" s="81"/>
      <c r="L57" s="87"/>
      <c r="M57" s="87"/>
      <c r="N57" s="130"/>
      <c r="O57" s="130"/>
      <c r="P57" s="89"/>
      <c r="Q57" s="130"/>
      <c r="R57" s="83"/>
      <c r="S57" s="84"/>
      <c r="T57" s="81"/>
      <c r="U57" s="123"/>
      <c r="V57" s="81"/>
      <c r="W57" s="86"/>
    </row>
    <row r="58">
      <c r="A58" s="687"/>
      <c r="B58" s="687"/>
      <c r="C58" s="137"/>
      <c r="D58" s="76"/>
      <c r="E58" s="122"/>
      <c r="F58" s="78"/>
      <c r="G58" s="387"/>
      <c r="H58" s="145"/>
      <c r="I58" s="81"/>
      <c r="J58" s="82"/>
      <c r="K58" s="81"/>
      <c r="L58" s="87"/>
      <c r="M58" s="87"/>
      <c r="N58" s="130"/>
      <c r="O58" s="130"/>
      <c r="P58" s="89"/>
      <c r="Q58" s="130"/>
      <c r="R58" s="83"/>
      <c r="S58" s="84"/>
      <c r="T58" s="81"/>
      <c r="U58" s="123"/>
      <c r="V58" s="81"/>
      <c r="W58" s="86"/>
    </row>
    <row r="59">
      <c r="A59" s="687"/>
      <c r="B59" s="687"/>
      <c r="C59" s="137"/>
      <c r="D59" s="76"/>
      <c r="E59" s="122"/>
      <c r="F59" s="78"/>
      <c r="G59" s="387"/>
      <c r="H59" s="145"/>
      <c r="I59" s="81"/>
      <c r="J59" s="82"/>
      <c r="K59" s="81"/>
      <c r="L59" s="87"/>
      <c r="M59" s="87"/>
      <c r="N59" s="130"/>
      <c r="O59" s="130"/>
      <c r="P59" s="89"/>
      <c r="Q59" s="130"/>
      <c r="R59" s="83"/>
      <c r="S59" s="81"/>
      <c r="T59" s="81"/>
      <c r="U59" s="123"/>
      <c r="V59" s="81"/>
      <c r="W59" s="86"/>
    </row>
    <row r="60">
      <c r="A60" s="688"/>
      <c r="B60" s="688"/>
      <c r="C60" s="395"/>
      <c r="D60" s="76"/>
      <c r="E60" s="122"/>
      <c r="F60" s="78"/>
      <c r="G60" s="387"/>
      <c r="H60" s="145"/>
      <c r="I60" s="81"/>
      <c r="J60" s="82"/>
      <c r="K60" s="81"/>
      <c r="L60" s="87"/>
      <c r="M60" s="87"/>
      <c r="N60" s="130"/>
      <c r="O60" s="130"/>
      <c r="P60" s="89"/>
      <c r="Q60" s="130"/>
      <c r="R60" s="83"/>
      <c r="S60" s="84"/>
      <c r="T60" s="81"/>
      <c r="U60" s="123"/>
      <c r="V60" s="81"/>
      <c r="W60" s="233"/>
      <c r="X60" s="68" t="s">
        <v>236</v>
      </c>
    </row>
    <row r="61">
      <c r="A61" s="688"/>
      <c r="B61" s="688"/>
      <c r="C61" s="395"/>
      <c r="D61" s="76"/>
      <c r="E61" s="122"/>
      <c r="F61" s="78"/>
      <c r="G61" s="387"/>
      <c r="H61" s="145"/>
      <c r="I61" s="81"/>
      <c r="J61" s="82"/>
      <c r="K61" s="81"/>
      <c r="L61" s="87"/>
      <c r="M61" s="87"/>
      <c r="N61" s="130"/>
      <c r="O61" s="130"/>
      <c r="P61" s="89"/>
      <c r="Q61" s="130"/>
      <c r="R61" s="83"/>
      <c r="S61" s="84"/>
      <c r="T61" s="81"/>
      <c r="U61" s="123"/>
      <c r="V61" s="81"/>
      <c r="W61" s="86"/>
    </row>
    <row r="62">
      <c r="A62" s="687"/>
      <c r="B62" s="687"/>
      <c r="C62" s="137"/>
      <c r="D62" s="76"/>
      <c r="E62" s="122"/>
      <c r="F62" s="78"/>
      <c r="G62" s="387"/>
      <c r="H62" s="145"/>
      <c r="I62" s="81"/>
      <c r="J62" s="82"/>
      <c r="K62" s="81"/>
      <c r="L62" s="87"/>
      <c r="M62" s="87"/>
      <c r="N62" s="130"/>
      <c r="O62" s="130"/>
      <c r="P62" s="89"/>
      <c r="Q62" s="130"/>
      <c r="R62" s="83"/>
      <c r="S62" s="84"/>
      <c r="T62" s="81"/>
      <c r="U62" s="123"/>
      <c r="V62" s="81"/>
      <c r="W62" s="86"/>
    </row>
    <row r="63">
      <c r="A63" s="687"/>
      <c r="B63" s="687"/>
      <c r="C63" s="137"/>
      <c r="D63" s="76"/>
      <c r="E63" s="122"/>
      <c r="F63" s="78"/>
      <c r="G63" s="387"/>
      <c r="H63" s="145"/>
      <c r="I63" s="81"/>
      <c r="J63" s="82"/>
      <c r="K63" s="81"/>
      <c r="L63" s="87"/>
      <c r="M63" s="87"/>
      <c r="N63" s="130"/>
      <c r="O63" s="130"/>
      <c r="P63" s="130"/>
      <c r="Q63" s="130"/>
      <c r="R63" s="83"/>
      <c r="S63" s="81"/>
      <c r="T63" s="81"/>
      <c r="U63" s="123"/>
      <c r="V63" s="81"/>
      <c r="W63" s="86"/>
    </row>
    <row r="64">
      <c r="A64" s="687"/>
      <c r="B64" s="687"/>
      <c r="C64" s="137"/>
      <c r="D64" s="76"/>
      <c r="E64" s="122"/>
      <c r="F64" s="78"/>
      <c r="G64" s="387"/>
      <c r="H64" s="145"/>
      <c r="I64" s="81"/>
      <c r="J64" s="82"/>
      <c r="K64" s="81"/>
      <c r="L64" s="87"/>
      <c r="M64" s="87"/>
      <c r="N64" s="130"/>
      <c r="O64" s="130"/>
      <c r="P64" s="89"/>
      <c r="Q64" s="130"/>
      <c r="R64" s="83"/>
      <c r="S64" s="81"/>
      <c r="T64" s="81"/>
      <c r="U64" s="123"/>
      <c r="V64" s="81"/>
      <c r="W64" s="86"/>
      <c r="X64" s="68" t="s">
        <v>132</v>
      </c>
    </row>
    <row r="65">
      <c r="A65" s="687"/>
      <c r="B65" s="687"/>
      <c r="C65" s="137"/>
      <c r="D65" s="76"/>
      <c r="E65" s="122"/>
      <c r="F65" s="78"/>
      <c r="G65" s="387"/>
      <c r="H65" s="145"/>
      <c r="I65" s="81"/>
      <c r="J65" s="82"/>
      <c r="K65" s="81"/>
      <c r="L65" s="87"/>
      <c r="M65" s="87"/>
      <c r="N65" s="130"/>
      <c r="O65" s="130"/>
      <c r="P65" s="130"/>
      <c r="Q65" s="130"/>
      <c r="R65" s="83"/>
      <c r="S65" s="84"/>
      <c r="T65" s="81"/>
      <c r="U65" s="123"/>
      <c r="V65" s="81"/>
      <c r="W65" s="86"/>
      <c r="X65" s="68" t="s">
        <v>42</v>
      </c>
    </row>
    <row r="66">
      <c r="A66" s="688"/>
      <c r="B66" s="688"/>
      <c r="C66" s="395"/>
      <c r="D66" s="76"/>
      <c r="E66" s="122"/>
      <c r="F66" s="78"/>
      <c r="G66" s="387"/>
      <c r="H66" s="145"/>
      <c r="I66" s="81"/>
      <c r="J66" s="82"/>
      <c r="K66" s="81"/>
      <c r="L66" s="87"/>
      <c r="M66" s="87"/>
      <c r="N66" s="130"/>
      <c r="O66" s="130"/>
      <c r="P66" s="89"/>
      <c r="Q66" s="130"/>
      <c r="R66" s="83"/>
      <c r="S66" s="81"/>
      <c r="T66" s="81"/>
      <c r="U66" s="85"/>
      <c r="V66" s="81"/>
      <c r="W66" s="86"/>
    </row>
    <row r="67" customHeight="1">
      <c r="A67" s="688"/>
      <c r="B67" s="688"/>
      <c r="C67" s="395"/>
      <c r="D67" s="76"/>
      <c r="E67" s="122"/>
      <c r="F67" s="78"/>
      <c r="G67" s="387"/>
      <c r="H67" s="150"/>
      <c r="I67" s="81"/>
      <c r="J67" s="82"/>
      <c r="K67" s="81"/>
      <c r="L67" s="87"/>
      <c r="M67" s="87"/>
      <c r="N67" s="130"/>
      <c r="O67" s="130"/>
      <c r="P67" s="130"/>
      <c r="Q67" s="130"/>
      <c r="R67" s="83"/>
      <c r="S67" s="84"/>
      <c r="T67" s="81"/>
      <c r="U67" s="123"/>
      <c r="V67" s="81"/>
      <c r="W67" s="86"/>
      <c r="X67" s="68" t="s">
        <v>42</v>
      </c>
    </row>
    <row r="68">
      <c r="A68" s="687"/>
      <c r="B68" s="687"/>
      <c r="C68" s="137"/>
      <c r="D68" s="76"/>
      <c r="E68" s="122"/>
      <c r="F68" s="78"/>
      <c r="G68" s="387"/>
      <c r="H68" s="145"/>
      <c r="I68" s="81"/>
      <c r="J68" s="82"/>
      <c r="K68" s="81"/>
      <c r="L68" s="87"/>
      <c r="M68" s="87"/>
      <c r="N68" s="130"/>
      <c r="O68" s="130"/>
      <c r="P68" s="89"/>
      <c r="Q68" s="130"/>
      <c r="R68" s="83"/>
      <c r="S68" s="84"/>
      <c r="T68" s="81"/>
      <c r="U68" s="123"/>
      <c r="V68" s="81"/>
      <c r="W68" s="86"/>
    </row>
    <row r="69">
      <c r="A69" s="687"/>
      <c r="B69" s="687"/>
      <c r="C69" s="137"/>
      <c r="D69" s="76"/>
      <c r="E69" s="122"/>
      <c r="F69" s="78"/>
      <c r="G69" s="387"/>
      <c r="H69" s="145"/>
      <c r="I69" s="81"/>
      <c r="J69" s="82"/>
      <c r="K69" s="81"/>
      <c r="L69" s="87"/>
      <c r="M69" s="87"/>
      <c r="N69" s="130"/>
      <c r="O69" s="130"/>
      <c r="P69" s="130"/>
      <c r="Q69" s="130"/>
      <c r="R69" s="83"/>
      <c r="S69" s="84"/>
      <c r="T69" s="81"/>
      <c r="U69" s="123"/>
      <c r="V69" s="81"/>
      <c r="W69" s="86"/>
    </row>
    <row r="70">
      <c r="A70" s="688"/>
      <c r="B70" s="688"/>
      <c r="C70" s="395"/>
      <c r="D70" s="76"/>
      <c r="E70" s="122"/>
      <c r="F70" s="78"/>
      <c r="G70" s="387"/>
      <c r="H70" s="150"/>
      <c r="I70" s="81"/>
      <c r="J70" s="82"/>
      <c r="K70" s="81"/>
      <c r="L70" s="87"/>
      <c r="M70" s="87"/>
      <c r="N70" s="130"/>
      <c r="O70" s="130"/>
      <c r="P70" s="89"/>
      <c r="Q70" s="130"/>
      <c r="R70" s="83"/>
      <c r="S70" s="84"/>
      <c r="T70" s="81"/>
      <c r="U70" s="123"/>
      <c r="V70" s="81"/>
      <c r="W70" s="86"/>
      <c r="X70" s="68" t="s">
        <v>42</v>
      </c>
    </row>
    <row r="71">
      <c r="A71" s="687"/>
      <c r="B71" s="687"/>
      <c r="C71" s="137"/>
      <c r="D71" s="76"/>
      <c r="E71" s="122"/>
      <c r="F71" s="78"/>
      <c r="G71" s="387"/>
      <c r="H71" s="145"/>
      <c r="I71" s="81"/>
      <c r="J71" s="82"/>
      <c r="K71" s="81"/>
      <c r="L71" s="87"/>
      <c r="M71" s="87"/>
      <c r="N71" s="130"/>
      <c r="O71" s="130"/>
      <c r="P71" s="89"/>
      <c r="Q71" s="130"/>
      <c r="R71" s="83"/>
      <c r="S71" s="81"/>
      <c r="T71" s="81"/>
      <c r="U71" s="123"/>
      <c r="V71" s="81"/>
      <c r="W71" s="86"/>
    </row>
    <row r="72">
      <c r="A72" s="688"/>
      <c r="B72" s="688"/>
      <c r="C72" s="395"/>
      <c r="D72" s="76"/>
      <c r="E72" s="122"/>
      <c r="F72" s="78"/>
      <c r="G72" s="387"/>
      <c r="H72" s="145"/>
      <c r="I72" s="81"/>
      <c r="J72" s="82"/>
      <c r="K72" s="81"/>
      <c r="L72" s="87"/>
      <c r="M72" s="87"/>
      <c r="N72" s="89"/>
      <c r="O72" s="130"/>
      <c r="P72" s="89"/>
      <c r="Q72" s="130"/>
      <c r="R72" s="83"/>
      <c r="S72" s="81"/>
      <c r="T72" s="81"/>
      <c r="U72" s="85"/>
      <c r="V72" s="81"/>
      <c r="W72" s="86"/>
    </row>
    <row r="73">
      <c r="A73" s="688"/>
      <c r="B73" s="688"/>
      <c r="C73" s="395"/>
      <c r="D73" s="76"/>
      <c r="E73" s="122"/>
      <c r="F73" s="78"/>
      <c r="G73" s="387"/>
      <c r="H73" s="145"/>
      <c r="I73" s="81"/>
      <c r="J73" s="82"/>
      <c r="K73" s="81"/>
      <c r="L73" s="87"/>
      <c r="M73" s="87"/>
      <c r="N73" s="89"/>
      <c r="O73" s="130"/>
      <c r="P73" s="89"/>
      <c r="Q73" s="130"/>
      <c r="R73" s="83"/>
      <c r="S73" s="81"/>
      <c r="T73" s="81"/>
      <c r="U73" s="85"/>
      <c r="V73" s="81"/>
      <c r="W73" s="86"/>
    </row>
    <row r="74">
      <c r="A74" s="688"/>
      <c r="B74" s="688"/>
      <c r="C74" s="763"/>
      <c r="D74" s="213"/>
      <c r="E74" s="451"/>
      <c r="F74" s="215"/>
      <c r="G74" s="387"/>
      <c r="H74" s="145"/>
      <c r="I74" s="218"/>
      <c r="J74" s="219"/>
      <c r="K74" s="218"/>
      <c r="L74" s="141"/>
      <c r="M74" s="141"/>
      <c r="N74" s="89"/>
      <c r="O74" s="130"/>
      <c r="P74" s="89"/>
      <c r="Q74" s="130"/>
      <c r="R74" s="221"/>
      <c r="S74" s="81"/>
      <c r="T74" s="218"/>
      <c r="U74" s="262"/>
      <c r="V74" s="218"/>
      <c r="W74" s="224"/>
    </row>
    <row r="75" hidden="1">
      <c r="A75" s="275"/>
      <c r="B75" s="275"/>
      <c r="C75" s="275"/>
      <c r="D75" s="276"/>
      <c r="E75" s="277"/>
      <c r="F75" s="278"/>
      <c r="G75" s="144"/>
      <c r="H75" s="145"/>
      <c r="I75" s="68"/>
      <c r="J75" s="279"/>
      <c r="K75" s="68"/>
      <c r="L75" s="282"/>
      <c r="M75" s="282"/>
      <c r="N75" s="283"/>
      <c r="O75" s="283"/>
      <c r="P75" s="283"/>
      <c r="Q75" s="283"/>
      <c r="R75" s="280"/>
      <c r="S75" s="68"/>
      <c r="T75" s="68"/>
      <c r="U75" s="68"/>
      <c r="V75" s="68"/>
      <c r="W75" s="281"/>
    </row>
    <row r="76" hidden="1">
      <c r="A76" s="275"/>
      <c r="B76" s="275"/>
      <c r="C76" s="275"/>
      <c r="D76" s="276"/>
      <c r="E76" s="277"/>
      <c r="F76" s="278"/>
      <c r="G76" s="144"/>
      <c r="H76" s="145"/>
      <c r="I76" s="68"/>
      <c r="J76" s="279"/>
      <c r="K76" s="68"/>
      <c r="L76" s="282"/>
      <c r="M76" s="282"/>
      <c r="N76" s="283"/>
      <c r="O76" s="283"/>
      <c r="P76" s="283"/>
      <c r="Q76" s="283"/>
      <c r="R76" s="280"/>
      <c r="S76" s="68"/>
      <c r="T76" s="68"/>
      <c r="U76" s="68"/>
      <c r="V76" s="68"/>
      <c r="W76" s="281"/>
    </row>
    <row r="77" hidden="1">
      <c r="A77" s="275"/>
      <c r="B77" s="275"/>
      <c r="C77" s="275"/>
      <c r="D77" s="276"/>
      <c r="E77" s="277"/>
      <c r="F77" s="278"/>
      <c r="G77" s="144"/>
      <c r="H77" s="145"/>
      <c r="I77" s="68"/>
      <c r="J77" s="279"/>
      <c r="K77" s="68"/>
      <c r="L77" s="282"/>
      <c r="M77" s="282"/>
      <c r="N77" s="283"/>
      <c r="O77" s="283"/>
      <c r="P77" s="283"/>
      <c r="Q77" s="283"/>
      <c r="R77" s="280"/>
      <c r="S77" s="68"/>
      <c r="T77" s="68"/>
      <c r="U77" s="68"/>
      <c r="V77" s="68"/>
      <c r="W77" s="281"/>
    </row>
    <row r="78" hidden="1">
      <c r="A78" s="275"/>
      <c r="B78" s="275"/>
      <c r="C78" s="275"/>
      <c r="D78" s="276"/>
      <c r="E78" s="277"/>
      <c r="F78" s="278"/>
      <c r="G78" s="144"/>
      <c r="H78" s="145"/>
      <c r="I78" s="68"/>
      <c r="J78" s="279"/>
      <c r="K78" s="68"/>
      <c r="L78" s="282"/>
      <c r="M78" s="282"/>
      <c r="N78" s="283"/>
      <c r="O78" s="283"/>
      <c r="P78" s="283"/>
      <c r="Q78" s="283"/>
      <c r="R78" s="280"/>
      <c r="S78" s="68"/>
      <c r="T78" s="68"/>
      <c r="U78" s="68"/>
      <c r="V78" s="68"/>
      <c r="W78" s="281"/>
    </row>
    <row r="79" hidden="1">
      <c r="A79" s="275"/>
      <c r="B79" s="275"/>
      <c r="C79" s="275"/>
      <c r="D79" s="276"/>
      <c r="E79" s="277"/>
      <c r="F79" s="278"/>
      <c r="G79" s="144"/>
      <c r="H79" s="151"/>
      <c r="I79" s="68"/>
      <c r="J79" s="279"/>
      <c r="K79" s="68"/>
      <c r="L79" s="282"/>
      <c r="M79" s="282"/>
      <c r="N79" s="283"/>
      <c r="O79" s="283"/>
      <c r="P79" s="283"/>
      <c r="Q79" s="283"/>
      <c r="R79" s="280"/>
      <c r="S79" s="68"/>
      <c r="T79" s="68"/>
      <c r="U79" s="68"/>
      <c r="V79" s="68"/>
      <c r="W79" s="281"/>
    </row>
    <row r="80" hidden="1">
      <c r="A80" s="275"/>
      <c r="B80" s="275"/>
      <c r="C80" s="275"/>
      <c r="D80" s="276"/>
      <c r="E80" s="277"/>
      <c r="F80" s="278"/>
      <c r="G80" s="144"/>
      <c r="H80" s="145"/>
      <c r="I80" s="68"/>
      <c r="J80" s="279"/>
      <c r="K80" s="68"/>
      <c r="L80" s="282"/>
      <c r="M80" s="282"/>
      <c r="N80" s="283"/>
      <c r="O80" s="283"/>
      <c r="P80" s="283"/>
      <c r="Q80" s="283"/>
      <c r="R80" s="280"/>
      <c r="S80" s="68"/>
      <c r="T80" s="68"/>
      <c r="U80" s="68"/>
      <c r="V80" s="68"/>
      <c r="W80" s="281"/>
    </row>
    <row r="81" hidden="1">
      <c r="A81" s="275"/>
      <c r="B81" s="275"/>
      <c r="C81" s="275"/>
      <c r="D81" s="276"/>
      <c r="E81" s="277"/>
      <c r="F81" s="278"/>
      <c r="G81" s="144"/>
      <c r="H81" s="145"/>
      <c r="I81" s="68"/>
      <c r="J81" s="279"/>
      <c r="K81" s="68"/>
      <c r="L81" s="282"/>
      <c r="M81" s="282"/>
      <c r="N81" s="283"/>
      <c r="O81" s="283"/>
      <c r="P81" s="283"/>
      <c r="Q81" s="283"/>
      <c r="R81" s="280"/>
      <c r="S81" s="68"/>
      <c r="T81" s="68"/>
      <c r="U81" s="68"/>
      <c r="V81" s="68"/>
      <c r="W81" s="281"/>
    </row>
    <row r="82" hidden="1">
      <c r="A82" s="275"/>
      <c r="B82" s="275"/>
      <c r="C82" s="275"/>
      <c r="D82" s="276"/>
      <c r="E82" s="277"/>
      <c r="F82" s="278"/>
      <c r="G82" s="144"/>
      <c r="H82" s="145"/>
      <c r="I82" s="68"/>
      <c r="J82" s="279"/>
      <c r="K82" s="68"/>
      <c r="L82" s="282"/>
      <c r="M82" s="282"/>
      <c r="N82" s="283"/>
      <c r="O82" s="283"/>
      <c r="P82" s="283"/>
      <c r="Q82" s="283"/>
      <c r="R82" s="280"/>
      <c r="S82" s="68"/>
      <c r="T82" s="68"/>
      <c r="U82" s="68"/>
      <c r="V82" s="68"/>
      <c r="W82" s="281"/>
    </row>
    <row r="83" hidden="1">
      <c r="A83" s="275"/>
      <c r="B83" s="275"/>
      <c r="C83" s="275"/>
      <c r="D83" s="276"/>
      <c r="E83" s="277"/>
      <c r="F83" s="278"/>
      <c r="G83" s="144"/>
      <c r="H83" s="145"/>
      <c r="I83" s="68"/>
      <c r="J83" s="279"/>
      <c r="K83" s="68"/>
      <c r="L83" s="282"/>
      <c r="M83" s="282"/>
      <c r="N83" s="283"/>
      <c r="O83" s="283"/>
      <c r="P83" s="283"/>
      <c r="Q83" s="283"/>
      <c r="R83" s="280"/>
      <c r="S83" s="68"/>
      <c r="T83" s="68"/>
      <c r="U83" s="68"/>
      <c r="V83" s="68"/>
      <c r="W83" s="281"/>
    </row>
    <row r="84" hidden="1">
      <c r="A84" s="275"/>
      <c r="B84" s="275"/>
      <c r="C84" s="275"/>
      <c r="D84" s="276"/>
      <c r="E84" s="277"/>
      <c r="F84" s="278"/>
      <c r="G84" s="144"/>
      <c r="H84" s="145"/>
      <c r="I84" s="68"/>
      <c r="J84" s="279"/>
      <c r="K84" s="68"/>
      <c r="L84" s="282"/>
      <c r="M84" s="282"/>
      <c r="N84" s="283"/>
      <c r="O84" s="283"/>
      <c r="P84" s="283"/>
      <c r="Q84" s="283"/>
      <c r="R84" s="280"/>
      <c r="S84" s="68"/>
      <c r="T84" s="68"/>
      <c r="U84" s="68"/>
      <c r="V84" s="68"/>
      <c r="W84" s="281"/>
    </row>
    <row r="85" hidden="1">
      <c r="A85" s="275"/>
      <c r="B85" s="275"/>
      <c r="C85" s="275"/>
      <c r="D85" s="276"/>
      <c r="E85" s="277"/>
      <c r="F85" s="278"/>
      <c r="G85" s="144"/>
      <c r="H85" s="151"/>
      <c r="I85" s="68"/>
      <c r="J85" s="279"/>
      <c r="K85" s="68"/>
      <c r="L85" s="282"/>
      <c r="M85" s="282"/>
      <c r="N85" s="283"/>
      <c r="O85" s="283"/>
      <c r="P85" s="283"/>
      <c r="Q85" s="283"/>
      <c r="R85" s="280"/>
      <c r="S85" s="68"/>
      <c r="T85" s="68"/>
      <c r="U85" s="68"/>
      <c r="V85" s="68"/>
      <c r="W85" s="281"/>
    </row>
    <row r="86" hidden="1">
      <c r="A86" s="275"/>
      <c r="B86" s="275"/>
      <c r="C86" s="275"/>
      <c r="D86" s="276"/>
      <c r="E86" s="277"/>
      <c r="F86" s="278"/>
      <c r="G86" s="144"/>
      <c r="H86" s="145"/>
      <c r="I86" s="68"/>
      <c r="J86" s="279"/>
      <c r="K86" s="68"/>
      <c r="L86" s="282"/>
      <c r="M86" s="282"/>
      <c r="N86" s="283"/>
      <c r="O86" s="283"/>
      <c r="P86" s="283"/>
      <c r="Q86" s="283"/>
      <c r="R86" s="280"/>
      <c r="S86" s="68"/>
      <c r="T86" s="68"/>
      <c r="U86" s="68"/>
      <c r="V86" s="68"/>
      <c r="W86" s="281"/>
    </row>
    <row r="87" hidden="1">
      <c r="A87" s="275"/>
      <c r="B87" s="275"/>
      <c r="C87" s="275"/>
      <c r="D87" s="276"/>
      <c r="E87" s="277"/>
      <c r="F87" s="278"/>
      <c r="G87" s="175"/>
      <c r="H87" s="176"/>
      <c r="I87" s="68"/>
      <c r="J87" s="279"/>
      <c r="K87" s="68"/>
      <c r="L87" s="282"/>
      <c r="M87" s="282"/>
      <c r="N87" s="283"/>
      <c r="O87" s="283"/>
      <c r="P87" s="283"/>
      <c r="Q87" s="283"/>
      <c r="R87" s="280"/>
      <c r="S87" s="68"/>
      <c r="T87" s="68"/>
      <c r="U87" s="68"/>
      <c r="V87" s="68"/>
      <c r="W87" s="281"/>
    </row>
    <row r="88" hidden="1">
      <c r="A88" s="275"/>
      <c r="B88" s="275"/>
      <c r="C88" s="275"/>
      <c r="D88" s="276"/>
      <c r="E88" s="277"/>
      <c r="F88" s="278"/>
      <c r="G88" s="284"/>
      <c r="H88" s="284"/>
      <c r="I88" s="68"/>
      <c r="J88" s="279"/>
      <c r="K88" s="68"/>
      <c r="L88" s="282"/>
      <c r="M88" s="282"/>
      <c r="N88" s="283"/>
      <c r="O88" s="283"/>
      <c r="P88" s="283"/>
      <c r="Q88" s="283"/>
      <c r="R88" s="280"/>
      <c r="S88" s="68"/>
      <c r="T88" s="68"/>
      <c r="U88" s="68"/>
      <c r="V88" s="68"/>
      <c r="W88" s="281"/>
    </row>
    <row r="89" hidden="1">
      <c r="A89" s="275"/>
      <c r="B89" s="275"/>
      <c r="C89" s="275"/>
      <c r="D89" s="276"/>
      <c r="E89" s="277"/>
      <c r="F89" s="278"/>
      <c r="G89" s="284"/>
      <c r="H89" s="284"/>
      <c r="I89" s="68"/>
      <c r="J89" s="279"/>
      <c r="K89" s="68"/>
      <c r="L89" s="282"/>
      <c r="M89" s="282"/>
      <c r="N89" s="283"/>
      <c r="O89" s="283"/>
      <c r="P89" s="283"/>
      <c r="Q89" s="283"/>
      <c r="R89" s="280"/>
      <c r="S89" s="68"/>
      <c r="T89" s="68"/>
      <c r="U89" s="68"/>
      <c r="V89" s="68"/>
      <c r="W89" s="281"/>
    </row>
    <row r="90" hidden="1">
      <c r="A90" s="275"/>
      <c r="B90" s="275"/>
      <c r="C90" s="275"/>
      <c r="D90" s="276"/>
      <c r="E90" s="277"/>
      <c r="F90" s="278"/>
      <c r="G90" s="284"/>
      <c r="H90" s="284"/>
      <c r="I90" s="68"/>
      <c r="J90" s="279"/>
      <c r="K90" s="68"/>
      <c r="L90" s="282"/>
      <c r="M90" s="282"/>
      <c r="N90" s="283"/>
      <c r="O90" s="283"/>
      <c r="P90" s="283"/>
      <c r="Q90" s="283"/>
      <c r="R90" s="280"/>
      <c r="S90" s="68"/>
      <c r="T90" s="68"/>
      <c r="U90" s="68"/>
      <c r="V90" s="68"/>
      <c r="W90" s="281"/>
    </row>
    <row r="91" hidden="1">
      <c r="A91" s="275"/>
      <c r="B91" s="275"/>
      <c r="C91" s="275"/>
      <c r="D91" s="276"/>
      <c r="E91" s="277"/>
      <c r="F91" s="278"/>
      <c r="G91" s="284"/>
      <c r="H91" s="284"/>
      <c r="I91" s="68"/>
      <c r="J91" s="279"/>
      <c r="K91" s="68"/>
      <c r="L91" s="282"/>
      <c r="M91" s="282"/>
      <c r="N91" s="283"/>
      <c r="O91" s="283"/>
      <c r="P91" s="283"/>
      <c r="Q91" s="283"/>
      <c r="R91" s="280"/>
      <c r="S91" s="68"/>
      <c r="T91" s="68"/>
      <c r="U91" s="68"/>
      <c r="V91" s="68"/>
      <c r="W91" s="281"/>
    </row>
    <row r="92" hidden="1">
      <c r="A92" s="275"/>
      <c r="B92" s="275"/>
      <c r="C92" s="275"/>
      <c r="D92" s="276"/>
      <c r="E92" s="277"/>
      <c r="F92" s="278"/>
      <c r="G92" s="284"/>
      <c r="H92" s="284"/>
      <c r="I92" s="68"/>
      <c r="J92" s="279"/>
      <c r="K92" s="68"/>
      <c r="L92" s="282"/>
      <c r="M92" s="282"/>
      <c r="N92" s="283"/>
      <c r="O92" s="283"/>
      <c r="P92" s="283"/>
      <c r="Q92" s="283"/>
      <c r="R92" s="280"/>
      <c r="S92" s="68"/>
      <c r="T92" s="68"/>
      <c r="U92" s="68"/>
      <c r="V92" s="68"/>
      <c r="W92" s="281"/>
    </row>
    <row r="93" hidden="1">
      <c r="A93" s="275"/>
      <c r="B93" s="275"/>
      <c r="C93" s="275"/>
      <c r="D93" s="276"/>
      <c r="E93" s="277"/>
      <c r="F93" s="278"/>
      <c r="G93" s="284"/>
      <c r="H93" s="284"/>
      <c r="I93" s="68"/>
      <c r="J93" s="279"/>
      <c r="K93" s="68"/>
      <c r="L93" s="282"/>
      <c r="M93" s="282"/>
      <c r="N93" s="283"/>
      <c r="O93" s="283"/>
      <c r="P93" s="283"/>
      <c r="Q93" s="283"/>
      <c r="R93" s="280"/>
      <c r="S93" s="68"/>
      <c r="T93" s="68"/>
      <c r="U93" s="68"/>
      <c r="V93" s="68"/>
      <c r="W93" s="281"/>
    </row>
    <row r="94">
      <c r="A94" s="275"/>
      <c r="B94" s="275"/>
      <c r="C94" s="275"/>
      <c r="D94" s="276"/>
      <c r="E94" s="277"/>
      <c r="F94" s="278"/>
      <c r="G94" s="284"/>
      <c r="H94" s="284"/>
      <c r="I94" s="68"/>
      <c r="J94" s="279"/>
      <c r="K94" s="68"/>
      <c r="L94" s="282"/>
      <c r="M94" s="282"/>
      <c r="N94" s="283"/>
      <c r="O94" s="283"/>
      <c r="P94" s="283"/>
      <c r="Q94" s="283"/>
      <c r="R94" s="280"/>
      <c r="S94" s="68"/>
      <c r="T94" s="68"/>
      <c r="U94" s="68"/>
      <c r="V94" s="68"/>
      <c r="W94" s="281"/>
    </row>
    <row r="95">
      <c r="A95" s="275"/>
      <c r="B95" s="275"/>
      <c r="C95" s="275" t="s">
        <v>323</v>
      </c>
      <c r="D95" s="276"/>
      <c r="E95" s="277"/>
      <c r="F95" s="278"/>
      <c r="G95" s="284"/>
      <c r="H95" s="284"/>
      <c r="I95" s="68"/>
      <c r="J95" s="279"/>
      <c r="K95" s="68"/>
      <c r="L95" s="282"/>
      <c r="M95" s="282"/>
      <c r="N95" s="283"/>
      <c r="O95" s="283"/>
      <c r="P95" s="283"/>
      <c r="Q95" s="283"/>
      <c r="R95" s="280"/>
      <c r="S95" s="68"/>
      <c r="T95" s="68"/>
      <c r="U95" s="68"/>
      <c r="V95" s="68"/>
      <c r="W95" s="281"/>
    </row>
    <row r="96">
      <c r="A96" s="691" t="str">
        <f>IFERROR(__xludf.DUMMYFUNCTION("Query(A3:W37, ""where A = TRUE"",1)"),"")</f>
        <v/>
      </c>
      <c r="B96" s="691" t="str">
        <f>IFERROR(__xludf.DUMMYFUNCTION("""COMPUTED_VALUE"""),"TRUE")</f>
        <v>TRUE</v>
      </c>
      <c r="C96" s="275" t="str">
        <f>IFERROR(__xludf.DUMMYFUNCTION("""COMPUTED_VALUE"""),"Voigtlander 50mm F2 APO-Lanthar")</f>
        <v>Voigtlander 50mm F2 APO-Lanthar</v>
      </c>
      <c r="D96" s="276" t="str">
        <f>IFERROR(__xludf.DUMMYFUNCTION("""COMPUTED_VALUE"""),"364g")</f>
        <v>364g</v>
      </c>
      <c r="E96" s="277" t="str">
        <f>IFERROR(__xludf.DUMMYFUNCTION("""COMPUTED_VALUE"""),"50mm")</f>
        <v>50mm</v>
      </c>
      <c r="F96" s="278" t="str">
        <f>IFERROR(__xludf.DUMMYFUNCTION("""COMPUTED_VALUE"""),"f/2.0")</f>
        <v>f/2.0</v>
      </c>
      <c r="G96" s="284" t="str">
        <f>IFERROR(__xludf.DUMMYFUNCTION("""COMPUTED_VALUE"""),"63mm")</f>
        <v>63mm</v>
      </c>
      <c r="H96" s="284" t="str">
        <f>IFERROR(__xludf.DUMMYFUNCTION("""COMPUTED_VALUE"""),"61mm")</f>
        <v>61mm</v>
      </c>
      <c r="I96" s="68" t="str">
        <f>IFERROR(__xludf.DUMMYFUNCTION("""COMPUTED_VALUE"""),"MF")</f>
        <v>MF</v>
      </c>
      <c r="J96" s="279" t="str">
        <f>IFERROR(__xludf.DUMMYFUNCTION("""COMPUTED_VALUE"""),"49mm")</f>
        <v>49mm</v>
      </c>
      <c r="K96" s="68" t="str">
        <f>IFERROR(__xludf.DUMMYFUNCTION("""COMPUTED_VALUE"""),"")</f>
        <v/>
      </c>
      <c r="L96" s="282" t="str">
        <f>IFERROR(__xludf.DUMMYFUNCTION("""COMPUTED_VALUE"""),"$45")</f>
        <v>$45</v>
      </c>
      <c r="M96" s="282" t="str">
        <f>IFERROR(__xludf.DUMMYFUNCTION("""COMPUTED_VALUE"""),"no")</f>
        <v>no</v>
      </c>
      <c r="N96" s="283" t="str">
        <f>IFERROR(__xludf.DUMMYFUNCTION("""COMPUTED_VALUE"""),"12")</f>
        <v>12</v>
      </c>
      <c r="O96" s="283" t="str">
        <f>IFERROR(__xludf.DUMMYFUNCTION("""COMPUTED_VALUE"""),"10/8")</f>
        <v>10/8</v>
      </c>
      <c r="P96" s="283" t="str">
        <f>IFERROR(__xludf.DUMMYFUNCTION("""COMPUTED_VALUE"""),"Voigtlander")</f>
        <v>Voigtlander</v>
      </c>
      <c r="Q96" s="283" t="str">
        <f>IFERROR(__xludf.DUMMYFUNCTION("""COMPUTED_VALUE"""),"01/20")</f>
        <v>01/20</v>
      </c>
      <c r="R96" s="280" t="str">
        <f>IFERROR(__xludf.DUMMYFUNCTION("""COMPUTED_VALUE"""),"")</f>
        <v/>
      </c>
      <c r="S96" s="68" t="str">
        <f>IFERROR(__xludf.DUMMYFUNCTION("""COMPUTED_VALUE"""),"")</f>
        <v/>
      </c>
      <c r="T96" s="68" t="str">
        <f>IFERROR(__xludf.DUMMYFUNCTION("""COMPUTED_VALUE"""),"")</f>
        <v/>
      </c>
      <c r="U96" s="68" t="str">
        <f>IFERROR(__xludf.DUMMYFUNCTION("""COMPUTED_VALUE"""),"")</f>
        <v/>
      </c>
      <c r="V96" s="68" t="str">
        <f>IFERROR(__xludf.DUMMYFUNCTION("""COMPUTED_VALUE"""),"")</f>
        <v/>
      </c>
      <c r="W96" s="281" t="str">
        <f>IFERROR(__xludf.DUMMYFUNCTION("""COMPUTED_VALUE"""),"")</f>
        <v/>
      </c>
    </row>
    <row r="97">
      <c r="A97" s="275" t="b">
        <f>IFERROR(__xludf.DUMMYFUNCTION("""COMPUTED_VALUE"""),TRUE)</f>
        <v>1</v>
      </c>
      <c r="B97" s="275" t="b">
        <f>IFERROR(__xludf.DUMMYFUNCTION("""COMPUTED_VALUE"""),FALSE)</f>
        <v>0</v>
      </c>
      <c r="C97" s="275" t="str">
        <f>IFERROR(__xludf.DUMMYFUNCTION("""COMPUTED_VALUE"""),"Zeiss Loxia 50mm F2")</f>
        <v>Zeiss Loxia 50mm F2</v>
      </c>
      <c r="D97" s="276">
        <f>IFERROR(__xludf.DUMMYFUNCTION("""COMPUTED_VALUE"""),320.0)</f>
        <v>320</v>
      </c>
      <c r="E97" s="277">
        <f>IFERROR(__xludf.DUMMYFUNCTION("""COMPUTED_VALUE"""),50.0)</f>
        <v>50</v>
      </c>
      <c r="F97" s="278">
        <f>IFERROR(__xludf.DUMMYFUNCTION("""COMPUTED_VALUE"""),2.0)</f>
        <v>2</v>
      </c>
      <c r="G97" s="284">
        <f>IFERROR(__xludf.DUMMYFUNCTION("""COMPUTED_VALUE"""),62.0)</f>
        <v>62</v>
      </c>
      <c r="H97" s="284">
        <f>IFERROR(__xludf.DUMMYFUNCTION("""COMPUTED_VALUE"""),60.0)</f>
        <v>60</v>
      </c>
      <c r="I97" s="68" t="str">
        <f>IFERROR(__xludf.DUMMYFUNCTION("""COMPUTED_VALUE"""),"MF")</f>
        <v>MF</v>
      </c>
      <c r="J97" s="279" t="str">
        <f>IFERROR(__xludf.DUMMYFUNCTION("""COMPUTED_VALUE"""),"52mm")</f>
        <v>52mm</v>
      </c>
      <c r="K97" s="68">
        <f>IFERROR(__xludf.DUMMYFUNCTION("""COMPUTED_VALUE"""),0.15)</f>
        <v>0.15</v>
      </c>
      <c r="L97" s="282">
        <f>IFERROR(__xludf.DUMMYFUNCTION("""COMPUTED_VALUE"""),45.0)</f>
        <v>45</v>
      </c>
      <c r="M97" s="282" t="str">
        <f>IFERROR(__xludf.DUMMYFUNCTION("""COMPUTED_VALUE"""),"no")</f>
        <v>no</v>
      </c>
      <c r="N97" s="283">
        <f>IFERROR(__xludf.DUMMYFUNCTION("""COMPUTED_VALUE"""),10.0)</f>
        <v>10</v>
      </c>
      <c r="O97" s="631">
        <f>IFERROR(__xludf.DUMMYFUNCTION("""COMPUTED_VALUE"""),43561.0)</f>
        <v>43561</v>
      </c>
      <c r="P97" s="283" t="str">
        <f>IFERROR(__xludf.DUMMYFUNCTION("""COMPUTED_VALUE"""),"Zeiss")</f>
        <v>Zeiss</v>
      </c>
      <c r="Q97" s="764">
        <f>IFERROR(__xludf.DUMMYFUNCTION("""COMPUTED_VALUE"""),41913.0)</f>
        <v>41913</v>
      </c>
      <c r="R97" s="280">
        <f>IFERROR(__xludf.DUMMYFUNCTION("""COMPUTED_VALUE"""),949.0)</f>
        <v>949</v>
      </c>
      <c r="S97" s="68">
        <f>IFERROR(__xludf.DUMMYFUNCTION("""COMPUTED_VALUE"""),500.0)</f>
        <v>500</v>
      </c>
      <c r="T97" s="68" t="str">
        <f>IFERROR(__xludf.DUMMYFUNCTION("""COMPUTED_VALUE"""),"link*")</f>
        <v>link*</v>
      </c>
      <c r="U97" s="68" t="str">
        <f>IFERROR(__xludf.DUMMYFUNCTION("""COMPUTED_VALUE"""),"link*")</f>
        <v>link*</v>
      </c>
      <c r="V97" s="68" t="str">
        <f>IFERROR(__xludf.DUMMYFUNCTION("""COMPUTED_VALUE"""),"link*")</f>
        <v>link*</v>
      </c>
      <c r="W97" s="281" t="str">
        <f>IFERROR(__xludf.DUMMYFUNCTION("""COMPUTED_VALUE"""),"link*")</f>
        <v>link*</v>
      </c>
    </row>
    <row r="98">
      <c r="A98" s="275"/>
      <c r="B98" s="275"/>
      <c r="C98" s="275"/>
      <c r="D98" s="276"/>
      <c r="E98" s="277"/>
      <c r="F98" s="278"/>
      <c r="G98" s="284"/>
      <c r="H98" s="284"/>
      <c r="I98" s="68"/>
      <c r="J98" s="279"/>
      <c r="K98" s="68"/>
      <c r="L98" s="282"/>
      <c r="M98" s="282"/>
      <c r="N98" s="283"/>
      <c r="O98" s="283"/>
      <c r="P98" s="283"/>
      <c r="Q98" s="283"/>
      <c r="R98" s="280"/>
      <c r="S98" s="68"/>
      <c r="T98" s="68"/>
      <c r="U98" s="68"/>
      <c r="V98" s="68"/>
      <c r="W98" s="281"/>
    </row>
    <row r="99">
      <c r="A99" s="275"/>
      <c r="B99" s="275"/>
      <c r="C99" s="275"/>
      <c r="D99" s="276"/>
      <c r="E99" s="277"/>
      <c r="F99" s="278"/>
      <c r="G99" s="284"/>
      <c r="H99" s="284"/>
      <c r="I99" s="68"/>
      <c r="J99" s="279"/>
      <c r="K99" s="68"/>
      <c r="L99" s="282"/>
      <c r="M99" s="282"/>
      <c r="N99" s="283"/>
      <c r="O99" s="283"/>
      <c r="P99" s="283"/>
      <c r="Q99" s="283"/>
      <c r="R99" s="280"/>
      <c r="S99" s="68"/>
      <c r="T99" s="68"/>
      <c r="U99" s="68"/>
      <c r="V99" s="68"/>
      <c r="W99" s="281"/>
    </row>
    <row r="100">
      <c r="A100" s="275"/>
      <c r="B100" s="275"/>
      <c r="C100" s="275"/>
      <c r="D100" s="276"/>
      <c r="E100" s="277"/>
      <c r="F100" s="278"/>
      <c r="G100" s="284"/>
      <c r="H100" s="284"/>
      <c r="I100" s="68"/>
      <c r="J100" s="279"/>
      <c r="K100" s="68"/>
      <c r="L100" s="282"/>
      <c r="M100" s="282"/>
      <c r="N100" s="283"/>
      <c r="O100" s="283"/>
      <c r="P100" s="283"/>
      <c r="Q100" s="283"/>
      <c r="R100" s="280"/>
      <c r="S100" s="68"/>
      <c r="T100" s="68"/>
      <c r="U100" s="68"/>
      <c r="V100" s="68"/>
      <c r="W100" s="281"/>
    </row>
    <row r="101">
      <c r="A101" s="275"/>
      <c r="B101" s="275"/>
      <c r="C101" s="275"/>
      <c r="D101" s="276"/>
      <c r="E101" s="277"/>
      <c r="F101" s="278"/>
      <c r="G101" s="284"/>
      <c r="H101" s="284"/>
      <c r="I101" s="68"/>
      <c r="J101" s="279"/>
      <c r="K101" s="68"/>
      <c r="L101" s="282"/>
      <c r="M101" s="282"/>
      <c r="N101" s="283"/>
      <c r="O101" s="283"/>
      <c r="P101" s="283"/>
      <c r="Q101" s="283"/>
      <c r="R101" s="280"/>
      <c r="S101" s="68"/>
      <c r="T101" s="68"/>
      <c r="U101" s="68"/>
      <c r="V101" s="68"/>
      <c r="W101" s="281"/>
    </row>
    <row r="102">
      <c r="A102" s="275"/>
      <c r="B102" s="275"/>
      <c r="C102" s="275"/>
      <c r="D102" s="276"/>
      <c r="E102" s="277"/>
      <c r="F102" s="278"/>
      <c r="G102" s="284"/>
      <c r="H102" s="284"/>
      <c r="I102" s="68"/>
      <c r="J102" s="279"/>
      <c r="K102" s="68"/>
      <c r="L102" s="282"/>
      <c r="M102" s="282"/>
      <c r="N102" s="283"/>
      <c r="O102" s="283"/>
      <c r="P102" s="283"/>
      <c r="Q102" s="283"/>
      <c r="R102" s="280"/>
      <c r="S102" s="68"/>
      <c r="T102" s="68"/>
      <c r="U102" s="68"/>
      <c r="V102" s="68"/>
      <c r="W102" s="281"/>
    </row>
    <row r="103">
      <c r="A103" s="275"/>
      <c r="B103" s="275"/>
      <c r="C103" s="275"/>
      <c r="D103" s="276"/>
      <c r="E103" s="277"/>
      <c r="F103" s="278"/>
      <c r="G103" s="284"/>
      <c r="H103" s="284"/>
      <c r="I103" s="68"/>
      <c r="J103" s="279"/>
      <c r="K103" s="68"/>
      <c r="L103" s="282"/>
      <c r="M103" s="282"/>
      <c r="N103" s="283"/>
      <c r="O103" s="283"/>
      <c r="P103" s="283"/>
      <c r="Q103" s="283"/>
      <c r="R103" s="280"/>
      <c r="S103" s="68"/>
      <c r="T103" s="68"/>
      <c r="U103" s="68"/>
      <c r="V103" s="68"/>
      <c r="W103" s="281"/>
    </row>
    <row r="104">
      <c r="A104" s="275"/>
      <c r="B104" s="275"/>
      <c r="C104" s="275"/>
      <c r="D104" s="276"/>
      <c r="E104" s="277"/>
      <c r="F104" s="278"/>
      <c r="G104" s="284"/>
      <c r="H104" s="284"/>
      <c r="I104" s="68"/>
      <c r="J104" s="279"/>
      <c r="K104" s="68"/>
      <c r="L104" s="282"/>
      <c r="M104" s="282"/>
      <c r="N104" s="283"/>
      <c r="O104" s="283"/>
      <c r="P104" s="283"/>
      <c r="Q104" s="283"/>
      <c r="R104" s="280"/>
      <c r="S104" s="68"/>
      <c r="T104" s="68"/>
      <c r="U104" s="68"/>
      <c r="V104" s="68"/>
      <c r="W104" s="281"/>
    </row>
    <row r="105">
      <c r="A105" s="285"/>
      <c r="B105" s="285"/>
      <c r="C105" s="285" t="s">
        <v>152</v>
      </c>
      <c r="D105" s="286"/>
      <c r="E105" s="285"/>
      <c r="F105" s="285"/>
      <c r="G105" s="287"/>
      <c r="H105" s="288"/>
      <c r="I105" s="285"/>
      <c r="J105" s="289"/>
      <c r="K105" s="285"/>
      <c r="L105" s="285"/>
      <c r="M105" s="285"/>
      <c r="N105" s="290"/>
      <c r="O105" s="290"/>
      <c r="P105" s="290"/>
      <c r="Q105" s="290"/>
      <c r="R105" s="285"/>
      <c r="S105" s="285"/>
      <c r="T105" s="285"/>
      <c r="U105" s="285"/>
      <c r="V105" s="285"/>
      <c r="W105" s="285"/>
    </row>
    <row r="106">
      <c r="A106" s="291"/>
      <c r="B106" s="291"/>
      <c r="C106" s="291" t="s">
        <v>153</v>
      </c>
      <c r="D106" s="292">
        <f>Count(D2:D93)</f>
        <v>4</v>
      </c>
      <c r="F106" s="68"/>
      <c r="G106" s="284"/>
      <c r="H106" s="293"/>
      <c r="I106" s="68"/>
      <c r="J106" s="279"/>
      <c r="K106" s="68"/>
      <c r="L106" s="68"/>
      <c r="M106" s="68"/>
      <c r="N106" s="283"/>
      <c r="O106" s="283"/>
      <c r="P106" s="283"/>
      <c r="Q106" s="283"/>
      <c r="R106" s="68"/>
      <c r="S106" s="68"/>
      <c r="T106" s="68"/>
      <c r="U106" s="68"/>
      <c r="V106" s="68"/>
      <c r="W106" s="68"/>
    </row>
    <row r="107">
      <c r="A107" s="294"/>
      <c r="B107" s="294"/>
      <c r="C107" s="294" t="s">
        <v>324</v>
      </c>
      <c r="G107" s="284"/>
      <c r="H107" s="293"/>
      <c r="J107" s="295"/>
      <c r="N107" s="283"/>
      <c r="O107" s="283"/>
      <c r="P107" s="283"/>
      <c r="Q107" s="283"/>
    </row>
    <row r="108">
      <c r="A108" s="275"/>
      <c r="B108" s="275"/>
      <c r="C108" s="275"/>
      <c r="D108" s="68"/>
      <c r="E108" s="68"/>
      <c r="F108" s="68"/>
      <c r="G108" s="284"/>
      <c r="H108" s="293"/>
      <c r="I108" s="68"/>
      <c r="J108" s="279"/>
      <c r="K108" s="68"/>
      <c r="L108" s="68"/>
      <c r="M108" s="68"/>
      <c r="N108" s="283"/>
      <c r="O108" s="283"/>
      <c r="P108" s="283"/>
      <c r="Q108" s="283"/>
      <c r="R108" s="68"/>
      <c r="S108" s="68"/>
      <c r="T108" s="68"/>
      <c r="U108" s="68"/>
      <c r="V108" s="68"/>
      <c r="W108" s="68"/>
    </row>
    <row r="109">
      <c r="A109" s="692"/>
      <c r="B109" s="692"/>
      <c r="C109" s="296" t="str">
        <f>HYPERLINK("https://phillipreeve.net/blog/sony-fe-lenses/fe-list/","If you have a question or want to report any mistake please leave a comment on the blog.")</f>
        <v>If you have a question or want to report any mistake please leave a comment on the blog.</v>
      </c>
      <c r="D109" s="297"/>
      <c r="E109" s="297"/>
      <c r="F109" s="297"/>
      <c r="G109" s="298"/>
      <c r="H109" s="299"/>
      <c r="I109" s="297"/>
      <c r="J109" s="300"/>
      <c r="K109" s="297"/>
      <c r="L109" s="297"/>
      <c r="M109" s="297"/>
      <c r="N109" s="283"/>
      <c r="O109" s="283"/>
      <c r="P109" s="283"/>
      <c r="Q109" s="283"/>
    </row>
    <row r="110">
      <c r="G110" s="284"/>
      <c r="H110" s="293"/>
      <c r="J110" s="295"/>
      <c r="N110" s="283"/>
      <c r="O110" s="283"/>
      <c r="P110" s="283"/>
      <c r="Q110" s="283"/>
    </row>
    <row r="111">
      <c r="A111" s="275"/>
      <c r="B111" s="275"/>
      <c r="C111" s="275" t="s">
        <v>155</v>
      </c>
      <c r="G111" s="284"/>
      <c r="H111" s="293"/>
      <c r="J111" s="295"/>
      <c r="N111" s="283"/>
      <c r="O111" s="283"/>
      <c r="P111" s="283"/>
      <c r="Q111" s="283"/>
    </row>
    <row r="112">
      <c r="A112" s="116"/>
      <c r="B112" s="116"/>
      <c r="C112" s="301" t="str">
        <f>HYPERLINK("https://phillipreeve.net/blog/fe-lenses-sony-comprehensive-independent-guide/","Our Guide to FE-mount lenses - If you need any help on finding the right lens.")</f>
        <v>Our Guide to FE-mount lenses - If you need any help on finding the right lens.</v>
      </c>
      <c r="G112" s="284"/>
      <c r="H112" s="293"/>
      <c r="J112" s="295"/>
      <c r="N112" s="283"/>
      <c r="O112" s="283"/>
      <c r="P112" s="283"/>
      <c r="Q112" s="283"/>
    </row>
    <row r="113">
      <c r="A113" s="116"/>
      <c r="B113" s="116"/>
      <c r="C113" s="301" t="str">
        <f>HYPERLINK("https://phillipreeve.net/blog/9-golden-rules-to-buy-the-wrong-lens/","10 golden rules to buy the wrong lens.")</f>
        <v>10 golden rules to buy the wrong lens.</v>
      </c>
      <c r="G113" s="284"/>
      <c r="H113" s="293"/>
      <c r="J113" s="295"/>
      <c r="N113" s="283"/>
      <c r="O113" s="283"/>
      <c r="P113" s="283"/>
      <c r="Q113" s="283"/>
    </row>
    <row r="114">
      <c r="A114" s="116"/>
      <c r="B114" s="116"/>
      <c r="C114" s="301" t="str">
        <f>HYPERLINK("https://phillipreeve.net/blog/user-guide-ultra-wideangle-lenses-sony-alpha-7-series/","Our Guide to Ultra-Wideangle lenses")</f>
        <v>Our Guide to Ultra-Wideangle lenses</v>
      </c>
      <c r="G114" s="284"/>
      <c r="H114" s="293"/>
      <c r="J114" s="295"/>
      <c r="N114" s="283"/>
      <c r="O114" s="283"/>
      <c r="P114" s="283"/>
      <c r="Q114" s="283"/>
    </row>
    <row r="115">
      <c r="A115" s="116"/>
      <c r="B115" s="116"/>
      <c r="C115" s="301" t="str">
        <f>HYPERLINK("https://phillipreeve.net/blog/wideangle-lenses-for-the-sony-alpha-7-series/","Our Guide to Wideangle lenses")</f>
        <v>Our Guide to Wideangle lenses</v>
      </c>
      <c r="G115" s="284"/>
      <c r="H115" s="293"/>
      <c r="J115" s="295"/>
      <c r="N115" s="283"/>
      <c r="O115" s="283"/>
      <c r="P115" s="283"/>
      <c r="Q115" s="283"/>
    </row>
    <row r="116">
      <c r="A116" s="116"/>
      <c r="B116" s="116"/>
      <c r="C116" s="301" t="str">
        <f>HYPERLINK("https://phillipreeve.net/blog/guide-to-macro-lenses-for-the-sony-a7-series/","Our Guide to Macro lenses")</f>
        <v>Our Guide to Macro lenses</v>
      </c>
      <c r="G116" s="284"/>
      <c r="H116" s="293"/>
      <c r="J116" s="295"/>
      <c r="N116" s="283"/>
      <c r="O116" s="283"/>
      <c r="P116" s="283"/>
      <c r="Q116" s="283"/>
    </row>
    <row r="117">
      <c r="A117" s="116"/>
      <c r="B117" s="116"/>
      <c r="C117" s="301" t="str">
        <f>HYPERLINK("https://phillipreeve.net/blog/user-guide-to-portrait-lenses-sony-a7-series/","Our Guide to Portrait lenses")</f>
        <v>Our Guide to Portrait lenses</v>
      </c>
      <c r="G117" s="284"/>
      <c r="H117" s="293"/>
      <c r="J117" s="295"/>
      <c r="N117" s="283"/>
      <c r="O117" s="283"/>
      <c r="P117" s="283"/>
      <c r="Q117" s="283"/>
    </row>
    <row r="118">
      <c r="A118" s="116"/>
      <c r="B118" s="116"/>
      <c r="C118" s="301" t="str">
        <f>HYPERLINK("https://phillipreeve.net/blog/building-a-lens-kit/","Building a lens kit")</f>
        <v>Building a lens kit</v>
      </c>
      <c r="G118" s="284"/>
      <c r="H118" s="293"/>
      <c r="J118" s="295"/>
      <c r="N118" s="283"/>
      <c r="O118" s="283"/>
      <c r="P118" s="283"/>
      <c r="Q118" s="283"/>
    </row>
    <row r="119">
      <c r="A119" s="68"/>
      <c r="B119" s="68"/>
      <c r="C119" s="68"/>
      <c r="J119" s="295"/>
      <c r="N119" s="283"/>
      <c r="O119" s="283"/>
      <c r="P119" s="283"/>
      <c r="Q119" s="283"/>
    </row>
    <row r="120">
      <c r="A120" s="275"/>
      <c r="B120" s="275"/>
      <c r="C120" s="275" t="s">
        <v>158</v>
      </c>
      <c r="J120" s="295"/>
      <c r="N120" s="283"/>
      <c r="O120" s="283"/>
      <c r="P120" s="283"/>
      <c r="Q120" s="283"/>
    </row>
    <row r="121">
      <c r="A121" s="68"/>
      <c r="B121" s="68"/>
      <c r="C121" s="68" t="s">
        <v>159</v>
      </c>
      <c r="J121" s="295"/>
      <c r="N121" s="283"/>
      <c r="O121" s="283"/>
      <c r="P121" s="283"/>
      <c r="Q121" s="283"/>
    </row>
    <row r="122">
      <c r="A122" s="68"/>
      <c r="B122" s="68"/>
      <c r="C122" s="68" t="s">
        <v>160</v>
      </c>
      <c r="J122" s="295"/>
      <c r="N122" s="283"/>
      <c r="O122" s="283"/>
      <c r="P122" s="283"/>
      <c r="Q122" s="283"/>
    </row>
    <row r="123">
      <c r="A123" s="68"/>
      <c r="B123" s="68"/>
      <c r="C123" s="68" t="s">
        <v>161</v>
      </c>
      <c r="J123" s="295"/>
      <c r="N123" s="283"/>
      <c r="O123" s="283"/>
      <c r="P123" s="283"/>
      <c r="Q123" s="283"/>
    </row>
    <row r="124">
      <c r="A124" s="68"/>
      <c r="B124" s="68"/>
      <c r="C124" s="68" t="s">
        <v>162</v>
      </c>
      <c r="J124" s="295"/>
      <c r="N124" s="283"/>
      <c r="O124" s="283"/>
      <c r="P124" s="283"/>
      <c r="Q124" s="283"/>
    </row>
    <row r="125">
      <c r="A125" s="302"/>
      <c r="B125" s="302"/>
      <c r="C125" s="302"/>
      <c r="J125" s="295"/>
      <c r="N125" s="283"/>
      <c r="O125" s="283"/>
      <c r="P125" s="283"/>
      <c r="Q125" s="283"/>
    </row>
    <row r="126">
      <c r="A126" s="275"/>
      <c r="B126" s="275"/>
      <c r="C126" s="275" t="s">
        <v>163</v>
      </c>
      <c r="J126" s="295"/>
      <c r="N126" s="283"/>
      <c r="O126" s="283"/>
      <c r="P126" s="283"/>
      <c r="Q126" s="283"/>
    </row>
    <row r="127">
      <c r="A127" s="68"/>
      <c r="B127" s="68"/>
      <c r="C127" s="68" t="s">
        <v>233</v>
      </c>
      <c r="F127" s="302"/>
      <c r="J127" s="295"/>
      <c r="N127" s="283"/>
      <c r="O127" s="283"/>
      <c r="P127" s="283"/>
      <c r="Q127" s="283"/>
    </row>
    <row r="128">
      <c r="A128" s="68"/>
      <c r="B128" s="68"/>
      <c r="C128" s="68" t="s">
        <v>164</v>
      </c>
      <c r="F128" s="302"/>
      <c r="J128" s="295"/>
      <c r="N128" s="283"/>
      <c r="O128" s="283"/>
      <c r="P128" s="283"/>
      <c r="Q128" s="283"/>
    </row>
    <row r="129">
      <c r="J129" s="295"/>
      <c r="N129" s="283"/>
      <c r="O129" s="283"/>
      <c r="P129" s="283"/>
      <c r="Q129" s="283"/>
    </row>
    <row r="130">
      <c r="A130" s="116"/>
      <c r="B130" s="116"/>
      <c r="C130" s="301" t="str">
        <f>HYPERLINK("https://phillipreeve.net/blog/impressum/","Impressum")</f>
        <v>Impressum</v>
      </c>
      <c r="J130" s="295"/>
      <c r="N130" s="283"/>
      <c r="O130" s="283"/>
      <c r="P130" s="283"/>
      <c r="Q130" s="283"/>
    </row>
    <row r="131">
      <c r="J131" s="295"/>
      <c r="N131" s="283"/>
      <c r="O131" s="283"/>
      <c r="P131" s="283"/>
      <c r="Q131" s="283"/>
    </row>
    <row r="132">
      <c r="J132" s="295"/>
      <c r="N132" s="283"/>
      <c r="O132" s="283"/>
      <c r="P132" s="283"/>
      <c r="Q132" s="283"/>
    </row>
    <row r="133">
      <c r="J133" s="295"/>
      <c r="N133" s="283"/>
      <c r="O133" s="283"/>
      <c r="P133" s="283"/>
      <c r="Q133" s="283"/>
    </row>
    <row r="134">
      <c r="J134" s="295"/>
      <c r="N134" s="283"/>
      <c r="O134" s="283"/>
      <c r="P134" s="283"/>
      <c r="Q134" s="283"/>
    </row>
    <row r="135">
      <c r="J135" s="295"/>
      <c r="N135" s="283"/>
      <c r="O135" s="283"/>
      <c r="P135" s="283"/>
      <c r="Q135" s="283"/>
    </row>
    <row r="136">
      <c r="A136" s="275"/>
      <c r="B136" s="275"/>
      <c r="C136" s="275"/>
      <c r="J136" s="295"/>
      <c r="N136" s="283"/>
      <c r="O136" s="283"/>
      <c r="P136" s="283"/>
      <c r="Q136" s="283"/>
    </row>
    <row r="137">
      <c r="A137" s="275"/>
      <c r="B137" s="275"/>
      <c r="C137" s="275"/>
      <c r="J137" s="295"/>
      <c r="N137" s="283"/>
      <c r="O137" s="283"/>
      <c r="P137" s="283"/>
      <c r="Q137" s="283"/>
    </row>
    <row r="138">
      <c r="A138" s="275"/>
      <c r="B138" s="275"/>
      <c r="C138" s="275"/>
      <c r="J138" s="295"/>
      <c r="N138" s="283"/>
      <c r="O138" s="283"/>
      <c r="P138" s="283"/>
      <c r="Q138" s="283"/>
    </row>
    <row r="139">
      <c r="A139" s="275"/>
      <c r="B139" s="275"/>
      <c r="C139" s="275"/>
      <c r="J139" s="295"/>
      <c r="N139" s="283"/>
      <c r="O139" s="283"/>
      <c r="P139" s="283"/>
      <c r="Q139" s="283"/>
    </row>
    <row r="140">
      <c r="A140" s="275"/>
      <c r="B140" s="275"/>
      <c r="C140" s="275"/>
      <c r="J140" s="295"/>
      <c r="N140" s="283"/>
      <c r="O140" s="283"/>
      <c r="P140" s="283"/>
      <c r="Q140" s="283"/>
    </row>
    <row r="141">
      <c r="A141" s="275"/>
      <c r="B141" s="275"/>
      <c r="C141" s="275"/>
      <c r="J141" s="295"/>
      <c r="N141" s="283"/>
      <c r="O141" s="283"/>
      <c r="P141" s="283"/>
      <c r="Q141" s="283"/>
    </row>
    <row r="142">
      <c r="A142" s="302"/>
      <c r="B142" s="302"/>
      <c r="C142" s="302"/>
      <c r="J142" s="295"/>
      <c r="N142" s="283"/>
      <c r="O142" s="283"/>
      <c r="P142" s="283"/>
      <c r="Q142" s="283"/>
    </row>
    <row r="143">
      <c r="A143" s="275"/>
      <c r="B143" s="275"/>
      <c r="C143" s="275"/>
      <c r="J143" s="295"/>
      <c r="N143" s="283"/>
      <c r="O143" s="283"/>
      <c r="P143" s="283"/>
      <c r="Q143" s="283"/>
    </row>
    <row r="144">
      <c r="A144" s="275"/>
      <c r="B144" s="275"/>
      <c r="C144" s="275"/>
      <c r="J144" s="295"/>
      <c r="N144" s="283"/>
      <c r="O144" s="283"/>
      <c r="P144" s="283"/>
      <c r="Q144" s="283"/>
    </row>
    <row r="145">
      <c r="A145" s="302"/>
      <c r="B145" s="302"/>
      <c r="C145" s="302"/>
      <c r="J145" s="295"/>
      <c r="N145" s="283"/>
      <c r="O145" s="283"/>
      <c r="P145" s="283"/>
      <c r="Q145" s="283"/>
    </row>
    <row r="146">
      <c r="A146" s="275"/>
      <c r="B146" s="275"/>
      <c r="C146" s="275"/>
      <c r="J146" s="295"/>
      <c r="N146" s="283"/>
      <c r="O146" s="283"/>
      <c r="P146" s="283"/>
      <c r="Q146" s="283"/>
    </row>
    <row r="147">
      <c r="A147" s="275"/>
      <c r="B147" s="275"/>
      <c r="C147" s="275"/>
      <c r="J147" s="295"/>
      <c r="N147" s="283"/>
      <c r="O147" s="283"/>
      <c r="P147" s="283"/>
      <c r="Q147" s="283"/>
    </row>
    <row r="148">
      <c r="A148" s="275"/>
      <c r="B148" s="275"/>
      <c r="C148" s="275"/>
      <c r="J148" s="295"/>
      <c r="N148" s="283"/>
      <c r="O148" s="283"/>
      <c r="P148" s="283"/>
      <c r="Q148" s="283"/>
    </row>
    <row r="149">
      <c r="A149" s="275"/>
      <c r="B149" s="275"/>
      <c r="C149" s="275"/>
      <c r="J149" s="295"/>
      <c r="N149" s="283"/>
      <c r="O149" s="283"/>
      <c r="P149" s="283"/>
      <c r="Q149" s="283"/>
    </row>
    <row r="150">
      <c r="A150" s="275"/>
      <c r="B150" s="275"/>
      <c r="C150" s="275"/>
      <c r="J150" s="295"/>
      <c r="N150" s="283"/>
      <c r="O150" s="283"/>
      <c r="P150" s="283"/>
      <c r="Q150" s="283"/>
    </row>
    <row r="151">
      <c r="A151" s="275"/>
      <c r="B151" s="275"/>
      <c r="C151" s="275"/>
      <c r="J151" s="295"/>
      <c r="N151" s="283"/>
      <c r="O151" s="283"/>
      <c r="P151" s="283"/>
      <c r="Q151" s="283"/>
    </row>
    <row r="152">
      <c r="A152" s="275"/>
      <c r="B152" s="275"/>
      <c r="C152" s="275"/>
      <c r="J152" s="295"/>
      <c r="N152" s="283"/>
      <c r="O152" s="283"/>
      <c r="P152" s="283"/>
      <c r="Q152" s="283"/>
    </row>
    <row r="153">
      <c r="A153" s="275"/>
      <c r="B153" s="275"/>
      <c r="C153" s="275"/>
      <c r="J153" s="295"/>
      <c r="N153" s="283"/>
      <c r="O153" s="283"/>
      <c r="P153" s="283"/>
      <c r="Q153" s="283"/>
    </row>
    <row r="154">
      <c r="A154" s="275"/>
      <c r="B154" s="275"/>
      <c r="C154" s="275"/>
      <c r="J154" s="295"/>
      <c r="N154" s="283"/>
      <c r="O154" s="283"/>
      <c r="P154" s="283"/>
      <c r="Q154" s="283"/>
    </row>
    <row r="155">
      <c r="A155" s="302"/>
      <c r="B155" s="302"/>
      <c r="C155" s="302"/>
      <c r="J155" s="295"/>
      <c r="N155" s="283"/>
      <c r="O155" s="283"/>
      <c r="P155" s="283"/>
      <c r="Q155" s="283"/>
    </row>
    <row r="156">
      <c r="A156" s="302"/>
      <c r="B156" s="302"/>
      <c r="C156" s="302"/>
      <c r="J156" s="295"/>
      <c r="N156" s="283"/>
      <c r="O156" s="283"/>
      <c r="P156" s="283"/>
      <c r="Q156" s="283"/>
    </row>
    <row r="157">
      <c r="J157" s="295"/>
      <c r="N157" s="283"/>
      <c r="O157" s="283"/>
      <c r="P157" s="283"/>
      <c r="Q157" s="283"/>
    </row>
    <row r="158">
      <c r="J158" s="295"/>
      <c r="N158" s="283"/>
      <c r="O158" s="283"/>
      <c r="P158" s="283"/>
      <c r="Q158" s="283"/>
    </row>
    <row r="159">
      <c r="J159" s="295"/>
      <c r="N159" s="283"/>
      <c r="O159" s="283"/>
      <c r="P159" s="283"/>
      <c r="Q159" s="283"/>
    </row>
    <row r="160">
      <c r="J160" s="295"/>
      <c r="N160" s="283"/>
      <c r="O160" s="283"/>
      <c r="P160" s="283"/>
      <c r="Q160" s="283"/>
    </row>
    <row r="161">
      <c r="J161" s="295"/>
    </row>
    <row r="162">
      <c r="J162" s="295"/>
    </row>
    <row r="163">
      <c r="J163" s="295"/>
    </row>
    <row r="164">
      <c r="J164" s="295"/>
    </row>
    <row r="165">
      <c r="J165" s="295"/>
    </row>
    <row r="166">
      <c r="J166" s="295"/>
    </row>
    <row r="167">
      <c r="J167" s="295"/>
    </row>
    <row r="168">
      <c r="J168" s="295"/>
    </row>
    <row r="169">
      <c r="J169" s="295"/>
    </row>
    <row r="170">
      <c r="J170" s="295"/>
    </row>
    <row r="171">
      <c r="J171" s="295"/>
    </row>
    <row r="172">
      <c r="J172" s="295"/>
    </row>
    <row r="173">
      <c r="J173" s="295"/>
    </row>
    <row r="174">
      <c r="J174" s="295"/>
    </row>
    <row r="175">
      <c r="J175" s="295"/>
    </row>
    <row r="176">
      <c r="J176" s="295"/>
    </row>
    <row r="177">
      <c r="J177" s="295"/>
    </row>
    <row r="178">
      <c r="J178" s="295"/>
    </row>
    <row r="179">
      <c r="J179" s="295"/>
    </row>
    <row r="180">
      <c r="J180" s="295"/>
    </row>
    <row r="181">
      <c r="J181" s="295"/>
    </row>
    <row r="182">
      <c r="J182" s="295"/>
    </row>
    <row r="183">
      <c r="J183" s="295"/>
    </row>
    <row r="184">
      <c r="J184" s="295"/>
    </row>
    <row r="185">
      <c r="J185" s="295"/>
    </row>
    <row r="186">
      <c r="J186" s="295"/>
    </row>
    <row r="187">
      <c r="J187" s="295"/>
    </row>
    <row r="188">
      <c r="J188" s="295"/>
    </row>
    <row r="189">
      <c r="J189" s="295"/>
    </row>
    <row r="190">
      <c r="J190" s="295"/>
    </row>
    <row r="191">
      <c r="J191" s="295"/>
    </row>
    <row r="192">
      <c r="J192" s="295"/>
    </row>
    <row r="193">
      <c r="J193" s="295"/>
    </row>
    <row r="194">
      <c r="J194" s="295"/>
    </row>
    <row r="195">
      <c r="J195" s="295"/>
    </row>
    <row r="196">
      <c r="J196" s="295"/>
    </row>
    <row r="197">
      <c r="J197" s="295"/>
    </row>
    <row r="198">
      <c r="J198" s="295"/>
    </row>
    <row r="199">
      <c r="J199" s="295"/>
    </row>
    <row r="200">
      <c r="J200" s="295"/>
    </row>
    <row r="201">
      <c r="J201" s="295"/>
    </row>
    <row r="202">
      <c r="J202" s="295"/>
    </row>
    <row r="203">
      <c r="J203" s="295"/>
    </row>
    <row r="204">
      <c r="J204" s="295"/>
    </row>
    <row r="205">
      <c r="J205" s="295"/>
    </row>
    <row r="206">
      <c r="J206" s="295"/>
    </row>
    <row r="207">
      <c r="J207" s="295"/>
    </row>
    <row r="208">
      <c r="J208" s="295"/>
    </row>
    <row r="209">
      <c r="J209" s="295"/>
    </row>
    <row r="210">
      <c r="J210" s="295"/>
    </row>
    <row r="211">
      <c r="J211" s="295"/>
    </row>
    <row r="212">
      <c r="J212" s="295"/>
    </row>
    <row r="213">
      <c r="J213" s="295"/>
    </row>
    <row r="214">
      <c r="J214" s="295"/>
    </row>
    <row r="215">
      <c r="J215" s="295"/>
    </row>
    <row r="216">
      <c r="J216" s="295"/>
    </row>
    <row r="217">
      <c r="J217" s="295"/>
    </row>
    <row r="218">
      <c r="J218" s="295"/>
    </row>
    <row r="219">
      <c r="J219" s="295"/>
    </row>
    <row r="220">
      <c r="J220" s="295"/>
    </row>
    <row r="221">
      <c r="J221" s="295"/>
    </row>
    <row r="222">
      <c r="J222" s="295"/>
    </row>
    <row r="223">
      <c r="J223" s="295"/>
    </row>
    <row r="224">
      <c r="J224" s="295"/>
    </row>
    <row r="225">
      <c r="J225" s="295"/>
    </row>
    <row r="226">
      <c r="J226" s="295"/>
    </row>
    <row r="227">
      <c r="J227" s="295"/>
    </row>
    <row r="228">
      <c r="J228" s="295"/>
    </row>
    <row r="229">
      <c r="J229" s="295"/>
    </row>
    <row r="230">
      <c r="J230" s="295"/>
    </row>
    <row r="231">
      <c r="J231" s="295"/>
    </row>
    <row r="232">
      <c r="J232" s="295"/>
    </row>
    <row r="233">
      <c r="J233" s="295"/>
    </row>
    <row r="234">
      <c r="J234" s="295"/>
    </row>
    <row r="235">
      <c r="J235" s="295"/>
    </row>
    <row r="236">
      <c r="J236" s="295"/>
    </row>
    <row r="237">
      <c r="J237" s="295"/>
    </row>
    <row r="238">
      <c r="J238" s="295"/>
    </row>
    <row r="239">
      <c r="J239" s="295"/>
    </row>
    <row r="240">
      <c r="J240" s="295"/>
    </row>
    <row r="241">
      <c r="J241" s="295"/>
    </row>
    <row r="242">
      <c r="J242" s="295"/>
    </row>
    <row r="243">
      <c r="J243" s="295"/>
    </row>
    <row r="244">
      <c r="J244" s="295"/>
    </row>
    <row r="245">
      <c r="J245" s="295"/>
    </row>
    <row r="246">
      <c r="J246" s="295"/>
    </row>
    <row r="247">
      <c r="J247" s="295"/>
    </row>
    <row r="248">
      <c r="J248" s="295"/>
    </row>
    <row r="249">
      <c r="J249" s="295"/>
    </row>
    <row r="250">
      <c r="J250" s="295"/>
    </row>
    <row r="251">
      <c r="J251" s="295"/>
    </row>
    <row r="252">
      <c r="J252" s="295"/>
    </row>
    <row r="253">
      <c r="J253" s="295"/>
    </row>
    <row r="254">
      <c r="J254" s="295"/>
    </row>
    <row r="255">
      <c r="J255" s="295"/>
    </row>
    <row r="256">
      <c r="J256" s="295"/>
    </row>
    <row r="257">
      <c r="J257" s="295"/>
    </row>
    <row r="258">
      <c r="J258" s="295"/>
    </row>
    <row r="259">
      <c r="J259" s="295"/>
    </row>
    <row r="260">
      <c r="J260" s="295"/>
    </row>
    <row r="261">
      <c r="J261" s="295"/>
    </row>
    <row r="262">
      <c r="J262" s="295"/>
    </row>
    <row r="263">
      <c r="J263" s="295"/>
    </row>
    <row r="264">
      <c r="J264" s="295"/>
    </row>
    <row r="265">
      <c r="J265" s="295"/>
    </row>
    <row r="266">
      <c r="J266" s="295"/>
    </row>
    <row r="267">
      <c r="J267" s="295"/>
    </row>
    <row r="268">
      <c r="J268" s="295"/>
    </row>
    <row r="269">
      <c r="J269" s="295"/>
    </row>
    <row r="270">
      <c r="J270" s="295"/>
    </row>
    <row r="271">
      <c r="J271" s="295"/>
    </row>
    <row r="272">
      <c r="J272" s="295"/>
    </row>
    <row r="273">
      <c r="J273" s="295"/>
    </row>
    <row r="274">
      <c r="J274" s="295"/>
    </row>
    <row r="275">
      <c r="J275" s="295"/>
    </row>
    <row r="276">
      <c r="J276" s="295"/>
    </row>
    <row r="277">
      <c r="J277" s="295"/>
    </row>
    <row r="278">
      <c r="J278" s="295"/>
    </row>
    <row r="279">
      <c r="J279" s="295"/>
    </row>
    <row r="280">
      <c r="J280" s="295"/>
    </row>
    <row r="281">
      <c r="J281" s="295"/>
    </row>
    <row r="282">
      <c r="J282" s="295"/>
    </row>
    <row r="283">
      <c r="J283" s="295"/>
    </row>
    <row r="284">
      <c r="J284" s="295"/>
    </row>
    <row r="285">
      <c r="J285" s="295"/>
    </row>
    <row r="286">
      <c r="J286" s="295"/>
    </row>
    <row r="287">
      <c r="J287" s="295"/>
    </row>
    <row r="288">
      <c r="J288" s="295"/>
    </row>
    <row r="289">
      <c r="J289" s="295"/>
    </row>
    <row r="290">
      <c r="J290" s="295"/>
    </row>
    <row r="291">
      <c r="J291" s="295"/>
    </row>
    <row r="292">
      <c r="J292" s="295"/>
    </row>
    <row r="293">
      <c r="J293" s="295"/>
    </row>
    <row r="294">
      <c r="J294" s="295"/>
    </row>
    <row r="295">
      <c r="J295" s="295"/>
    </row>
    <row r="296">
      <c r="J296" s="295"/>
    </row>
    <row r="297">
      <c r="J297" s="295"/>
    </row>
    <row r="298">
      <c r="J298" s="295"/>
    </row>
    <row r="299">
      <c r="J299" s="295"/>
    </row>
    <row r="300">
      <c r="J300" s="295"/>
    </row>
    <row r="301">
      <c r="J301" s="295"/>
    </row>
    <row r="302">
      <c r="J302" s="295"/>
    </row>
    <row r="303">
      <c r="J303" s="295"/>
    </row>
    <row r="304">
      <c r="J304" s="295"/>
    </row>
    <row r="305">
      <c r="J305" s="295"/>
    </row>
    <row r="306">
      <c r="J306" s="295"/>
    </row>
    <row r="307">
      <c r="J307" s="295"/>
    </row>
    <row r="308">
      <c r="J308" s="295"/>
    </row>
    <row r="309">
      <c r="J309" s="295"/>
    </row>
    <row r="310">
      <c r="J310" s="295"/>
    </row>
    <row r="311">
      <c r="J311" s="295"/>
    </row>
    <row r="312">
      <c r="J312" s="295"/>
    </row>
    <row r="313">
      <c r="J313" s="295"/>
    </row>
    <row r="314">
      <c r="J314" s="295"/>
    </row>
    <row r="315">
      <c r="J315" s="295"/>
    </row>
    <row r="316">
      <c r="J316" s="295"/>
    </row>
    <row r="317">
      <c r="J317" s="295"/>
    </row>
    <row r="318">
      <c r="J318" s="295"/>
    </row>
    <row r="319">
      <c r="J319" s="295"/>
    </row>
    <row r="320">
      <c r="J320" s="295"/>
    </row>
    <row r="321">
      <c r="J321" s="295"/>
    </row>
    <row r="322">
      <c r="J322" s="295"/>
    </row>
    <row r="323">
      <c r="J323" s="295"/>
    </row>
    <row r="324">
      <c r="J324" s="295"/>
    </row>
    <row r="325">
      <c r="J325" s="295"/>
    </row>
    <row r="326">
      <c r="J326" s="295"/>
    </row>
    <row r="327">
      <c r="J327" s="295"/>
    </row>
    <row r="328">
      <c r="J328" s="295"/>
    </row>
    <row r="329">
      <c r="J329" s="295"/>
    </row>
    <row r="330">
      <c r="J330" s="295"/>
    </row>
    <row r="331">
      <c r="J331" s="295"/>
    </row>
    <row r="332">
      <c r="J332" s="295"/>
    </row>
    <row r="333">
      <c r="J333" s="295"/>
    </row>
    <row r="334">
      <c r="J334" s="295"/>
    </row>
    <row r="335">
      <c r="J335" s="295"/>
    </row>
    <row r="336">
      <c r="J336" s="295"/>
    </row>
    <row r="337">
      <c r="J337" s="295"/>
    </row>
    <row r="338">
      <c r="J338" s="295"/>
    </row>
    <row r="339">
      <c r="J339" s="295"/>
    </row>
    <row r="340">
      <c r="J340" s="295"/>
    </row>
    <row r="341">
      <c r="J341" s="295"/>
    </row>
    <row r="342">
      <c r="J342" s="295"/>
    </row>
    <row r="343">
      <c r="J343" s="295"/>
    </row>
    <row r="344">
      <c r="J344" s="295"/>
    </row>
    <row r="345">
      <c r="J345" s="295"/>
    </row>
    <row r="346">
      <c r="J346" s="295"/>
    </row>
    <row r="347">
      <c r="J347" s="295"/>
    </row>
    <row r="348">
      <c r="J348" s="295"/>
    </row>
    <row r="349">
      <c r="J349" s="295"/>
    </row>
    <row r="350">
      <c r="J350" s="295"/>
    </row>
    <row r="351">
      <c r="J351" s="295"/>
    </row>
    <row r="352">
      <c r="J352" s="295"/>
    </row>
    <row r="353">
      <c r="J353" s="295"/>
    </row>
    <row r="354">
      <c r="J354" s="295"/>
    </row>
    <row r="355">
      <c r="J355" s="295"/>
    </row>
    <row r="356">
      <c r="J356" s="295"/>
    </row>
    <row r="357">
      <c r="J357" s="295"/>
    </row>
    <row r="358">
      <c r="J358" s="295"/>
    </row>
    <row r="359">
      <c r="J359" s="295"/>
    </row>
    <row r="360">
      <c r="J360" s="295"/>
    </row>
    <row r="361">
      <c r="J361" s="295"/>
    </row>
    <row r="362">
      <c r="J362" s="295"/>
    </row>
    <row r="363">
      <c r="J363" s="295"/>
    </row>
    <row r="364">
      <c r="J364" s="295"/>
    </row>
    <row r="365">
      <c r="J365" s="295"/>
    </row>
    <row r="366">
      <c r="J366" s="295"/>
    </row>
    <row r="367">
      <c r="J367" s="295"/>
    </row>
    <row r="368">
      <c r="J368" s="295"/>
    </row>
    <row r="369">
      <c r="J369" s="295"/>
    </row>
    <row r="370">
      <c r="J370" s="295"/>
    </row>
    <row r="371">
      <c r="J371" s="295"/>
    </row>
    <row r="372">
      <c r="J372" s="295"/>
    </row>
    <row r="373">
      <c r="J373" s="295"/>
    </row>
    <row r="374">
      <c r="J374" s="295"/>
    </row>
    <row r="375">
      <c r="J375" s="295"/>
    </row>
    <row r="376">
      <c r="J376" s="295"/>
    </row>
    <row r="377">
      <c r="J377" s="295"/>
    </row>
    <row r="378">
      <c r="J378" s="295"/>
    </row>
    <row r="379">
      <c r="J379" s="295"/>
    </row>
    <row r="380">
      <c r="J380" s="295"/>
    </row>
    <row r="381">
      <c r="J381" s="295"/>
    </row>
    <row r="382">
      <c r="J382" s="295"/>
    </row>
    <row r="383">
      <c r="J383" s="295"/>
    </row>
    <row r="384">
      <c r="J384" s="295"/>
    </row>
    <row r="385">
      <c r="J385" s="295"/>
    </row>
    <row r="386">
      <c r="J386" s="295"/>
    </row>
    <row r="387">
      <c r="J387" s="295"/>
    </row>
    <row r="388">
      <c r="J388" s="295"/>
    </row>
    <row r="389">
      <c r="J389" s="295"/>
    </row>
    <row r="390">
      <c r="J390" s="295"/>
    </row>
    <row r="391">
      <c r="J391" s="295"/>
    </row>
    <row r="392">
      <c r="J392" s="295"/>
    </row>
    <row r="393">
      <c r="J393" s="295"/>
    </row>
    <row r="394">
      <c r="J394" s="295"/>
    </row>
    <row r="395">
      <c r="J395" s="295"/>
    </row>
    <row r="396">
      <c r="J396" s="295"/>
    </row>
    <row r="397">
      <c r="J397" s="295"/>
    </row>
    <row r="398">
      <c r="J398" s="295"/>
    </row>
    <row r="399">
      <c r="J399" s="295"/>
    </row>
    <row r="400">
      <c r="J400" s="295"/>
    </row>
    <row r="401">
      <c r="J401" s="295"/>
    </row>
    <row r="402">
      <c r="J402" s="295"/>
    </row>
    <row r="403">
      <c r="J403" s="295"/>
    </row>
    <row r="404">
      <c r="J404" s="295"/>
    </row>
    <row r="405">
      <c r="J405" s="295"/>
    </row>
    <row r="406">
      <c r="J406" s="295"/>
    </row>
    <row r="407">
      <c r="J407" s="295"/>
    </row>
    <row r="408">
      <c r="J408" s="295"/>
    </row>
    <row r="409">
      <c r="J409" s="295"/>
    </row>
    <row r="410">
      <c r="J410" s="295"/>
    </row>
    <row r="411">
      <c r="J411" s="295"/>
    </row>
    <row r="412">
      <c r="J412" s="295"/>
    </row>
    <row r="413">
      <c r="J413" s="295"/>
    </row>
    <row r="414">
      <c r="J414" s="295"/>
    </row>
    <row r="415">
      <c r="J415" s="295"/>
    </row>
    <row r="416">
      <c r="J416" s="295"/>
    </row>
    <row r="417">
      <c r="J417" s="295"/>
    </row>
    <row r="418">
      <c r="J418" s="295"/>
    </row>
    <row r="419">
      <c r="J419" s="295"/>
    </row>
    <row r="420">
      <c r="J420" s="295"/>
    </row>
    <row r="421">
      <c r="J421" s="295"/>
    </row>
    <row r="422">
      <c r="J422" s="295"/>
    </row>
    <row r="423">
      <c r="J423" s="295"/>
    </row>
    <row r="424">
      <c r="J424" s="295"/>
    </row>
    <row r="425">
      <c r="J425" s="295"/>
    </row>
    <row r="426">
      <c r="J426" s="295"/>
    </row>
    <row r="427">
      <c r="J427" s="295"/>
    </row>
    <row r="428">
      <c r="J428" s="295"/>
    </row>
    <row r="429">
      <c r="J429" s="295"/>
    </row>
    <row r="430">
      <c r="J430" s="295"/>
    </row>
    <row r="431">
      <c r="J431" s="295"/>
    </row>
    <row r="432">
      <c r="J432" s="295"/>
    </row>
    <row r="433">
      <c r="J433" s="295"/>
    </row>
    <row r="434">
      <c r="J434" s="295"/>
    </row>
    <row r="435">
      <c r="J435" s="295"/>
    </row>
    <row r="436">
      <c r="J436" s="295"/>
    </row>
    <row r="437">
      <c r="J437" s="295"/>
    </row>
    <row r="438">
      <c r="J438" s="295"/>
    </row>
    <row r="439">
      <c r="J439" s="295"/>
    </row>
    <row r="440">
      <c r="J440" s="295"/>
    </row>
    <row r="441">
      <c r="J441" s="295"/>
    </row>
    <row r="442">
      <c r="J442" s="295"/>
    </row>
    <row r="443">
      <c r="J443" s="295"/>
    </row>
    <row r="444">
      <c r="J444" s="295"/>
    </row>
    <row r="445">
      <c r="J445" s="295"/>
    </row>
    <row r="446">
      <c r="J446" s="295"/>
    </row>
    <row r="447">
      <c r="J447" s="295"/>
    </row>
    <row r="448">
      <c r="J448" s="295"/>
    </row>
    <row r="449">
      <c r="J449" s="295"/>
    </row>
    <row r="450">
      <c r="J450" s="295"/>
    </row>
    <row r="451">
      <c r="J451" s="295"/>
    </row>
    <row r="452">
      <c r="J452" s="295"/>
    </row>
    <row r="453">
      <c r="J453" s="295"/>
    </row>
    <row r="454">
      <c r="J454" s="295"/>
    </row>
    <row r="455">
      <c r="J455" s="295"/>
    </row>
    <row r="456">
      <c r="J456" s="295"/>
    </row>
    <row r="457">
      <c r="J457" s="295"/>
    </row>
    <row r="458">
      <c r="J458" s="295"/>
    </row>
    <row r="459">
      <c r="J459" s="295"/>
    </row>
    <row r="460">
      <c r="J460" s="295"/>
    </row>
    <row r="461">
      <c r="J461" s="295"/>
    </row>
    <row r="462">
      <c r="J462" s="295"/>
    </row>
    <row r="463">
      <c r="J463" s="295"/>
    </row>
    <row r="464">
      <c r="J464" s="295"/>
    </row>
    <row r="465">
      <c r="J465" s="295"/>
    </row>
    <row r="466">
      <c r="J466" s="295"/>
    </row>
    <row r="467">
      <c r="J467" s="295"/>
    </row>
    <row r="468">
      <c r="J468" s="295"/>
    </row>
    <row r="469">
      <c r="J469" s="295"/>
    </row>
    <row r="470">
      <c r="J470" s="295"/>
    </row>
    <row r="471">
      <c r="J471" s="295"/>
    </row>
    <row r="472">
      <c r="J472" s="295"/>
    </row>
    <row r="473">
      <c r="J473" s="295"/>
    </row>
    <row r="474">
      <c r="J474" s="295"/>
    </row>
    <row r="475">
      <c r="J475" s="295"/>
    </row>
    <row r="476">
      <c r="J476" s="295"/>
    </row>
    <row r="477">
      <c r="J477" s="295"/>
    </row>
    <row r="478">
      <c r="J478" s="295"/>
    </row>
    <row r="479">
      <c r="J479" s="295"/>
    </row>
    <row r="480">
      <c r="J480" s="295"/>
    </row>
    <row r="481">
      <c r="J481" s="295"/>
    </row>
    <row r="482">
      <c r="J482" s="295"/>
    </row>
    <row r="483">
      <c r="J483" s="295"/>
    </row>
    <row r="484">
      <c r="J484" s="295"/>
    </row>
    <row r="485">
      <c r="J485" s="295"/>
    </row>
    <row r="486">
      <c r="J486" s="295"/>
    </row>
    <row r="487">
      <c r="J487" s="295"/>
    </row>
    <row r="488">
      <c r="J488" s="295"/>
    </row>
    <row r="489">
      <c r="J489" s="295"/>
    </row>
    <row r="490">
      <c r="J490" s="295"/>
    </row>
    <row r="491">
      <c r="J491" s="295"/>
    </row>
    <row r="492">
      <c r="J492" s="295"/>
    </row>
    <row r="493">
      <c r="J493" s="295"/>
    </row>
    <row r="494">
      <c r="J494" s="295"/>
    </row>
    <row r="495">
      <c r="J495" s="295"/>
    </row>
    <row r="496">
      <c r="J496" s="295"/>
    </row>
    <row r="497">
      <c r="J497" s="295"/>
    </row>
    <row r="498">
      <c r="J498" s="295"/>
    </row>
    <row r="499">
      <c r="J499" s="295"/>
    </row>
    <row r="500">
      <c r="J500" s="295"/>
    </row>
    <row r="501">
      <c r="J501" s="295"/>
    </row>
    <row r="502">
      <c r="J502" s="295"/>
    </row>
    <row r="503">
      <c r="J503" s="295"/>
    </row>
    <row r="504">
      <c r="J504" s="295"/>
    </row>
    <row r="505">
      <c r="J505" s="295"/>
    </row>
    <row r="506">
      <c r="J506" s="295"/>
    </row>
    <row r="507">
      <c r="J507" s="295"/>
    </row>
    <row r="508">
      <c r="J508" s="295"/>
    </row>
    <row r="509">
      <c r="J509" s="295"/>
    </row>
    <row r="510">
      <c r="J510" s="295"/>
    </row>
    <row r="511">
      <c r="J511" s="295"/>
    </row>
    <row r="512">
      <c r="J512" s="295"/>
    </row>
    <row r="513">
      <c r="J513" s="295"/>
    </row>
    <row r="514">
      <c r="J514" s="295"/>
    </row>
    <row r="515">
      <c r="J515" s="295"/>
    </row>
    <row r="516">
      <c r="J516" s="295"/>
    </row>
    <row r="517">
      <c r="J517" s="295"/>
    </row>
    <row r="518">
      <c r="J518" s="295"/>
    </row>
    <row r="519">
      <c r="J519" s="295"/>
    </row>
    <row r="520">
      <c r="J520" s="295"/>
    </row>
    <row r="521">
      <c r="J521" s="295"/>
    </row>
    <row r="522">
      <c r="J522" s="295"/>
    </row>
    <row r="523">
      <c r="J523" s="295"/>
    </row>
    <row r="524">
      <c r="J524" s="295"/>
    </row>
    <row r="525">
      <c r="J525" s="295"/>
    </row>
    <row r="526">
      <c r="J526" s="295"/>
    </row>
    <row r="527">
      <c r="J527" s="295"/>
    </row>
    <row r="528">
      <c r="J528" s="295"/>
    </row>
    <row r="529">
      <c r="J529" s="295"/>
    </row>
    <row r="530">
      <c r="J530" s="295"/>
    </row>
    <row r="531">
      <c r="J531" s="295"/>
    </row>
    <row r="532">
      <c r="J532" s="295"/>
    </row>
    <row r="533">
      <c r="J533" s="295"/>
    </row>
    <row r="534">
      <c r="J534" s="295"/>
    </row>
    <row r="535">
      <c r="J535" s="295"/>
    </row>
    <row r="536">
      <c r="J536" s="295"/>
    </row>
    <row r="537">
      <c r="J537" s="295"/>
    </row>
    <row r="538">
      <c r="J538" s="295"/>
    </row>
    <row r="539">
      <c r="J539" s="295"/>
    </row>
    <row r="540">
      <c r="J540" s="295"/>
    </row>
    <row r="541">
      <c r="J541" s="295"/>
    </row>
    <row r="542">
      <c r="J542" s="295"/>
    </row>
    <row r="543">
      <c r="J543" s="295"/>
    </row>
    <row r="544">
      <c r="J544" s="295"/>
    </row>
    <row r="545">
      <c r="J545" s="295"/>
    </row>
    <row r="546">
      <c r="J546" s="295"/>
    </row>
    <row r="547">
      <c r="J547" s="295"/>
    </row>
    <row r="548">
      <c r="J548" s="295"/>
    </row>
    <row r="549">
      <c r="J549" s="295"/>
    </row>
    <row r="550">
      <c r="J550" s="295"/>
    </row>
    <row r="551">
      <c r="J551" s="295"/>
    </row>
    <row r="552">
      <c r="J552" s="295"/>
    </row>
    <row r="553">
      <c r="J553" s="295"/>
    </row>
    <row r="554">
      <c r="J554" s="295"/>
    </row>
    <row r="555">
      <c r="J555" s="295"/>
    </row>
    <row r="556">
      <c r="J556" s="295"/>
    </row>
    <row r="557">
      <c r="J557" s="295"/>
    </row>
    <row r="558">
      <c r="J558" s="295"/>
    </row>
    <row r="559">
      <c r="J559" s="295"/>
    </row>
    <row r="560">
      <c r="J560" s="295"/>
    </row>
    <row r="561">
      <c r="J561" s="295"/>
    </row>
    <row r="562">
      <c r="J562" s="295"/>
    </row>
    <row r="563">
      <c r="J563" s="295"/>
    </row>
    <row r="564">
      <c r="J564" s="295"/>
    </row>
    <row r="565">
      <c r="J565" s="295"/>
    </row>
    <row r="566">
      <c r="J566" s="295"/>
    </row>
    <row r="567">
      <c r="J567" s="295"/>
    </row>
    <row r="568">
      <c r="J568" s="295"/>
    </row>
    <row r="569">
      <c r="J569" s="295"/>
    </row>
    <row r="570">
      <c r="J570" s="295"/>
    </row>
    <row r="571">
      <c r="J571" s="295"/>
    </row>
    <row r="572">
      <c r="J572" s="295"/>
    </row>
    <row r="573">
      <c r="J573" s="295"/>
    </row>
    <row r="574">
      <c r="J574" s="295"/>
    </row>
    <row r="575">
      <c r="J575" s="295"/>
    </row>
    <row r="576">
      <c r="J576" s="295"/>
    </row>
    <row r="577">
      <c r="J577" s="295"/>
    </row>
    <row r="578">
      <c r="J578" s="295"/>
    </row>
    <row r="579">
      <c r="J579" s="295"/>
    </row>
    <row r="580">
      <c r="J580" s="295"/>
    </row>
    <row r="581">
      <c r="J581" s="295"/>
    </row>
    <row r="582">
      <c r="J582" s="295"/>
    </row>
    <row r="583">
      <c r="J583" s="295"/>
    </row>
    <row r="584">
      <c r="J584" s="295"/>
    </row>
    <row r="585">
      <c r="J585" s="295"/>
    </row>
    <row r="586">
      <c r="J586" s="295"/>
    </row>
    <row r="587">
      <c r="J587" s="295"/>
    </row>
    <row r="588">
      <c r="J588" s="295"/>
    </row>
    <row r="589">
      <c r="J589" s="295"/>
    </row>
    <row r="590">
      <c r="J590" s="295"/>
    </row>
    <row r="591">
      <c r="J591" s="295"/>
    </row>
    <row r="592">
      <c r="J592" s="295"/>
    </row>
    <row r="593">
      <c r="J593" s="295"/>
    </row>
    <row r="594">
      <c r="J594" s="295"/>
    </row>
    <row r="595">
      <c r="J595" s="295"/>
    </row>
    <row r="596">
      <c r="J596" s="295"/>
    </row>
    <row r="597">
      <c r="J597" s="295"/>
    </row>
    <row r="598">
      <c r="J598" s="295"/>
    </row>
    <row r="599">
      <c r="J599" s="295"/>
    </row>
    <row r="600">
      <c r="J600" s="295"/>
    </row>
    <row r="601">
      <c r="J601" s="295"/>
    </row>
    <row r="602">
      <c r="J602" s="295"/>
    </row>
    <row r="603">
      <c r="J603" s="295"/>
    </row>
    <row r="604">
      <c r="J604" s="295"/>
    </row>
    <row r="605">
      <c r="J605" s="295"/>
    </row>
    <row r="606">
      <c r="J606" s="295"/>
    </row>
    <row r="607">
      <c r="J607" s="295"/>
    </row>
    <row r="608">
      <c r="J608" s="295"/>
    </row>
    <row r="609">
      <c r="J609" s="295"/>
    </row>
    <row r="610">
      <c r="J610" s="295"/>
    </row>
    <row r="611">
      <c r="J611" s="295"/>
    </row>
    <row r="612">
      <c r="J612" s="295"/>
    </row>
    <row r="613">
      <c r="J613" s="295"/>
    </row>
    <row r="614">
      <c r="J614" s="295"/>
    </row>
    <row r="615">
      <c r="J615" s="295"/>
    </row>
    <row r="616">
      <c r="J616" s="295"/>
    </row>
    <row r="617">
      <c r="J617" s="295"/>
    </row>
    <row r="618">
      <c r="J618" s="295"/>
    </row>
    <row r="619">
      <c r="J619" s="295"/>
    </row>
    <row r="620">
      <c r="J620" s="295"/>
    </row>
    <row r="621">
      <c r="J621" s="295"/>
    </row>
    <row r="622">
      <c r="J622" s="295"/>
    </row>
    <row r="623">
      <c r="J623" s="295"/>
    </row>
    <row r="624">
      <c r="J624" s="295"/>
    </row>
    <row r="625">
      <c r="J625" s="295"/>
    </row>
    <row r="626">
      <c r="J626" s="295"/>
    </row>
    <row r="627">
      <c r="J627" s="295"/>
    </row>
    <row r="628">
      <c r="J628" s="295"/>
    </row>
    <row r="629">
      <c r="J629" s="295"/>
    </row>
    <row r="630">
      <c r="J630" s="295"/>
    </row>
    <row r="631">
      <c r="J631" s="295"/>
    </row>
    <row r="632">
      <c r="J632" s="295"/>
    </row>
    <row r="633">
      <c r="J633" s="295"/>
    </row>
    <row r="634">
      <c r="J634" s="295"/>
    </row>
    <row r="635">
      <c r="J635" s="295"/>
    </row>
    <row r="636">
      <c r="J636" s="295"/>
    </row>
    <row r="637">
      <c r="J637" s="295"/>
    </row>
    <row r="638">
      <c r="J638" s="295"/>
    </row>
    <row r="639">
      <c r="J639" s="295"/>
    </row>
    <row r="640">
      <c r="J640" s="295"/>
    </row>
    <row r="641">
      <c r="J641" s="295"/>
    </row>
    <row r="642">
      <c r="J642" s="295"/>
    </row>
    <row r="643">
      <c r="J643" s="295"/>
    </row>
    <row r="644">
      <c r="J644" s="295"/>
    </row>
    <row r="645">
      <c r="J645" s="295"/>
    </row>
    <row r="646">
      <c r="J646" s="295"/>
    </row>
    <row r="647">
      <c r="J647" s="295"/>
    </row>
    <row r="648">
      <c r="J648" s="295"/>
    </row>
    <row r="649">
      <c r="J649" s="295"/>
    </row>
    <row r="650">
      <c r="J650" s="295"/>
    </row>
    <row r="651">
      <c r="J651" s="295"/>
    </row>
    <row r="652">
      <c r="J652" s="295"/>
    </row>
    <row r="653">
      <c r="J653" s="295"/>
    </row>
    <row r="654">
      <c r="J654" s="295"/>
    </row>
    <row r="655">
      <c r="J655" s="295"/>
    </row>
    <row r="656">
      <c r="J656" s="295"/>
    </row>
    <row r="657">
      <c r="J657" s="295"/>
    </row>
    <row r="658">
      <c r="J658" s="295"/>
    </row>
    <row r="659">
      <c r="J659" s="295"/>
    </row>
    <row r="660">
      <c r="J660" s="295"/>
    </row>
    <row r="661">
      <c r="J661" s="295"/>
    </row>
    <row r="662">
      <c r="J662" s="295"/>
    </row>
    <row r="663">
      <c r="J663" s="295"/>
    </row>
    <row r="664">
      <c r="J664" s="295"/>
    </row>
    <row r="665">
      <c r="J665" s="295"/>
    </row>
    <row r="666">
      <c r="J666" s="295"/>
    </row>
    <row r="667">
      <c r="J667" s="295"/>
    </row>
    <row r="668">
      <c r="J668" s="295"/>
    </row>
    <row r="669">
      <c r="J669" s="295"/>
    </row>
    <row r="670">
      <c r="J670" s="295"/>
    </row>
    <row r="671">
      <c r="J671" s="295"/>
    </row>
    <row r="672">
      <c r="J672" s="295"/>
    </row>
    <row r="673">
      <c r="J673" s="295"/>
    </row>
    <row r="674">
      <c r="J674" s="295"/>
    </row>
    <row r="675">
      <c r="J675" s="295"/>
    </row>
    <row r="676">
      <c r="J676" s="295"/>
    </row>
    <row r="677">
      <c r="J677" s="295"/>
    </row>
    <row r="678">
      <c r="J678" s="295"/>
    </row>
    <row r="679">
      <c r="J679" s="295"/>
    </row>
    <row r="680">
      <c r="J680" s="295"/>
    </row>
    <row r="681">
      <c r="J681" s="295"/>
    </row>
    <row r="682">
      <c r="J682" s="295"/>
    </row>
    <row r="683">
      <c r="J683" s="295"/>
    </row>
    <row r="684">
      <c r="J684" s="295"/>
    </row>
    <row r="685">
      <c r="J685" s="295"/>
    </row>
    <row r="686">
      <c r="J686" s="295"/>
    </row>
    <row r="687">
      <c r="J687" s="295"/>
    </row>
    <row r="688">
      <c r="J688" s="295"/>
    </row>
    <row r="689">
      <c r="J689" s="295"/>
    </row>
    <row r="690">
      <c r="J690" s="295"/>
    </row>
    <row r="691">
      <c r="J691" s="295"/>
    </row>
    <row r="692">
      <c r="J692" s="295"/>
    </row>
    <row r="693">
      <c r="J693" s="295"/>
    </row>
    <row r="694">
      <c r="J694" s="295"/>
    </row>
    <row r="695">
      <c r="J695" s="295"/>
    </row>
    <row r="696">
      <c r="J696" s="295"/>
    </row>
    <row r="697">
      <c r="J697" s="295"/>
    </row>
    <row r="698">
      <c r="J698" s="295"/>
    </row>
    <row r="699">
      <c r="J699" s="295"/>
    </row>
    <row r="700">
      <c r="J700" s="295"/>
    </row>
    <row r="701">
      <c r="J701" s="295"/>
    </row>
    <row r="702">
      <c r="J702" s="295"/>
    </row>
    <row r="703">
      <c r="J703" s="295"/>
    </row>
    <row r="704">
      <c r="J704" s="295"/>
    </row>
    <row r="705">
      <c r="J705" s="295"/>
    </row>
    <row r="706">
      <c r="J706" s="295"/>
    </row>
    <row r="707">
      <c r="J707" s="295"/>
    </row>
    <row r="708">
      <c r="J708" s="295"/>
    </row>
    <row r="709">
      <c r="J709" s="295"/>
    </row>
    <row r="710">
      <c r="J710" s="295"/>
    </row>
    <row r="711">
      <c r="J711" s="295"/>
    </row>
    <row r="712">
      <c r="J712" s="295"/>
    </row>
    <row r="713">
      <c r="J713" s="295"/>
    </row>
    <row r="714">
      <c r="J714" s="295"/>
    </row>
    <row r="715">
      <c r="J715" s="295"/>
    </row>
    <row r="716">
      <c r="J716" s="295"/>
    </row>
    <row r="717">
      <c r="J717" s="295"/>
    </row>
    <row r="718">
      <c r="J718" s="295"/>
    </row>
    <row r="719">
      <c r="J719" s="295"/>
    </row>
    <row r="720">
      <c r="J720" s="295"/>
    </row>
    <row r="721">
      <c r="J721" s="295"/>
    </row>
    <row r="722">
      <c r="J722" s="295"/>
    </row>
    <row r="723">
      <c r="J723" s="295"/>
    </row>
    <row r="724">
      <c r="J724" s="295"/>
    </row>
    <row r="725">
      <c r="J725" s="295"/>
    </row>
    <row r="726">
      <c r="J726" s="295"/>
    </row>
    <row r="727">
      <c r="J727" s="295"/>
    </row>
    <row r="728">
      <c r="J728" s="295"/>
    </row>
    <row r="729">
      <c r="J729" s="295"/>
    </row>
    <row r="730">
      <c r="J730" s="295"/>
    </row>
    <row r="731">
      <c r="J731" s="295"/>
    </row>
    <row r="732">
      <c r="J732" s="295"/>
    </row>
    <row r="733">
      <c r="J733" s="295"/>
    </row>
    <row r="734">
      <c r="J734" s="295"/>
    </row>
    <row r="735">
      <c r="J735" s="295"/>
    </row>
    <row r="736">
      <c r="J736" s="295"/>
    </row>
    <row r="737">
      <c r="J737" s="295"/>
    </row>
    <row r="738">
      <c r="J738" s="295"/>
    </row>
    <row r="739">
      <c r="J739" s="295"/>
    </row>
    <row r="740">
      <c r="J740" s="295"/>
    </row>
    <row r="741">
      <c r="J741" s="295"/>
    </row>
    <row r="742">
      <c r="J742" s="295"/>
    </row>
    <row r="743">
      <c r="J743" s="295"/>
    </row>
    <row r="744">
      <c r="J744" s="295"/>
    </row>
    <row r="745">
      <c r="J745" s="295"/>
    </row>
    <row r="746">
      <c r="J746" s="295"/>
    </row>
    <row r="747">
      <c r="J747" s="295"/>
    </row>
    <row r="748">
      <c r="J748" s="295"/>
    </row>
    <row r="749">
      <c r="J749" s="295"/>
    </row>
    <row r="750">
      <c r="J750" s="295"/>
    </row>
    <row r="751">
      <c r="J751" s="295"/>
    </row>
    <row r="752">
      <c r="J752" s="295"/>
    </row>
    <row r="753">
      <c r="J753" s="295"/>
    </row>
    <row r="754">
      <c r="J754" s="295"/>
    </row>
    <row r="755">
      <c r="J755" s="295"/>
    </row>
    <row r="756">
      <c r="J756" s="295"/>
    </row>
    <row r="757">
      <c r="J757" s="295"/>
    </row>
    <row r="758">
      <c r="J758" s="295"/>
    </row>
    <row r="759">
      <c r="J759" s="295"/>
    </row>
    <row r="760">
      <c r="J760" s="295"/>
    </row>
    <row r="761">
      <c r="J761" s="295"/>
    </row>
    <row r="762">
      <c r="J762" s="295"/>
    </row>
    <row r="763">
      <c r="J763" s="295"/>
    </row>
    <row r="764">
      <c r="J764" s="295"/>
    </row>
    <row r="765">
      <c r="J765" s="295"/>
    </row>
    <row r="766">
      <c r="J766" s="295"/>
    </row>
    <row r="767">
      <c r="J767" s="295"/>
    </row>
    <row r="768">
      <c r="J768" s="295"/>
    </row>
    <row r="769">
      <c r="J769" s="295"/>
    </row>
    <row r="770">
      <c r="J770" s="295"/>
    </row>
    <row r="771">
      <c r="J771" s="295"/>
    </row>
    <row r="772">
      <c r="J772" s="295"/>
    </row>
    <row r="773">
      <c r="J773" s="295"/>
    </row>
    <row r="774">
      <c r="J774" s="295"/>
    </row>
    <row r="775">
      <c r="J775" s="295"/>
    </row>
    <row r="776">
      <c r="J776" s="295"/>
    </row>
    <row r="777">
      <c r="J777" s="295"/>
    </row>
    <row r="778">
      <c r="J778" s="295"/>
    </row>
    <row r="779">
      <c r="J779" s="295"/>
    </row>
    <row r="780">
      <c r="J780" s="295"/>
    </row>
    <row r="781">
      <c r="J781" s="295"/>
    </row>
    <row r="782">
      <c r="J782" s="295"/>
    </row>
    <row r="783">
      <c r="J783" s="295"/>
    </row>
    <row r="784">
      <c r="J784" s="295"/>
    </row>
    <row r="785">
      <c r="J785" s="295"/>
    </row>
    <row r="786">
      <c r="J786" s="295"/>
    </row>
    <row r="787">
      <c r="J787" s="295"/>
    </row>
    <row r="788">
      <c r="J788" s="295"/>
    </row>
    <row r="789">
      <c r="J789" s="295"/>
    </row>
    <row r="790">
      <c r="J790" s="295"/>
    </row>
    <row r="791">
      <c r="J791" s="295"/>
    </row>
    <row r="792">
      <c r="J792" s="295"/>
    </row>
    <row r="793">
      <c r="J793" s="295"/>
    </row>
    <row r="794">
      <c r="J794" s="295"/>
    </row>
    <row r="795">
      <c r="J795" s="295"/>
    </row>
    <row r="796">
      <c r="J796" s="295"/>
    </row>
    <row r="797">
      <c r="J797" s="295"/>
    </row>
    <row r="798">
      <c r="J798" s="295"/>
    </row>
    <row r="799">
      <c r="J799" s="295"/>
    </row>
    <row r="800">
      <c r="J800" s="295"/>
    </row>
    <row r="801">
      <c r="J801" s="295"/>
    </row>
    <row r="802">
      <c r="J802" s="295"/>
    </row>
    <row r="803">
      <c r="J803" s="295"/>
    </row>
    <row r="804">
      <c r="J804" s="295"/>
    </row>
    <row r="805">
      <c r="J805" s="295"/>
    </row>
    <row r="806">
      <c r="J806" s="295"/>
    </row>
    <row r="807">
      <c r="J807" s="295"/>
    </row>
    <row r="808">
      <c r="J808" s="295"/>
    </row>
    <row r="809">
      <c r="J809" s="295"/>
    </row>
    <row r="810">
      <c r="J810" s="295"/>
    </row>
    <row r="811">
      <c r="J811" s="295"/>
    </row>
    <row r="812">
      <c r="J812" s="295"/>
    </row>
    <row r="813">
      <c r="J813" s="295"/>
    </row>
    <row r="814">
      <c r="J814" s="295"/>
    </row>
    <row r="815">
      <c r="J815" s="295"/>
    </row>
    <row r="816">
      <c r="J816" s="295"/>
    </row>
    <row r="817">
      <c r="J817" s="295"/>
    </row>
    <row r="818">
      <c r="J818" s="295"/>
    </row>
    <row r="819">
      <c r="J819" s="295"/>
    </row>
    <row r="820">
      <c r="J820" s="295"/>
    </row>
    <row r="821">
      <c r="J821" s="295"/>
    </row>
    <row r="822">
      <c r="J822" s="295"/>
    </row>
    <row r="823">
      <c r="J823" s="295"/>
    </row>
    <row r="824">
      <c r="J824" s="295"/>
    </row>
    <row r="825">
      <c r="J825" s="295"/>
    </row>
    <row r="826">
      <c r="J826" s="295"/>
    </row>
    <row r="827">
      <c r="J827" s="295"/>
    </row>
    <row r="828">
      <c r="J828" s="295"/>
    </row>
    <row r="829">
      <c r="J829" s="295"/>
    </row>
    <row r="830">
      <c r="J830" s="295"/>
    </row>
    <row r="831">
      <c r="J831" s="295"/>
    </row>
    <row r="832">
      <c r="J832" s="295"/>
    </row>
    <row r="833">
      <c r="J833" s="295"/>
    </row>
    <row r="834">
      <c r="J834" s="295"/>
    </row>
    <row r="835">
      <c r="J835" s="295"/>
    </row>
    <row r="836">
      <c r="J836" s="295"/>
    </row>
    <row r="837">
      <c r="J837" s="295"/>
    </row>
    <row r="838">
      <c r="J838" s="295"/>
    </row>
    <row r="839">
      <c r="J839" s="295"/>
    </row>
    <row r="840">
      <c r="J840" s="295"/>
    </row>
    <row r="841">
      <c r="J841" s="295"/>
    </row>
    <row r="842">
      <c r="J842" s="295"/>
    </row>
    <row r="843">
      <c r="J843" s="295"/>
    </row>
    <row r="844">
      <c r="J844" s="295"/>
    </row>
    <row r="845">
      <c r="J845" s="295"/>
    </row>
    <row r="846">
      <c r="J846" s="295"/>
    </row>
    <row r="847">
      <c r="J847" s="295"/>
    </row>
    <row r="848">
      <c r="J848" s="295"/>
    </row>
    <row r="849">
      <c r="J849" s="295"/>
    </row>
    <row r="850">
      <c r="J850" s="295"/>
    </row>
    <row r="851">
      <c r="J851" s="295"/>
    </row>
    <row r="852">
      <c r="J852" s="295"/>
    </row>
    <row r="853">
      <c r="J853" s="295"/>
    </row>
    <row r="854">
      <c r="J854" s="295"/>
    </row>
    <row r="855">
      <c r="J855" s="295"/>
    </row>
    <row r="856">
      <c r="J856" s="295"/>
    </row>
    <row r="857">
      <c r="J857" s="295"/>
    </row>
    <row r="858">
      <c r="J858" s="295"/>
    </row>
    <row r="859">
      <c r="J859" s="295"/>
    </row>
    <row r="860">
      <c r="J860" s="295"/>
    </row>
    <row r="861">
      <c r="J861" s="295"/>
    </row>
    <row r="862">
      <c r="J862" s="295"/>
    </row>
    <row r="863">
      <c r="J863" s="295"/>
    </row>
    <row r="864">
      <c r="J864" s="295"/>
    </row>
    <row r="865">
      <c r="J865" s="295"/>
    </row>
    <row r="866">
      <c r="J866" s="295"/>
    </row>
    <row r="867">
      <c r="J867" s="295"/>
    </row>
    <row r="868">
      <c r="J868" s="295"/>
    </row>
    <row r="869">
      <c r="J869" s="295"/>
    </row>
    <row r="870">
      <c r="J870" s="295"/>
    </row>
    <row r="871">
      <c r="J871" s="295"/>
    </row>
    <row r="872">
      <c r="J872" s="295"/>
    </row>
    <row r="873">
      <c r="J873" s="295"/>
    </row>
    <row r="874">
      <c r="J874" s="295"/>
    </row>
    <row r="875">
      <c r="J875" s="295"/>
    </row>
    <row r="876">
      <c r="J876" s="295"/>
    </row>
    <row r="877">
      <c r="J877" s="295"/>
    </row>
    <row r="878">
      <c r="J878" s="295"/>
    </row>
    <row r="879">
      <c r="J879" s="295"/>
    </row>
    <row r="880">
      <c r="J880" s="295"/>
    </row>
    <row r="881">
      <c r="J881" s="295"/>
    </row>
    <row r="882">
      <c r="J882" s="295"/>
    </row>
    <row r="883">
      <c r="J883" s="295"/>
    </row>
    <row r="884">
      <c r="J884" s="295"/>
    </row>
    <row r="885">
      <c r="J885" s="295"/>
    </row>
    <row r="886">
      <c r="J886" s="295"/>
    </row>
    <row r="887">
      <c r="J887" s="295"/>
    </row>
    <row r="888">
      <c r="J888" s="295"/>
    </row>
    <row r="889">
      <c r="J889" s="295"/>
    </row>
    <row r="890">
      <c r="J890" s="295"/>
    </row>
    <row r="891">
      <c r="J891" s="295"/>
    </row>
    <row r="892">
      <c r="J892" s="295"/>
    </row>
    <row r="893">
      <c r="J893" s="295"/>
    </row>
    <row r="894">
      <c r="J894" s="295"/>
    </row>
    <row r="895">
      <c r="J895" s="295"/>
    </row>
    <row r="896">
      <c r="J896" s="295"/>
    </row>
    <row r="897">
      <c r="J897" s="295"/>
    </row>
    <row r="898">
      <c r="J898" s="295"/>
    </row>
    <row r="899">
      <c r="J899" s="295"/>
    </row>
    <row r="900">
      <c r="J900" s="295"/>
    </row>
    <row r="901">
      <c r="J901" s="295"/>
    </row>
    <row r="902">
      <c r="J902" s="295"/>
    </row>
    <row r="903">
      <c r="J903" s="295"/>
    </row>
    <row r="904">
      <c r="J904" s="295"/>
    </row>
    <row r="905">
      <c r="J905" s="295"/>
    </row>
    <row r="906">
      <c r="J906" s="295"/>
    </row>
    <row r="907">
      <c r="J907" s="295"/>
    </row>
    <row r="908">
      <c r="J908" s="295"/>
    </row>
    <row r="909">
      <c r="J909" s="295"/>
    </row>
    <row r="910">
      <c r="J910" s="295"/>
    </row>
    <row r="911">
      <c r="J911" s="295"/>
    </row>
    <row r="912">
      <c r="J912" s="295"/>
    </row>
    <row r="913">
      <c r="J913" s="295"/>
    </row>
    <row r="914">
      <c r="J914" s="295"/>
    </row>
    <row r="915">
      <c r="J915" s="295"/>
    </row>
    <row r="916">
      <c r="J916" s="295"/>
    </row>
    <row r="917">
      <c r="J917" s="295"/>
    </row>
    <row r="918">
      <c r="J918" s="295"/>
    </row>
    <row r="919">
      <c r="J919" s="295"/>
    </row>
    <row r="920">
      <c r="J920" s="295"/>
    </row>
    <row r="921">
      <c r="J921" s="295"/>
    </row>
    <row r="922">
      <c r="J922" s="295"/>
    </row>
    <row r="923">
      <c r="J923" s="295"/>
    </row>
    <row r="924">
      <c r="J924" s="295"/>
    </row>
    <row r="925">
      <c r="J925" s="295"/>
    </row>
    <row r="926">
      <c r="J926" s="295"/>
    </row>
    <row r="927">
      <c r="J927" s="295"/>
    </row>
    <row r="928">
      <c r="J928" s="295"/>
    </row>
    <row r="929">
      <c r="J929" s="295"/>
    </row>
    <row r="930">
      <c r="J930" s="295"/>
    </row>
    <row r="931">
      <c r="J931" s="295"/>
    </row>
    <row r="932">
      <c r="J932" s="295"/>
    </row>
    <row r="933">
      <c r="J933" s="295"/>
    </row>
    <row r="934">
      <c r="J934" s="295"/>
    </row>
    <row r="935">
      <c r="J935" s="295"/>
    </row>
    <row r="936">
      <c r="J936" s="295"/>
    </row>
    <row r="937">
      <c r="J937" s="295"/>
    </row>
    <row r="938">
      <c r="J938" s="295"/>
    </row>
    <row r="939">
      <c r="J939" s="295"/>
    </row>
    <row r="940">
      <c r="J940" s="295"/>
    </row>
    <row r="941">
      <c r="J941" s="295"/>
    </row>
    <row r="942">
      <c r="J942" s="295"/>
    </row>
    <row r="943">
      <c r="J943" s="295"/>
    </row>
    <row r="944">
      <c r="J944" s="295"/>
    </row>
    <row r="945">
      <c r="J945" s="295"/>
    </row>
    <row r="946">
      <c r="J946" s="295"/>
    </row>
    <row r="947">
      <c r="J947" s="295"/>
    </row>
    <row r="948">
      <c r="J948" s="295"/>
    </row>
    <row r="949">
      <c r="J949" s="295"/>
    </row>
    <row r="950">
      <c r="J950" s="295"/>
    </row>
    <row r="951">
      <c r="J951" s="295"/>
    </row>
    <row r="952">
      <c r="J952" s="295"/>
    </row>
    <row r="953">
      <c r="J953" s="295"/>
    </row>
    <row r="954">
      <c r="J954" s="295"/>
    </row>
    <row r="955">
      <c r="J955" s="295"/>
    </row>
    <row r="956">
      <c r="J956" s="295"/>
    </row>
    <row r="957">
      <c r="J957" s="295"/>
    </row>
    <row r="958">
      <c r="J958" s="295"/>
    </row>
    <row r="959">
      <c r="J959" s="295"/>
    </row>
    <row r="960">
      <c r="J960" s="295"/>
    </row>
    <row r="961">
      <c r="J961" s="295"/>
    </row>
    <row r="962">
      <c r="J962" s="295"/>
    </row>
    <row r="963">
      <c r="J963" s="295"/>
    </row>
    <row r="964">
      <c r="J964" s="295"/>
    </row>
    <row r="965">
      <c r="J965" s="295"/>
    </row>
    <row r="966">
      <c r="J966" s="295"/>
    </row>
    <row r="967">
      <c r="J967" s="295"/>
    </row>
    <row r="968">
      <c r="J968" s="295"/>
    </row>
    <row r="969">
      <c r="J969" s="295"/>
    </row>
    <row r="970">
      <c r="J970" s="295"/>
    </row>
    <row r="971">
      <c r="J971" s="295"/>
    </row>
    <row r="972">
      <c r="J972" s="295"/>
    </row>
    <row r="973">
      <c r="J973" s="295"/>
    </row>
    <row r="974">
      <c r="J974" s="295"/>
    </row>
    <row r="975">
      <c r="J975" s="295"/>
    </row>
    <row r="976">
      <c r="J976" s="295"/>
    </row>
    <row r="977">
      <c r="J977" s="295"/>
    </row>
    <row r="978">
      <c r="J978" s="295"/>
    </row>
    <row r="979">
      <c r="J979" s="295"/>
    </row>
    <row r="980">
      <c r="J980" s="295"/>
    </row>
    <row r="981">
      <c r="J981" s="295"/>
    </row>
    <row r="982">
      <c r="J982" s="295"/>
    </row>
    <row r="983">
      <c r="J983" s="295"/>
    </row>
    <row r="984">
      <c r="J984" s="295"/>
    </row>
    <row r="985">
      <c r="J985" s="295"/>
    </row>
    <row r="986">
      <c r="J986" s="295"/>
    </row>
    <row r="987">
      <c r="J987" s="295"/>
    </row>
    <row r="988">
      <c r="J988" s="295"/>
    </row>
    <row r="989">
      <c r="J989" s="295"/>
    </row>
    <row r="990">
      <c r="J990" s="295"/>
    </row>
    <row r="991">
      <c r="J991" s="295"/>
    </row>
    <row r="992">
      <c r="J992" s="295"/>
    </row>
    <row r="993">
      <c r="J993" s="295"/>
    </row>
    <row r="994">
      <c r="J994" s="295"/>
    </row>
    <row r="995">
      <c r="J995" s="295"/>
    </row>
    <row r="996">
      <c r="J996" s="295"/>
    </row>
    <row r="997">
      <c r="J997" s="295"/>
    </row>
    <row r="998">
      <c r="J998" s="295"/>
    </row>
    <row r="999">
      <c r="J999" s="295"/>
    </row>
    <row r="1000">
      <c r="J1000" s="295"/>
    </row>
    <row r="1001">
      <c r="J1001" s="295"/>
    </row>
    <row r="1002">
      <c r="J1002" s="295"/>
    </row>
    <row r="1003">
      <c r="J1003" s="295"/>
    </row>
    <row r="1004">
      <c r="J1004" s="295"/>
    </row>
    <row r="1005">
      <c r="J1005" s="295"/>
    </row>
    <row r="1006">
      <c r="J1006" s="295"/>
    </row>
    <row r="1007">
      <c r="J1007" s="295"/>
    </row>
    <row r="1008">
      <c r="J1008" s="295"/>
    </row>
    <row r="1009">
      <c r="J1009" s="295"/>
    </row>
    <row r="1010">
      <c r="J1010" s="295"/>
    </row>
    <row r="1011">
      <c r="J1011" s="295"/>
    </row>
    <row r="1012">
      <c r="J1012" s="295"/>
    </row>
    <row r="1013">
      <c r="J1013" s="295"/>
    </row>
    <row r="1014">
      <c r="J1014" s="295"/>
    </row>
    <row r="1015">
      <c r="J1015" s="295"/>
    </row>
    <row r="1016">
      <c r="J1016" s="295"/>
    </row>
    <row r="1017">
      <c r="J1017" s="295"/>
    </row>
    <row r="1018">
      <c r="J1018" s="295"/>
    </row>
    <row r="1019">
      <c r="J1019" s="295"/>
    </row>
    <row r="1020">
      <c r="J1020" s="295"/>
    </row>
    <row r="1021">
      <c r="J1021" s="295"/>
    </row>
    <row r="1022">
      <c r="J1022" s="295"/>
    </row>
    <row r="1023">
      <c r="J1023" s="295"/>
    </row>
    <row r="1024">
      <c r="J1024" s="295"/>
    </row>
    <row r="1025">
      <c r="J1025" s="295"/>
    </row>
    <row r="1026">
      <c r="J1026" s="295"/>
    </row>
    <row r="1027">
      <c r="J1027" s="295"/>
    </row>
    <row r="1028">
      <c r="J1028" s="295"/>
    </row>
    <row r="1029">
      <c r="J1029" s="295"/>
    </row>
    <row r="1030">
      <c r="J1030" s="295"/>
    </row>
    <row r="1031">
      <c r="J1031" s="295"/>
    </row>
    <row r="1032">
      <c r="J1032" s="295"/>
    </row>
    <row r="1033">
      <c r="J1033" s="295"/>
    </row>
    <row r="1034">
      <c r="J1034" s="295"/>
    </row>
    <row r="1035">
      <c r="J1035" s="295"/>
    </row>
    <row r="1036">
      <c r="J1036" s="295"/>
    </row>
    <row r="1037">
      <c r="J1037" s="295"/>
    </row>
    <row r="1038">
      <c r="J1038" s="295"/>
    </row>
    <row r="1039">
      <c r="J1039" s="295"/>
    </row>
    <row r="1040">
      <c r="J1040" s="295"/>
    </row>
    <row r="1041">
      <c r="J1041" s="295"/>
    </row>
    <row r="1042">
      <c r="J1042" s="295"/>
    </row>
    <row r="1043">
      <c r="J1043" s="295"/>
    </row>
    <row r="1044">
      <c r="J1044" s="295"/>
    </row>
    <row r="1045">
      <c r="J1045" s="295"/>
    </row>
    <row r="1046">
      <c r="J1046" s="295"/>
    </row>
    <row r="1047">
      <c r="J1047" s="295"/>
    </row>
    <row r="1048">
      <c r="J1048" s="295"/>
    </row>
    <row r="1049">
      <c r="J1049" s="295"/>
    </row>
    <row r="1050">
      <c r="J1050" s="295"/>
    </row>
    <row r="1051">
      <c r="J1051" s="295"/>
    </row>
    <row r="1052">
      <c r="J1052" s="295"/>
    </row>
    <row r="1053">
      <c r="J1053" s="295"/>
    </row>
    <row r="1054">
      <c r="J1054" s="295"/>
    </row>
    <row r="1055">
      <c r="J1055" s="295"/>
    </row>
    <row r="1056">
      <c r="J1056" s="295"/>
    </row>
    <row r="1057">
      <c r="J1057" s="295"/>
    </row>
    <row r="1058">
      <c r="J1058" s="295"/>
    </row>
    <row r="1059">
      <c r="J1059" s="295"/>
    </row>
    <row r="1060">
      <c r="J1060" s="295"/>
    </row>
    <row r="1061">
      <c r="J1061" s="295"/>
    </row>
    <row r="1062">
      <c r="J1062" s="295"/>
    </row>
    <row r="1063">
      <c r="J1063" s="295"/>
    </row>
    <row r="1064">
      <c r="J1064" s="295"/>
    </row>
    <row r="1065">
      <c r="J1065" s="295"/>
    </row>
    <row r="1066">
      <c r="J1066" s="295"/>
    </row>
  </sheetData>
  <autoFilter ref="$W$1:$W$1066"/>
  <conditionalFormatting sqref="C24:C26">
    <cfRule type="expression" dxfId="10" priority="1">
      <formula>(today()-#REF!)&lt;0</formula>
    </cfRule>
  </conditionalFormatting>
  <conditionalFormatting sqref="C24:C26">
    <cfRule type="expression" dxfId="7" priority="2">
      <formula>(today()-#REF!)&lt;180</formula>
    </cfRule>
  </conditionalFormatting>
  <conditionalFormatting sqref="C23">
    <cfRule type="expression" dxfId="10" priority="3">
      <formula>(today()-#REF!)&lt;0</formula>
    </cfRule>
  </conditionalFormatting>
  <conditionalFormatting sqref="C23">
    <cfRule type="expression" dxfId="7" priority="4">
      <formula>(today()-#REF!)&lt;180</formula>
    </cfRule>
  </conditionalFormatting>
  <conditionalFormatting sqref="D1 D3:D10">
    <cfRule type="cellIs" dxfId="0" priority="5" operator="between">
      <formula>50</formula>
      <formula>200</formula>
    </cfRule>
  </conditionalFormatting>
  <conditionalFormatting sqref="D1 D3:D10">
    <cfRule type="cellIs" dxfId="1" priority="6" operator="between">
      <formula>201</formula>
      <formula>400</formula>
    </cfRule>
  </conditionalFormatting>
  <conditionalFormatting sqref="D3:D10">
    <cfRule type="cellIs" dxfId="2" priority="7" operator="between">
      <formula>401</formula>
      <formula>650</formula>
    </cfRule>
  </conditionalFormatting>
  <conditionalFormatting sqref="D3:D10">
    <cfRule type="cellIs" dxfId="3" priority="8" operator="between">
      <formula>651</formula>
      <formula>900</formula>
    </cfRule>
  </conditionalFormatting>
  <conditionalFormatting sqref="D3:D10">
    <cfRule type="cellIs" dxfId="4" priority="9" operator="greaterThan">
      <formula>900</formula>
    </cfRule>
  </conditionalFormatting>
  <conditionalFormatting sqref="S3:S1061">
    <cfRule type="containsText" dxfId="5" priority="10" operator="containsText" text="yes">
      <formula>NOT(ISERROR(SEARCH(("yes"),(S3))))</formula>
    </cfRule>
  </conditionalFormatting>
  <conditionalFormatting sqref="H1:H1066">
    <cfRule type="colorScale" priority="11">
      <colorScale>
        <cfvo type="min"/>
        <cfvo type="formula" val="150"/>
        <color rgb="FFEAD1DC"/>
        <color rgb="FFA64D79"/>
      </colorScale>
    </cfRule>
  </conditionalFormatting>
  <conditionalFormatting sqref="F3:F21">
    <cfRule type="colorScale" priority="12">
      <colorScale>
        <cfvo type="formula" val="1.2"/>
        <cfvo type="formula" val="4"/>
        <color rgb="FF0B5394"/>
        <color rgb="FFFFFFFF"/>
      </colorScale>
    </cfRule>
  </conditionalFormatting>
  <conditionalFormatting sqref="G3:G74">
    <cfRule type="colorScale" priority="13">
      <colorScale>
        <cfvo type="formula" val="65"/>
        <cfvo type="formula" val="100"/>
        <color rgb="FFD9D2E9"/>
        <color rgb="FF674EA7"/>
      </colorScale>
    </cfRule>
  </conditionalFormatting>
  <conditionalFormatting sqref="F3:F74">
    <cfRule type="containsText" dxfId="6" priority="14" operator="containsText" text="1.2">
      <formula>NOT(ISERROR(SEARCH(("1.2"),(F3))))</formula>
    </cfRule>
  </conditionalFormatting>
  <conditionalFormatting sqref="F10">
    <cfRule type="notContainsBlanks" dxfId="7" priority="15">
      <formula>LEN(TRIM(F10))&gt;0</formula>
    </cfRule>
  </conditionalFormatting>
  <conditionalFormatting sqref="F3:F74">
    <cfRule type="containsText" dxfId="8" priority="16" operator="containsText" text="1.4">
      <formula>NOT(ISERROR(SEARCH(("1.4"),(F3))))</formula>
    </cfRule>
  </conditionalFormatting>
  <conditionalFormatting sqref="F3:F93">
    <cfRule type="containsText" dxfId="9" priority="17" operator="containsText" text="1.8">
      <formula>NOT(ISERROR(SEARCH(("1.8"),(F3))))</formula>
    </cfRule>
  </conditionalFormatting>
  <conditionalFormatting sqref="A3:B92 C3:C10 C12:C22 C27:C92">
    <cfRule type="expression" dxfId="10" priority="18">
      <formula>(today()-V3)&lt;0</formula>
    </cfRule>
  </conditionalFormatting>
  <conditionalFormatting sqref="A3:B92 C3:C10 C12:C22 C27:C92">
    <cfRule type="expression" dxfId="7" priority="19">
      <formula>(today()-V3)&lt;180</formula>
    </cfRule>
  </conditionalFormatting>
  <conditionalFormatting sqref="I3:I104">
    <cfRule type="cellIs" dxfId="10" priority="20" operator="equal">
      <formula>"MF"</formula>
    </cfRule>
  </conditionalFormatting>
  <conditionalFormatting sqref="K3:K104">
    <cfRule type="cellIs" dxfId="11" priority="21" operator="between">
      <formula>0.24</formula>
      <formula>0.45</formula>
    </cfRule>
  </conditionalFormatting>
  <conditionalFormatting sqref="K3:K104">
    <cfRule type="cellIs" dxfId="12" priority="22" operator="between">
      <formula>0.45</formula>
      <formula>0.99</formula>
    </cfRule>
  </conditionalFormatting>
  <conditionalFormatting sqref="K3:K104">
    <cfRule type="cellIs" dxfId="13" priority="23" operator="greaterThan">
      <formula>0.99</formula>
    </cfRule>
  </conditionalFormatting>
  <dataValidations>
    <dataValidation type="list" allowBlank="1" sqref="V3:V74">
      <formula1>"Sony,Voigtlander,Zeiss,Sigma,Samyang,Viltrox,Tokina,Tamron"</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14"/>
    <col customWidth="1" min="2" max="2" width="6.57"/>
    <col customWidth="1" min="3" max="3" width="8.14"/>
    <col customWidth="1" min="4" max="4" width="8.0"/>
    <col customWidth="1" min="5" max="6" width="7.29"/>
    <col customWidth="1" min="7" max="7" width="4.0"/>
    <col customWidth="1" min="8" max="8" width="7.14"/>
    <col customWidth="1" min="9" max="9" width="4.43"/>
    <col customWidth="1" min="10" max="10" width="7.57"/>
    <col customWidth="1" min="11" max="11" width="5.43"/>
    <col customWidth="1" min="12" max="12" width="5.0"/>
    <col customWidth="1" min="13" max="13" width="6.14"/>
    <col customWidth="1" min="14" max="14" width="13.29"/>
    <col customWidth="1" min="15" max="15" width="7.43"/>
    <col customWidth="1" min="16" max="17" width="7.71"/>
    <col customWidth="1" min="18" max="21" width="4.0"/>
  </cols>
  <sheetData>
    <row r="1" ht="76.5" customHeight="1">
      <c r="A1" s="1" t="s">
        <v>0</v>
      </c>
      <c r="B1" s="2" t="s">
        <v>1</v>
      </c>
      <c r="C1" s="3" t="s">
        <v>2</v>
      </c>
      <c r="D1" s="4" t="s">
        <v>3</v>
      </c>
      <c r="E1" s="5" t="s">
        <v>4</v>
      </c>
      <c r="F1" s="6" t="s">
        <v>5</v>
      </c>
      <c r="G1" s="7" t="s">
        <v>6</v>
      </c>
      <c r="H1" s="8" t="s">
        <v>7</v>
      </c>
      <c r="I1" s="3" t="s">
        <v>8</v>
      </c>
      <c r="J1" s="3" t="s">
        <v>9</v>
      </c>
      <c r="K1" s="5" t="s">
        <v>10</v>
      </c>
      <c r="L1" s="3" t="s">
        <v>11</v>
      </c>
      <c r="M1" s="3" t="s">
        <v>12</v>
      </c>
      <c r="N1" s="3" t="s">
        <v>13</v>
      </c>
      <c r="O1" s="3" t="s">
        <v>14</v>
      </c>
      <c r="P1" s="11" t="s">
        <v>15</v>
      </c>
      <c r="Q1" s="11" t="s">
        <v>308</v>
      </c>
      <c r="R1" s="13" t="s">
        <v>17</v>
      </c>
      <c r="S1" s="14" t="s">
        <v>18</v>
      </c>
      <c r="T1" s="13" t="s">
        <v>19</v>
      </c>
      <c r="U1" s="15" t="s">
        <v>20</v>
      </c>
      <c r="V1" s="16" t="s">
        <v>21</v>
      </c>
    </row>
    <row r="2" ht="18.0" customHeight="1">
      <c r="A2" s="17" t="s">
        <v>166</v>
      </c>
      <c r="B2" s="18"/>
      <c r="C2" s="18"/>
      <c r="D2" s="18"/>
      <c r="E2" s="18"/>
      <c r="F2" s="18"/>
      <c r="G2" s="19"/>
      <c r="H2" s="20"/>
      <c r="I2" s="18"/>
      <c r="J2" s="18"/>
      <c r="K2" s="19"/>
      <c r="L2" s="18"/>
      <c r="M2" s="19"/>
      <c r="N2" s="21"/>
      <c r="O2" s="19"/>
      <c r="P2" s="18"/>
      <c r="Q2" s="18"/>
      <c r="R2" s="18"/>
      <c r="S2" s="18"/>
      <c r="T2" s="18"/>
      <c r="U2" s="18"/>
    </row>
    <row r="3">
      <c r="A3" s="117" t="s">
        <v>325</v>
      </c>
      <c r="B3" s="23">
        <v>494.0</v>
      </c>
      <c r="C3" s="24">
        <v>16.0</v>
      </c>
      <c r="D3" s="25">
        <v>2.8</v>
      </c>
      <c r="E3" s="26">
        <v>73.0</v>
      </c>
      <c r="F3" s="27">
        <v>100.0</v>
      </c>
      <c r="G3" s="28" t="s">
        <v>30</v>
      </c>
      <c r="H3" s="29"/>
      <c r="I3" s="30"/>
      <c r="J3" s="31"/>
      <c r="K3" s="32"/>
      <c r="L3" s="30"/>
      <c r="M3" s="33"/>
      <c r="N3" s="30"/>
      <c r="O3" s="34"/>
      <c r="P3" s="35"/>
      <c r="Q3" s="35"/>
      <c r="R3" s="119"/>
      <c r="S3" s="119"/>
      <c r="T3" s="119"/>
      <c r="U3" s="119"/>
      <c r="V3" s="37"/>
    </row>
    <row r="4">
      <c r="A4" s="38"/>
      <c r="B4" s="39"/>
      <c r="C4" s="40"/>
      <c r="D4" s="41"/>
      <c r="E4" s="42"/>
      <c r="F4" s="43"/>
      <c r="G4" s="44"/>
      <c r="H4" s="45"/>
      <c r="I4" s="46"/>
      <c r="J4" s="47"/>
      <c r="K4" s="44"/>
      <c r="L4" s="46"/>
      <c r="M4" s="48"/>
      <c r="N4" s="46"/>
      <c r="O4" s="49"/>
      <c r="P4" s="50"/>
      <c r="Q4" s="50"/>
      <c r="R4" s="184"/>
      <c r="S4" s="184"/>
      <c r="T4" s="184"/>
      <c r="U4" s="184"/>
    </row>
    <row r="5">
      <c r="A5" s="117"/>
      <c r="B5" s="23"/>
      <c r="C5" s="24"/>
      <c r="D5" s="25"/>
      <c r="E5" s="69"/>
      <c r="F5" s="27"/>
      <c r="G5" s="32"/>
      <c r="H5" s="29"/>
      <c r="I5" s="30"/>
      <c r="J5" s="31"/>
      <c r="K5" s="32"/>
      <c r="L5" s="30"/>
      <c r="M5" s="33"/>
      <c r="N5" s="30"/>
      <c r="O5" s="34"/>
      <c r="P5" s="35"/>
      <c r="Q5" s="35"/>
      <c r="R5" s="70"/>
      <c r="S5" s="70"/>
      <c r="T5" s="70"/>
      <c r="U5" s="119"/>
      <c r="V5" s="37"/>
    </row>
    <row r="6">
      <c r="A6" s="38"/>
      <c r="B6" s="39"/>
      <c r="C6" s="40"/>
      <c r="D6" s="71"/>
      <c r="E6" s="72"/>
      <c r="F6" s="73"/>
      <c r="G6" s="46"/>
      <c r="H6" s="45"/>
      <c r="I6" s="46"/>
      <c r="J6" s="47"/>
      <c r="K6" s="44"/>
      <c r="L6" s="46"/>
      <c r="M6" s="74"/>
      <c r="N6" s="46"/>
      <c r="O6" s="49"/>
      <c r="P6" s="50"/>
      <c r="Q6" s="50"/>
      <c r="R6" s="184"/>
      <c r="S6" s="184"/>
      <c r="T6" s="184"/>
      <c r="U6" s="184"/>
    </row>
    <row r="7">
      <c r="A7" s="75"/>
      <c r="B7" s="76"/>
      <c r="C7" s="77"/>
      <c r="D7" s="78"/>
      <c r="E7" s="79"/>
      <c r="F7" s="80"/>
      <c r="G7" s="81"/>
      <c r="H7" s="82"/>
      <c r="I7" s="81"/>
      <c r="J7" s="83"/>
      <c r="K7" s="84"/>
      <c r="L7" s="81"/>
      <c r="M7" s="85"/>
      <c r="N7" s="81"/>
      <c r="O7" s="86"/>
      <c r="P7" s="87"/>
      <c r="Q7" s="87"/>
      <c r="R7" s="130"/>
      <c r="S7" s="130"/>
      <c r="T7" s="89"/>
      <c r="U7" s="130"/>
    </row>
    <row r="8">
      <c r="A8" s="90"/>
      <c r="B8" s="23"/>
      <c r="C8" s="24"/>
      <c r="D8" s="25"/>
      <c r="E8" s="91"/>
      <c r="F8" s="92"/>
      <c r="G8" s="30"/>
      <c r="H8" s="29"/>
      <c r="I8" s="30"/>
      <c r="J8" s="31"/>
      <c r="K8" s="32"/>
      <c r="L8" s="30"/>
      <c r="M8" s="93"/>
      <c r="N8" s="30"/>
      <c r="O8" s="34"/>
      <c r="P8" s="35"/>
      <c r="Q8" s="35"/>
      <c r="R8" s="119"/>
      <c r="S8" s="119"/>
      <c r="T8" s="119"/>
      <c r="U8" s="119"/>
      <c r="V8" s="94"/>
    </row>
    <row r="9">
      <c r="A9" s="693"/>
      <c r="B9" s="96"/>
      <c r="C9" s="97"/>
      <c r="D9" s="98"/>
      <c r="E9" s="99"/>
      <c r="F9" s="100"/>
      <c r="G9" s="101"/>
      <c r="H9" s="102"/>
      <c r="I9" s="103"/>
      <c r="J9" s="104"/>
      <c r="K9" s="101"/>
      <c r="L9" s="103"/>
      <c r="M9" s="105"/>
      <c r="N9" s="103"/>
      <c r="O9" s="106"/>
      <c r="P9" s="107"/>
      <c r="Q9" s="107"/>
      <c r="R9" s="269"/>
      <c r="S9" s="269"/>
      <c r="T9" s="269"/>
      <c r="U9" s="269"/>
      <c r="V9" s="94"/>
    </row>
    <row r="10">
      <c r="A10" s="183"/>
      <c r="B10" s="39"/>
      <c r="C10" s="40"/>
      <c r="D10" s="41"/>
      <c r="E10" s="42"/>
      <c r="F10" s="43"/>
      <c r="G10" s="44"/>
      <c r="H10" s="45"/>
      <c r="I10" s="46"/>
      <c r="J10" s="47"/>
      <c r="K10" s="110"/>
      <c r="L10" s="46"/>
      <c r="M10" s="111"/>
      <c r="N10" s="46"/>
      <c r="O10" s="49"/>
      <c r="P10" s="50"/>
      <c r="Q10" s="50"/>
      <c r="R10" s="184"/>
      <c r="S10" s="184"/>
      <c r="T10" s="184"/>
      <c r="U10" s="184"/>
    </row>
    <row r="11">
      <c r="A11" s="90"/>
      <c r="B11" s="23"/>
      <c r="C11" s="24"/>
      <c r="D11" s="25"/>
      <c r="E11" s="91"/>
      <c r="F11" s="92"/>
      <c r="G11" s="32"/>
      <c r="H11" s="29"/>
      <c r="I11" s="30"/>
      <c r="J11" s="31"/>
      <c r="K11" s="32"/>
      <c r="L11" s="30"/>
      <c r="M11" s="112"/>
      <c r="N11" s="30"/>
      <c r="O11" s="34"/>
      <c r="P11" s="35"/>
      <c r="Q11" s="35"/>
      <c r="R11" s="119"/>
      <c r="S11" s="119"/>
      <c r="T11" s="119"/>
      <c r="U11" s="119"/>
      <c r="V11" s="94"/>
    </row>
    <row r="12">
      <c r="A12" s="693" t="s">
        <v>326</v>
      </c>
      <c r="B12" s="96">
        <v>625.0</v>
      </c>
      <c r="C12" s="97">
        <v>70.0</v>
      </c>
      <c r="D12" s="98">
        <v>4.5</v>
      </c>
      <c r="E12" s="113">
        <v>77.0</v>
      </c>
      <c r="F12" s="114">
        <v>142.0</v>
      </c>
      <c r="G12" s="101"/>
      <c r="H12" s="102"/>
      <c r="I12" s="103"/>
      <c r="J12" s="104"/>
      <c r="K12" s="101"/>
      <c r="L12" s="103"/>
      <c r="M12" s="105"/>
      <c r="N12" s="103"/>
      <c r="O12" s="106"/>
      <c r="P12" s="115"/>
      <c r="Q12" s="107"/>
      <c r="R12" s="269"/>
      <c r="S12" s="269"/>
      <c r="T12" s="269"/>
      <c r="U12" s="269"/>
      <c r="V12" s="94"/>
      <c r="W12" s="116"/>
    </row>
    <row r="13">
      <c r="A13" s="183"/>
      <c r="B13" s="39"/>
      <c r="C13" s="40"/>
      <c r="D13" s="41"/>
      <c r="E13" s="42"/>
      <c r="F13" s="43"/>
      <c r="G13" s="44"/>
      <c r="H13" s="45"/>
      <c r="I13" s="46"/>
      <c r="J13" s="47"/>
      <c r="K13" s="44"/>
      <c r="L13" s="46"/>
      <c r="M13" s="111"/>
      <c r="N13" s="46"/>
      <c r="O13" s="49"/>
      <c r="P13" s="50"/>
      <c r="Q13" s="50"/>
      <c r="R13" s="184"/>
      <c r="S13" s="184"/>
      <c r="T13" s="184"/>
      <c r="U13" s="184"/>
    </row>
    <row r="14">
      <c r="A14" s="117"/>
      <c r="B14" s="23"/>
      <c r="C14" s="24"/>
      <c r="D14" s="25"/>
      <c r="E14" s="91"/>
      <c r="F14" s="92"/>
      <c r="G14" s="32"/>
      <c r="H14" s="29"/>
      <c r="I14" s="30"/>
      <c r="J14" s="31"/>
      <c r="K14" s="32"/>
      <c r="L14" s="30"/>
      <c r="M14" s="112"/>
      <c r="N14" s="30"/>
      <c r="O14" s="34"/>
      <c r="P14" s="35"/>
      <c r="Q14" s="35"/>
      <c r="R14" s="119"/>
      <c r="S14" s="119"/>
      <c r="T14" s="119"/>
      <c r="U14" s="119"/>
      <c r="V14" s="94"/>
    </row>
    <row r="15" customHeight="1">
      <c r="A15" s="38"/>
      <c r="B15" s="39"/>
      <c r="C15" s="40"/>
      <c r="D15" s="120"/>
      <c r="E15" s="42"/>
      <c r="F15" s="43"/>
      <c r="G15" s="46"/>
      <c r="H15" s="45"/>
      <c r="I15" s="46"/>
      <c r="J15" s="47"/>
      <c r="K15" s="44"/>
      <c r="L15" s="46"/>
      <c r="M15" s="74"/>
      <c r="N15" s="46"/>
      <c r="O15" s="49"/>
      <c r="P15" s="50"/>
      <c r="Q15" s="50"/>
      <c r="R15" s="184"/>
      <c r="S15" s="184"/>
      <c r="T15" s="184"/>
      <c r="U15" s="184"/>
    </row>
    <row r="16">
      <c r="A16" s="75"/>
      <c r="B16" s="76"/>
      <c r="C16" s="77"/>
      <c r="D16" s="121"/>
      <c r="E16" s="79"/>
      <c r="F16" s="122"/>
      <c r="G16" s="81"/>
      <c r="H16" s="82"/>
      <c r="I16" s="81"/>
      <c r="J16" s="83"/>
      <c r="K16" s="84"/>
      <c r="L16" s="81"/>
      <c r="M16" s="123"/>
      <c r="N16" s="81"/>
      <c r="O16" s="86"/>
      <c r="P16" s="87"/>
      <c r="Q16" s="87"/>
      <c r="R16" s="130"/>
      <c r="S16" s="130"/>
      <c r="T16" s="130"/>
      <c r="U16" s="130"/>
    </row>
    <row r="17">
      <c r="A17" s="124"/>
      <c r="B17" s="76"/>
      <c r="C17" s="77"/>
      <c r="D17" s="125"/>
      <c r="E17" s="132"/>
      <c r="F17" s="133"/>
      <c r="G17" s="84"/>
      <c r="H17" s="82"/>
      <c r="I17" s="81"/>
      <c r="J17" s="83"/>
      <c r="K17" s="84"/>
      <c r="L17" s="81"/>
      <c r="M17" s="128"/>
      <c r="N17" s="81"/>
      <c r="O17" s="86"/>
      <c r="P17" s="129"/>
      <c r="Q17" s="129"/>
      <c r="R17" s="130"/>
      <c r="S17" s="130"/>
      <c r="T17" s="130"/>
      <c r="U17" s="130"/>
    </row>
    <row r="18">
      <c r="A18" s="90"/>
      <c r="B18" s="23"/>
      <c r="C18" s="24"/>
      <c r="D18" s="134"/>
      <c r="E18" s="135"/>
      <c r="F18" s="136"/>
      <c r="G18" s="32"/>
      <c r="H18" s="29"/>
      <c r="I18" s="30"/>
      <c r="J18" s="31"/>
      <c r="K18" s="32"/>
      <c r="L18" s="30"/>
      <c r="M18" s="112"/>
      <c r="N18" s="30"/>
      <c r="O18" s="34"/>
      <c r="P18" s="35"/>
      <c r="Q18" s="35"/>
      <c r="R18" s="119"/>
      <c r="S18" s="119"/>
      <c r="T18" s="119"/>
      <c r="U18" s="119"/>
      <c r="V18" s="94"/>
    </row>
    <row r="19">
      <c r="A19" s="183"/>
      <c r="B19" s="39"/>
      <c r="C19" s="40"/>
      <c r="D19" s="143"/>
      <c r="E19" s="144"/>
      <c r="F19" s="145"/>
      <c r="G19" s="44"/>
      <c r="H19" s="45"/>
      <c r="I19" s="46"/>
      <c r="J19" s="47"/>
      <c r="K19" s="44"/>
      <c r="L19" s="46"/>
      <c r="M19" s="111"/>
      <c r="N19" s="46"/>
      <c r="O19" s="49"/>
      <c r="P19" s="50"/>
      <c r="Q19" s="50"/>
      <c r="R19" s="184"/>
      <c r="S19" s="184"/>
      <c r="T19" s="146"/>
      <c r="U19" s="184"/>
    </row>
    <row r="20">
      <c r="A20" s="124"/>
      <c r="B20" s="76"/>
      <c r="C20" s="77"/>
      <c r="D20" s="78"/>
      <c r="E20" s="144"/>
      <c r="F20" s="145"/>
      <c r="G20" s="84"/>
      <c r="H20" s="82"/>
      <c r="I20" s="81"/>
      <c r="J20" s="83"/>
      <c r="K20" s="84"/>
      <c r="L20" s="81"/>
      <c r="M20" s="128"/>
      <c r="N20" s="81"/>
      <c r="O20" s="86"/>
      <c r="P20" s="87"/>
      <c r="Q20" s="87"/>
      <c r="R20" s="130"/>
      <c r="S20" s="130"/>
      <c r="T20" s="130"/>
      <c r="U20" s="130"/>
    </row>
    <row r="21">
      <c r="A21" s="117"/>
      <c r="B21" s="23"/>
      <c r="C21" s="24"/>
      <c r="D21" s="25"/>
      <c r="E21" s="147"/>
      <c r="F21" s="136"/>
      <c r="G21" s="32"/>
      <c r="H21" s="29"/>
      <c r="I21" s="148"/>
      <c r="J21" s="31"/>
      <c r="K21" s="32"/>
      <c r="L21" s="30"/>
      <c r="M21" s="112"/>
      <c r="N21" s="30"/>
      <c r="O21" s="34"/>
      <c r="P21" s="35"/>
      <c r="Q21" s="35"/>
      <c r="R21" s="119"/>
      <c r="S21" s="119"/>
      <c r="T21" s="119"/>
      <c r="U21" s="119"/>
      <c r="V21" s="94"/>
    </row>
    <row r="22">
      <c r="A22" s="183"/>
      <c r="B22" s="39"/>
      <c r="C22" s="40"/>
      <c r="D22" s="143"/>
      <c r="E22" s="144"/>
      <c r="F22" s="145"/>
      <c r="G22" s="44"/>
      <c r="H22" s="45"/>
      <c r="I22" s="46"/>
      <c r="J22" s="47"/>
      <c r="K22" s="44"/>
      <c r="L22" s="46"/>
      <c r="M22" s="111"/>
      <c r="N22" s="46"/>
      <c r="O22" s="49"/>
      <c r="P22" s="50"/>
      <c r="Q22" s="50"/>
      <c r="R22" s="184"/>
      <c r="S22" s="184"/>
      <c r="T22" s="184"/>
      <c r="U22" s="184"/>
    </row>
    <row r="23">
      <c r="A23" s="75"/>
      <c r="B23" s="76"/>
      <c r="C23" s="77"/>
      <c r="D23" s="149"/>
      <c r="E23" s="144"/>
      <c r="F23" s="150"/>
      <c r="G23" s="81"/>
      <c r="H23" s="82"/>
      <c r="I23" s="81"/>
      <c r="J23" s="83"/>
      <c r="K23" s="84"/>
      <c r="L23" s="81"/>
      <c r="M23" s="123"/>
      <c r="N23" s="81"/>
      <c r="O23" s="86"/>
      <c r="P23" s="87"/>
      <c r="Q23" s="87"/>
      <c r="R23" s="130"/>
      <c r="S23" s="130"/>
      <c r="T23" s="130"/>
      <c r="U23" s="130"/>
    </row>
    <row r="24">
      <c r="A24" s="124"/>
      <c r="B24" s="76"/>
      <c r="C24" s="77"/>
      <c r="D24" s="78"/>
      <c r="E24" s="144"/>
      <c r="F24" s="151"/>
      <c r="G24" s="84"/>
      <c r="H24" s="82"/>
      <c r="I24" s="81"/>
      <c r="J24" s="83"/>
      <c r="K24" s="84"/>
      <c r="L24" s="81"/>
      <c r="M24" s="128"/>
      <c r="N24" s="81"/>
      <c r="O24" s="86"/>
      <c r="P24" s="129"/>
      <c r="Q24" s="129"/>
      <c r="R24" s="130"/>
      <c r="S24" s="130"/>
      <c r="T24" s="130"/>
      <c r="U24" s="130"/>
    </row>
    <row r="25">
      <c r="A25" s="137"/>
      <c r="B25" s="76"/>
      <c r="C25" s="77"/>
      <c r="D25" s="78"/>
      <c r="E25" s="144"/>
      <c r="F25" s="151"/>
      <c r="G25" s="84"/>
      <c r="H25" s="82"/>
      <c r="I25" s="140"/>
      <c r="J25" s="83"/>
      <c r="K25" s="84"/>
      <c r="L25" s="81"/>
      <c r="M25" s="128"/>
      <c r="N25" s="81"/>
      <c r="O25" s="86"/>
      <c r="P25" s="87"/>
      <c r="Q25" s="87"/>
      <c r="R25" s="130"/>
      <c r="S25" s="130"/>
      <c r="T25" s="130"/>
      <c r="U25" s="130"/>
    </row>
    <row r="26">
      <c r="A26" s="75"/>
      <c r="B26" s="76"/>
      <c r="C26" s="77"/>
      <c r="D26" s="78"/>
      <c r="E26" s="144"/>
      <c r="F26" s="151"/>
      <c r="G26" s="84"/>
      <c r="H26" s="82"/>
      <c r="I26" s="140"/>
      <c r="J26" s="83"/>
      <c r="K26" s="154"/>
      <c r="L26" s="81"/>
      <c r="M26" s="128"/>
      <c r="N26" s="81"/>
      <c r="O26" s="86"/>
      <c r="P26" s="87"/>
      <c r="Q26" s="87"/>
      <c r="R26" s="130"/>
      <c r="S26" s="130"/>
      <c r="T26" s="130"/>
      <c r="U26" s="130"/>
    </row>
    <row r="27">
      <c r="A27" s="75"/>
      <c r="B27" s="76"/>
      <c r="C27" s="77"/>
      <c r="D27" s="78"/>
      <c r="E27" s="144"/>
      <c r="F27" s="145"/>
      <c r="G27" s="84"/>
      <c r="H27" s="82"/>
      <c r="I27" s="140"/>
      <c r="J27" s="83"/>
      <c r="K27" s="154"/>
      <c r="L27" s="81"/>
      <c r="M27" s="128"/>
      <c r="N27" s="81"/>
      <c r="O27" s="86"/>
      <c r="P27" s="87"/>
      <c r="R27" s="130"/>
      <c r="S27" s="130"/>
      <c r="T27" s="130"/>
      <c r="U27" s="130"/>
    </row>
    <row r="28">
      <c r="A28" s="117"/>
      <c r="B28" s="23"/>
      <c r="C28" s="24"/>
      <c r="D28" s="25"/>
      <c r="E28" s="147"/>
      <c r="F28" s="155"/>
      <c r="G28" s="32"/>
      <c r="H28" s="29"/>
      <c r="I28" s="30"/>
      <c r="J28" s="31"/>
      <c r="K28" s="156"/>
      <c r="L28" s="30"/>
      <c r="M28" s="112"/>
      <c r="N28" s="30"/>
      <c r="O28" s="34"/>
      <c r="P28" s="35"/>
      <c r="Q28" s="35"/>
      <c r="R28" s="119"/>
      <c r="S28" s="119"/>
      <c r="T28" s="119"/>
      <c r="U28" s="119"/>
      <c r="V28" s="94"/>
    </row>
    <row r="29">
      <c r="A29" s="183"/>
      <c r="B29" s="39"/>
      <c r="C29" s="40"/>
      <c r="D29" s="41"/>
      <c r="E29" s="144"/>
      <c r="F29" s="145"/>
      <c r="G29" s="44"/>
      <c r="H29" s="45"/>
      <c r="I29" s="46"/>
      <c r="J29" s="47"/>
      <c r="K29" s="44"/>
      <c r="L29" s="46"/>
      <c r="M29" s="111"/>
      <c r="N29" s="46"/>
      <c r="O29" s="49"/>
      <c r="P29" s="50"/>
      <c r="Q29" s="50"/>
      <c r="R29" s="184"/>
      <c r="S29" s="184"/>
      <c r="T29" s="184"/>
      <c r="U29" s="184"/>
    </row>
    <row r="30">
      <c r="A30" s="117"/>
      <c r="B30" s="23"/>
      <c r="C30" s="24"/>
      <c r="D30" s="25"/>
      <c r="E30" s="147"/>
      <c r="F30" s="155"/>
      <c r="G30" s="32"/>
      <c r="H30" s="29"/>
      <c r="I30" s="30"/>
      <c r="J30" s="31"/>
      <c r="K30" s="32"/>
      <c r="L30" s="30"/>
      <c r="M30" s="112"/>
      <c r="N30" s="30"/>
      <c r="O30" s="34"/>
      <c r="P30" s="35"/>
      <c r="Q30" s="35"/>
      <c r="R30" s="119"/>
      <c r="S30" s="119"/>
      <c r="T30" s="119"/>
      <c r="U30" s="119"/>
      <c r="V30" s="94"/>
    </row>
    <row r="31">
      <c r="A31" s="38"/>
      <c r="B31" s="39"/>
      <c r="C31" s="40"/>
      <c r="D31" s="41"/>
      <c r="E31" s="144"/>
      <c r="F31" s="145"/>
      <c r="G31" s="44"/>
      <c r="H31" s="45"/>
      <c r="I31" s="46"/>
      <c r="J31" s="47"/>
      <c r="K31" s="44"/>
      <c r="L31" s="46"/>
      <c r="M31" s="111"/>
      <c r="N31" s="46"/>
      <c r="O31" s="49"/>
      <c r="P31" s="50"/>
      <c r="Q31" s="50"/>
      <c r="R31" s="184"/>
      <c r="S31" s="184"/>
      <c r="T31" s="184"/>
      <c r="U31" s="184"/>
    </row>
    <row r="32">
      <c r="A32" s="124"/>
      <c r="B32" s="76"/>
      <c r="C32" s="77"/>
      <c r="D32" s="78"/>
      <c r="E32" s="144"/>
      <c r="F32" s="145"/>
      <c r="G32" s="84"/>
      <c r="H32" s="82"/>
      <c r="I32" s="81"/>
      <c r="J32" s="83"/>
      <c r="K32" s="84"/>
      <c r="L32" s="81"/>
      <c r="M32" s="128"/>
      <c r="N32" s="81"/>
      <c r="O32" s="86"/>
      <c r="P32" s="153"/>
      <c r="Q32" s="153"/>
      <c r="R32" s="130"/>
      <c r="S32" s="130"/>
      <c r="T32" s="130"/>
      <c r="U32" s="130"/>
    </row>
    <row r="33">
      <c r="A33" s="124"/>
      <c r="B33" s="76"/>
      <c r="C33" s="77"/>
      <c r="D33" s="78"/>
      <c r="E33" s="144"/>
      <c r="F33" s="145"/>
      <c r="G33" s="84"/>
      <c r="H33" s="82"/>
      <c r="I33" s="140"/>
      <c r="J33" s="83"/>
      <c r="K33" s="84"/>
      <c r="L33" s="81"/>
      <c r="M33" s="128"/>
      <c r="N33" s="81"/>
      <c r="O33" s="86"/>
      <c r="P33" s="153"/>
      <c r="Q33" s="87"/>
      <c r="R33" s="130"/>
      <c r="S33" s="130"/>
      <c r="T33" s="130"/>
      <c r="U33" s="130"/>
    </row>
    <row r="34">
      <c r="A34" s="75"/>
      <c r="B34" s="76"/>
      <c r="C34" s="77"/>
      <c r="D34" s="78"/>
      <c r="E34" s="144"/>
      <c r="F34" s="145"/>
      <c r="G34" s="84"/>
      <c r="H34" s="82"/>
      <c r="I34" s="81"/>
      <c r="J34" s="83"/>
      <c r="K34" s="154"/>
      <c r="L34" s="81"/>
      <c r="M34" s="128"/>
      <c r="N34" s="81"/>
      <c r="O34" s="86"/>
      <c r="P34" s="87"/>
      <c r="Q34" s="87"/>
      <c r="R34" s="130"/>
      <c r="S34" s="130"/>
      <c r="T34" s="130"/>
      <c r="U34" s="130"/>
    </row>
    <row r="35">
      <c r="A35" s="90"/>
      <c r="B35" s="23"/>
      <c r="C35" s="24"/>
      <c r="D35" s="25"/>
      <c r="E35" s="147"/>
      <c r="F35" s="155"/>
      <c r="G35" s="32"/>
      <c r="H35" s="174"/>
      <c r="I35" s="148"/>
      <c r="J35" s="31"/>
      <c r="K35" s="156"/>
      <c r="L35" s="30"/>
      <c r="M35" s="112"/>
      <c r="N35" s="30"/>
      <c r="O35" s="34"/>
      <c r="P35" s="35"/>
      <c r="Q35" s="35"/>
      <c r="R35" s="119"/>
      <c r="S35" s="119"/>
      <c r="T35" s="119"/>
      <c r="U35" s="119"/>
      <c r="V35" s="37"/>
    </row>
    <row r="36" customHeight="1">
      <c r="A36" s="183"/>
      <c r="B36" s="39"/>
      <c r="C36" s="40"/>
      <c r="D36" s="181"/>
      <c r="E36" s="144"/>
      <c r="F36" s="145"/>
      <c r="G36" s="46"/>
      <c r="H36" s="182"/>
      <c r="I36" s="46"/>
      <c r="J36" s="47"/>
      <c r="K36" s="44"/>
      <c r="L36" s="46"/>
      <c r="M36" s="74"/>
      <c r="N36" s="46"/>
      <c r="O36" s="49"/>
      <c r="P36" s="50"/>
      <c r="Q36" s="50"/>
      <c r="R36" s="184"/>
      <c r="S36" s="184"/>
      <c r="T36" s="146"/>
      <c r="U36" s="184"/>
    </row>
    <row r="37">
      <c r="A37" s="124"/>
      <c r="B37" s="76"/>
      <c r="C37" s="77"/>
      <c r="D37" s="78"/>
      <c r="E37" s="144"/>
      <c r="F37" s="145"/>
      <c r="G37" s="81"/>
      <c r="H37" s="82"/>
      <c r="I37" s="81"/>
      <c r="J37" s="83"/>
      <c r="K37" s="84"/>
      <c r="L37" s="81"/>
      <c r="M37" s="123"/>
      <c r="N37" s="81"/>
      <c r="O37" s="86"/>
      <c r="P37" s="87"/>
      <c r="Q37" s="87"/>
      <c r="R37" s="130"/>
      <c r="S37" s="130"/>
      <c r="T37" s="130"/>
      <c r="U37" s="130"/>
    </row>
    <row r="38">
      <c r="A38" s="75"/>
      <c r="B38" s="76"/>
      <c r="C38" s="77"/>
      <c r="D38" s="78"/>
      <c r="E38" s="144"/>
      <c r="F38" s="151"/>
      <c r="G38" s="81"/>
      <c r="H38" s="82"/>
      <c r="I38" s="81"/>
      <c r="J38" s="83"/>
      <c r="K38" s="84"/>
      <c r="L38" s="81"/>
      <c r="M38" s="123"/>
      <c r="N38" s="81"/>
      <c r="O38" s="86"/>
      <c r="P38" s="87"/>
      <c r="Q38" s="87"/>
      <c r="R38" s="130"/>
      <c r="S38" s="130"/>
      <c r="T38" s="130"/>
      <c r="U38" s="130"/>
    </row>
    <row r="39">
      <c r="A39" s="124"/>
      <c r="B39" s="76"/>
      <c r="C39" s="77"/>
      <c r="D39" s="78"/>
      <c r="E39" s="144"/>
      <c r="F39" s="151"/>
      <c r="G39" s="81"/>
      <c r="H39" s="82"/>
      <c r="I39" s="81"/>
      <c r="J39" s="83"/>
      <c r="K39" s="84"/>
      <c r="L39" s="81"/>
      <c r="M39" s="123"/>
      <c r="N39" s="81"/>
      <c r="O39" s="86"/>
      <c r="P39" s="87"/>
      <c r="Q39" s="87"/>
      <c r="R39" s="130"/>
      <c r="S39" s="130"/>
      <c r="T39" s="130"/>
      <c r="U39" s="130"/>
    </row>
    <row r="40" customHeight="1">
      <c r="A40" s="124"/>
      <c r="B40" s="76"/>
      <c r="C40" s="77"/>
      <c r="D40" s="78"/>
      <c r="E40" s="144"/>
      <c r="F40" s="139"/>
      <c r="G40" s="81"/>
      <c r="H40" s="82"/>
      <c r="I40" s="81"/>
      <c r="J40" s="83"/>
      <c r="K40" s="84"/>
      <c r="L40" s="81"/>
      <c r="M40" s="123"/>
      <c r="N40" s="81"/>
      <c r="O40" s="86"/>
      <c r="P40" s="153"/>
      <c r="Q40" s="153"/>
      <c r="R40" s="130"/>
      <c r="S40" s="130"/>
      <c r="T40" s="130"/>
      <c r="U40" s="130"/>
    </row>
    <row r="41">
      <c r="A41" s="75"/>
      <c r="B41" s="76"/>
      <c r="C41" s="77"/>
      <c r="D41" s="78"/>
      <c r="E41" s="144"/>
      <c r="F41" s="151"/>
      <c r="G41" s="81"/>
      <c r="H41" s="82"/>
      <c r="I41" s="185"/>
      <c r="J41" s="83"/>
      <c r="K41" s="84"/>
      <c r="L41" s="81"/>
      <c r="M41" s="123"/>
      <c r="N41" s="81"/>
      <c r="O41" s="86"/>
      <c r="P41" s="87"/>
      <c r="Q41" s="87"/>
      <c r="R41" s="89"/>
      <c r="S41" s="130"/>
      <c r="T41" s="130"/>
      <c r="U41" s="130"/>
    </row>
    <row r="42">
      <c r="A42" s="124"/>
      <c r="B42" s="76"/>
      <c r="C42" s="77"/>
      <c r="D42" s="78"/>
      <c r="E42" s="144"/>
      <c r="F42" s="145"/>
      <c r="G42" s="81"/>
      <c r="H42" s="82"/>
      <c r="I42" s="81"/>
      <c r="J42" s="83"/>
      <c r="K42" s="84"/>
      <c r="L42" s="81"/>
      <c r="M42" s="123"/>
      <c r="N42" s="81"/>
      <c r="O42" s="86"/>
      <c r="P42" s="87"/>
      <c r="Q42" s="87"/>
      <c r="R42" s="130"/>
      <c r="S42" s="130"/>
      <c r="T42" s="89"/>
      <c r="U42" s="130"/>
    </row>
    <row r="43">
      <c r="A43" s="124"/>
      <c r="B43" s="76"/>
      <c r="C43" s="77"/>
      <c r="D43" s="78"/>
      <c r="E43" s="144"/>
      <c r="F43" s="145"/>
      <c r="G43" s="81"/>
      <c r="H43" s="82"/>
      <c r="I43" s="81"/>
      <c r="J43" s="83"/>
      <c r="K43" s="84"/>
      <c r="L43" s="81"/>
      <c r="M43" s="123"/>
      <c r="N43" s="81"/>
      <c r="O43" s="86"/>
      <c r="P43" s="87"/>
      <c r="Q43" s="87"/>
      <c r="R43" s="130"/>
      <c r="S43" s="130"/>
      <c r="T43" s="89"/>
      <c r="U43" s="130"/>
    </row>
    <row r="44">
      <c r="A44" s="90"/>
      <c r="B44" s="23"/>
      <c r="C44" s="24"/>
      <c r="D44" s="25"/>
      <c r="E44" s="147"/>
      <c r="F44" s="155"/>
      <c r="G44" s="30"/>
      <c r="H44" s="29"/>
      <c r="I44" s="30"/>
      <c r="J44" s="31"/>
      <c r="K44" s="32"/>
      <c r="L44" s="30"/>
      <c r="M44" s="93"/>
      <c r="N44" s="30"/>
      <c r="O44" s="34"/>
      <c r="P44" s="196"/>
      <c r="Q44" s="196"/>
      <c r="R44" s="119"/>
      <c r="S44" s="119"/>
      <c r="T44" s="70"/>
      <c r="U44" s="119"/>
      <c r="V44" s="94"/>
    </row>
    <row r="45">
      <c r="A45" s="183"/>
      <c r="B45" s="39"/>
      <c r="C45" s="40"/>
      <c r="D45" s="197"/>
      <c r="E45" s="144"/>
      <c r="F45" s="145"/>
      <c r="G45" s="46"/>
      <c r="H45" s="45"/>
      <c r="I45" s="46"/>
      <c r="J45" s="47"/>
      <c r="K45" s="44"/>
      <c r="L45" s="46"/>
      <c r="M45" s="74"/>
      <c r="N45" s="46"/>
      <c r="O45" s="49"/>
      <c r="P45" s="50"/>
      <c r="Q45" s="50"/>
      <c r="R45" s="184"/>
      <c r="S45" s="184"/>
      <c r="T45" s="146"/>
      <c r="U45" s="184"/>
    </row>
    <row r="46">
      <c r="A46" s="124"/>
      <c r="B46" s="76"/>
      <c r="C46" s="77"/>
      <c r="D46" s="78"/>
      <c r="E46" s="144"/>
      <c r="F46" s="151"/>
      <c r="G46" s="81"/>
      <c r="H46" s="198"/>
      <c r="I46" s="81"/>
      <c r="J46" s="83"/>
      <c r="K46" s="84"/>
      <c r="L46" s="81"/>
      <c r="M46" s="123"/>
      <c r="N46" s="81"/>
      <c r="O46" s="86"/>
      <c r="P46" s="87"/>
      <c r="Q46" s="87"/>
      <c r="R46" s="130"/>
      <c r="S46" s="130"/>
      <c r="T46" s="89"/>
      <c r="U46" s="130"/>
    </row>
    <row r="47">
      <c r="A47" s="117"/>
      <c r="B47" s="23"/>
      <c r="C47" s="24"/>
      <c r="D47" s="25"/>
      <c r="E47" s="147"/>
      <c r="F47" s="136"/>
      <c r="G47" s="30"/>
      <c r="H47" s="29"/>
      <c r="I47" s="199"/>
      <c r="J47" s="31"/>
      <c r="K47" s="32"/>
      <c r="L47" s="30"/>
      <c r="M47" s="93"/>
      <c r="N47" s="30"/>
      <c r="O47" s="34"/>
      <c r="P47" s="35"/>
      <c r="Q47" s="35"/>
      <c r="R47" s="119"/>
      <c r="S47" s="119"/>
      <c r="T47" s="70"/>
      <c r="U47" s="119"/>
      <c r="V47" s="37"/>
    </row>
    <row r="48">
      <c r="A48" s="38"/>
      <c r="B48" s="39"/>
      <c r="C48" s="40"/>
      <c r="D48" s="41"/>
      <c r="E48" s="144"/>
      <c r="F48" s="151"/>
      <c r="G48" s="46"/>
      <c r="H48" s="45"/>
      <c r="I48" s="46"/>
      <c r="J48" s="47"/>
      <c r="K48" s="44"/>
      <c r="L48" s="46"/>
      <c r="M48" s="74"/>
      <c r="N48" s="46"/>
      <c r="O48" s="49"/>
      <c r="P48" s="200"/>
      <c r="Q48" s="200"/>
      <c r="R48" s="184"/>
      <c r="S48" s="184"/>
      <c r="T48" s="146"/>
      <c r="U48" s="184"/>
    </row>
    <row r="49">
      <c r="A49" s="90"/>
      <c r="B49" s="23"/>
      <c r="C49" s="24"/>
      <c r="D49" s="25"/>
      <c r="E49" s="147"/>
      <c r="F49" s="155"/>
      <c r="G49" s="30"/>
      <c r="H49" s="29"/>
      <c r="I49" s="201"/>
      <c r="J49" s="31"/>
      <c r="K49" s="32"/>
      <c r="L49" s="30"/>
      <c r="M49" s="93"/>
      <c r="N49" s="30"/>
      <c r="O49" s="34"/>
      <c r="P49" s="35"/>
      <c r="Q49" s="35"/>
      <c r="R49" s="119"/>
      <c r="S49" s="119"/>
      <c r="T49" s="70"/>
      <c r="U49" s="119"/>
      <c r="V49" s="37"/>
    </row>
    <row r="50">
      <c r="A50" s="183"/>
      <c r="B50" s="39"/>
      <c r="C50" s="40"/>
      <c r="D50" s="197"/>
      <c r="E50" s="144"/>
      <c r="F50" s="145"/>
      <c r="G50" s="46"/>
      <c r="H50" s="45"/>
      <c r="I50" s="46"/>
      <c r="J50" s="47"/>
      <c r="K50" s="44"/>
      <c r="L50" s="46"/>
      <c r="M50" s="74"/>
      <c r="N50" s="46"/>
      <c r="O50" s="49"/>
      <c r="P50" s="50"/>
      <c r="Q50" s="50"/>
      <c r="R50" s="184"/>
      <c r="S50" s="184"/>
      <c r="T50" s="146"/>
      <c r="U50" s="184"/>
    </row>
    <row r="51">
      <c r="A51" s="75"/>
      <c r="B51" s="76"/>
      <c r="C51" s="77"/>
      <c r="D51" s="78"/>
      <c r="E51" s="144"/>
      <c r="F51" s="145"/>
      <c r="G51" s="81"/>
      <c r="H51" s="82"/>
      <c r="I51" s="81"/>
      <c r="J51" s="83"/>
      <c r="K51" s="84"/>
      <c r="L51" s="81"/>
      <c r="M51" s="123"/>
      <c r="N51" s="81"/>
      <c r="O51" s="86"/>
      <c r="P51" s="87"/>
      <c r="Q51" s="87"/>
      <c r="R51" s="130"/>
      <c r="S51" s="130"/>
      <c r="T51" s="89"/>
      <c r="U51" s="130"/>
    </row>
    <row r="52">
      <c r="A52" s="75"/>
      <c r="B52" s="76"/>
      <c r="C52" s="77"/>
      <c r="D52" s="78"/>
      <c r="E52" s="144"/>
      <c r="F52" s="150"/>
      <c r="G52" s="81"/>
      <c r="H52" s="82"/>
      <c r="I52" s="81"/>
      <c r="J52" s="83"/>
      <c r="K52" s="84"/>
      <c r="L52" s="81"/>
      <c r="M52" s="123"/>
      <c r="N52" s="81"/>
      <c r="O52" s="86"/>
      <c r="P52" s="87"/>
      <c r="Q52" s="87"/>
      <c r="R52" s="130"/>
      <c r="S52" s="130"/>
      <c r="T52" s="130"/>
      <c r="U52" s="130"/>
    </row>
    <row r="53">
      <c r="A53" s="75"/>
      <c r="B53" s="76"/>
      <c r="C53" s="77"/>
      <c r="D53" s="78"/>
      <c r="E53" s="144"/>
      <c r="F53" s="145"/>
      <c r="G53" s="81"/>
      <c r="H53" s="82"/>
      <c r="I53" s="81"/>
      <c r="J53" s="83"/>
      <c r="K53" s="84"/>
      <c r="L53" s="81"/>
      <c r="M53" s="123"/>
      <c r="N53" s="81"/>
      <c r="O53" s="86"/>
      <c r="P53" s="87"/>
      <c r="Q53" s="87"/>
      <c r="R53" s="130"/>
      <c r="S53" s="130"/>
      <c r="T53" s="89"/>
      <c r="U53" s="130"/>
    </row>
    <row r="54">
      <c r="A54" s="124"/>
      <c r="B54" s="76"/>
      <c r="C54" s="77"/>
      <c r="D54" s="78"/>
      <c r="E54" s="144"/>
      <c r="F54" s="145"/>
      <c r="G54" s="81"/>
      <c r="H54" s="82"/>
      <c r="I54" s="81"/>
      <c r="J54" s="83"/>
      <c r="K54" s="84"/>
      <c r="L54" s="81"/>
      <c r="M54" s="123"/>
      <c r="N54" s="81"/>
      <c r="O54" s="86"/>
      <c r="P54" s="153"/>
      <c r="Q54" s="153"/>
      <c r="R54" s="130"/>
      <c r="S54" s="130"/>
      <c r="T54" s="130"/>
      <c r="U54" s="130"/>
    </row>
    <row r="55">
      <c r="A55" s="124"/>
      <c r="B55" s="76"/>
      <c r="C55" s="77"/>
      <c r="D55" s="78"/>
      <c r="E55" s="144"/>
      <c r="F55" s="145"/>
      <c r="G55" s="81"/>
      <c r="H55" s="82"/>
      <c r="I55" s="81"/>
      <c r="J55" s="83"/>
      <c r="K55" s="84"/>
      <c r="L55" s="81"/>
      <c r="M55" s="123"/>
      <c r="N55" s="81"/>
      <c r="O55" s="86"/>
      <c r="P55" s="87"/>
      <c r="Q55" s="87"/>
      <c r="R55" s="130"/>
      <c r="S55" s="130"/>
      <c r="T55" s="130"/>
      <c r="U55" s="130"/>
    </row>
    <row r="56">
      <c r="A56" s="117"/>
      <c r="B56" s="23"/>
      <c r="C56" s="24"/>
      <c r="D56" s="25"/>
      <c r="E56" s="147"/>
      <c r="F56" s="155"/>
      <c r="G56" s="30"/>
      <c r="H56" s="29"/>
      <c r="I56" s="202"/>
      <c r="J56" s="31"/>
      <c r="K56" s="32"/>
      <c r="L56" s="30"/>
      <c r="M56" s="93"/>
      <c r="N56" s="30"/>
      <c r="O56" s="34"/>
      <c r="P56" s="203"/>
      <c r="Q56" s="203"/>
      <c r="R56" s="119"/>
      <c r="S56" s="119"/>
      <c r="T56" s="119"/>
      <c r="U56" s="119"/>
      <c r="V56" s="94"/>
    </row>
    <row r="57">
      <c r="A57" s="693"/>
      <c r="B57" s="96"/>
      <c r="C57" s="97"/>
      <c r="D57" s="98"/>
      <c r="E57" s="147"/>
      <c r="F57" s="155"/>
      <c r="G57" s="103"/>
      <c r="H57" s="102"/>
      <c r="I57" s="103"/>
      <c r="J57" s="104"/>
      <c r="K57" s="101"/>
      <c r="L57" s="103"/>
      <c r="M57" s="204"/>
      <c r="N57" s="103"/>
      <c r="O57" s="106"/>
      <c r="P57" s="107"/>
      <c r="Q57" s="107"/>
      <c r="R57" s="269"/>
      <c r="S57" s="269"/>
      <c r="T57" s="205"/>
      <c r="U57" s="269"/>
      <c r="V57" s="94"/>
    </row>
    <row r="58">
      <c r="A58" s="693"/>
      <c r="B58" s="96"/>
      <c r="C58" s="97"/>
      <c r="D58" s="98"/>
      <c r="E58" s="147"/>
      <c r="F58" s="155"/>
      <c r="G58" s="103"/>
      <c r="H58" s="102"/>
      <c r="I58" s="206"/>
      <c r="J58" s="104"/>
      <c r="K58" s="101"/>
      <c r="L58" s="103"/>
      <c r="M58" s="204"/>
      <c r="N58" s="103"/>
      <c r="O58" s="207"/>
      <c r="P58" s="107"/>
      <c r="Q58" s="107"/>
      <c r="R58" s="269"/>
      <c r="S58" s="269"/>
      <c r="T58" s="205"/>
      <c r="U58" s="269"/>
      <c r="V58" s="94"/>
    </row>
    <row r="59">
      <c r="A59" s="38"/>
      <c r="B59" s="39"/>
      <c r="C59" s="40"/>
      <c r="D59" s="41"/>
      <c r="E59" s="144"/>
      <c r="F59" s="150"/>
      <c r="G59" s="46"/>
      <c r="H59" s="45"/>
      <c r="I59" s="208"/>
      <c r="J59" s="47"/>
      <c r="K59" s="44"/>
      <c r="L59" s="46"/>
      <c r="M59" s="74"/>
      <c r="N59" s="46"/>
      <c r="O59" s="49"/>
      <c r="P59" s="209"/>
      <c r="Q59" s="209"/>
      <c r="R59" s="184"/>
      <c r="S59" s="184"/>
      <c r="T59" s="146"/>
      <c r="U59" s="184"/>
    </row>
    <row r="60">
      <c r="A60" s="75"/>
      <c r="B60" s="76"/>
      <c r="C60" s="77"/>
      <c r="D60" s="78"/>
      <c r="E60" s="144"/>
      <c r="F60" s="145"/>
      <c r="G60" s="81"/>
      <c r="H60" s="82"/>
      <c r="I60" s="185"/>
      <c r="J60" s="83"/>
      <c r="K60" s="154"/>
      <c r="L60" s="81"/>
      <c r="M60" s="85"/>
      <c r="N60" s="81"/>
      <c r="O60" s="86"/>
      <c r="P60" s="87"/>
      <c r="Q60" s="87"/>
      <c r="R60" s="130"/>
      <c r="S60" s="130"/>
      <c r="T60" s="89"/>
      <c r="U60" s="130"/>
    </row>
    <row r="61">
      <c r="A61" s="75"/>
      <c r="B61" s="76"/>
      <c r="C61" s="77"/>
      <c r="D61" s="78"/>
      <c r="E61" s="144"/>
      <c r="F61" s="145"/>
      <c r="G61" s="81"/>
      <c r="H61" s="82"/>
      <c r="I61" s="140"/>
      <c r="J61" s="83"/>
      <c r="K61" s="154"/>
      <c r="L61" s="81"/>
      <c r="M61" s="85"/>
      <c r="N61" s="81"/>
      <c r="O61" s="86"/>
      <c r="P61" s="87"/>
      <c r="Q61" s="87"/>
      <c r="R61" s="130"/>
      <c r="S61" s="130"/>
      <c r="T61" s="89"/>
      <c r="U61" s="130"/>
    </row>
    <row r="62">
      <c r="A62" s="117"/>
      <c r="B62" s="23"/>
      <c r="C62" s="24"/>
      <c r="D62" s="25"/>
      <c r="E62" s="147"/>
      <c r="F62" s="155"/>
      <c r="G62" s="30"/>
      <c r="H62" s="29"/>
      <c r="I62" s="30"/>
      <c r="J62" s="31"/>
      <c r="K62" s="156"/>
      <c r="L62" s="30"/>
      <c r="M62" s="228"/>
      <c r="N62" s="30"/>
      <c r="O62" s="34"/>
      <c r="P62" s="35"/>
      <c r="Q62" s="35"/>
      <c r="R62" s="119"/>
      <c r="S62" s="119"/>
      <c r="T62" s="119"/>
      <c r="U62" s="119"/>
      <c r="V62" s="94"/>
    </row>
    <row r="63">
      <c r="A63" s="183"/>
      <c r="B63" s="39"/>
      <c r="C63" s="40"/>
      <c r="D63" s="41"/>
      <c r="E63" s="144"/>
      <c r="F63" s="145"/>
      <c r="G63" s="46"/>
      <c r="H63" s="45"/>
      <c r="I63" s="46"/>
      <c r="J63" s="47"/>
      <c r="K63" s="44"/>
      <c r="L63" s="46"/>
      <c r="M63" s="74"/>
      <c r="N63" s="46"/>
      <c r="O63" s="49"/>
      <c r="P63" s="50"/>
      <c r="Q63" s="50"/>
      <c r="R63" s="184"/>
      <c r="S63" s="184"/>
      <c r="T63" s="146"/>
      <c r="U63" s="184"/>
    </row>
    <row r="64">
      <c r="A64" s="75"/>
      <c r="B64" s="76"/>
      <c r="C64" s="77"/>
      <c r="D64" s="78"/>
      <c r="E64" s="144"/>
      <c r="F64" s="145"/>
      <c r="G64" s="81"/>
      <c r="H64" s="232"/>
      <c r="I64" s="81"/>
      <c r="J64" s="83"/>
      <c r="K64" s="84"/>
      <c r="L64" s="81"/>
      <c r="M64" s="123"/>
      <c r="N64" s="81"/>
      <c r="O64" s="86"/>
      <c r="P64" s="87"/>
      <c r="Q64" s="87"/>
      <c r="R64" s="130"/>
      <c r="S64" s="130"/>
      <c r="T64" s="130"/>
      <c r="U64" s="130"/>
    </row>
    <row r="65">
      <c r="A65" s="75"/>
      <c r="B65" s="76"/>
      <c r="C65" s="77"/>
      <c r="D65" s="78"/>
      <c r="E65" s="144"/>
      <c r="F65" s="145"/>
      <c r="G65" s="81"/>
      <c r="H65" s="82"/>
      <c r="I65" s="81"/>
      <c r="J65" s="83"/>
      <c r="K65" s="84"/>
      <c r="L65" s="81"/>
      <c r="M65" s="123"/>
      <c r="N65" s="81"/>
      <c r="O65" s="86"/>
      <c r="P65" s="153"/>
      <c r="Q65" s="87"/>
      <c r="R65" s="130"/>
      <c r="S65" s="130"/>
      <c r="T65" s="89"/>
      <c r="U65" s="130"/>
    </row>
    <row r="66">
      <c r="A66" s="124"/>
      <c r="B66" s="76"/>
      <c r="C66" s="77"/>
      <c r="D66" s="78"/>
      <c r="E66" s="144"/>
      <c r="F66" s="145"/>
      <c r="G66" s="81"/>
      <c r="H66" s="82"/>
      <c r="I66" s="81"/>
      <c r="J66" s="83"/>
      <c r="K66" s="84"/>
      <c r="L66" s="81"/>
      <c r="M66" s="123"/>
      <c r="N66" s="81"/>
      <c r="O66" s="86"/>
      <c r="P66" s="153"/>
      <c r="Q66" s="153"/>
      <c r="R66" s="130"/>
      <c r="S66" s="130"/>
      <c r="T66" s="89"/>
      <c r="U66" s="130"/>
    </row>
    <row r="67">
      <c r="A67" s="124"/>
      <c r="B67" s="76"/>
      <c r="C67" s="77"/>
      <c r="D67" s="78"/>
      <c r="E67" s="144"/>
      <c r="F67" s="145"/>
      <c r="G67" s="81"/>
      <c r="H67" s="82"/>
      <c r="I67" s="81"/>
      <c r="J67" s="83"/>
      <c r="K67" s="154"/>
      <c r="L67" s="81"/>
      <c r="M67" s="123"/>
      <c r="N67" s="81"/>
      <c r="O67" s="86"/>
      <c r="P67" s="87"/>
      <c r="Q67" s="87"/>
      <c r="R67" s="130"/>
      <c r="S67" s="130"/>
      <c r="T67" s="89"/>
      <c r="U67" s="130"/>
    </row>
    <row r="68">
      <c r="A68" s="75"/>
      <c r="B68" s="76"/>
      <c r="C68" s="77"/>
      <c r="D68" s="78"/>
      <c r="E68" s="144"/>
      <c r="F68" s="145"/>
      <c r="G68" s="81"/>
      <c r="H68" s="82"/>
      <c r="I68" s="81"/>
      <c r="J68" s="83"/>
      <c r="K68" s="84"/>
      <c r="L68" s="81"/>
      <c r="M68" s="123"/>
      <c r="N68" s="81"/>
      <c r="O68" s="233"/>
      <c r="P68" s="87"/>
      <c r="Q68" s="87"/>
      <c r="R68" s="130"/>
      <c r="S68" s="130"/>
      <c r="T68" s="89"/>
      <c r="U68" s="130"/>
    </row>
    <row r="69">
      <c r="A69" s="75"/>
      <c r="B69" s="76"/>
      <c r="C69" s="77"/>
      <c r="D69" s="78"/>
      <c r="E69" s="144"/>
      <c r="F69" s="145"/>
      <c r="G69" s="81"/>
      <c r="H69" s="82"/>
      <c r="I69" s="81"/>
      <c r="J69" s="83"/>
      <c r="K69" s="84"/>
      <c r="L69" s="81"/>
      <c r="M69" s="123"/>
      <c r="N69" s="81"/>
      <c r="O69" s="86"/>
      <c r="P69" s="87"/>
      <c r="Q69" s="87"/>
      <c r="R69" s="130"/>
      <c r="S69" s="130"/>
      <c r="T69" s="89"/>
      <c r="U69" s="130"/>
    </row>
    <row r="70">
      <c r="A70" s="117"/>
      <c r="B70" s="23"/>
      <c r="C70" s="24"/>
      <c r="D70" s="25"/>
      <c r="E70" s="147"/>
      <c r="F70" s="155"/>
      <c r="G70" s="30"/>
      <c r="H70" s="29"/>
      <c r="I70" s="30"/>
      <c r="J70" s="31"/>
      <c r="K70" s="32"/>
      <c r="L70" s="30"/>
      <c r="M70" s="93"/>
      <c r="N70" s="30"/>
      <c r="O70" s="34"/>
      <c r="P70" s="35"/>
      <c r="Q70" s="35"/>
      <c r="R70" s="119"/>
      <c r="S70" s="119"/>
      <c r="T70" s="70"/>
      <c r="U70" s="119"/>
      <c r="V70" s="94"/>
    </row>
    <row r="71">
      <c r="A71" s="693"/>
      <c r="B71" s="96"/>
      <c r="C71" s="97"/>
      <c r="D71" s="98"/>
      <c r="E71" s="147"/>
      <c r="F71" s="155"/>
      <c r="G71" s="103"/>
      <c r="H71" s="102"/>
      <c r="I71" s="256"/>
      <c r="J71" s="104"/>
      <c r="K71" s="257"/>
      <c r="L71" s="103"/>
      <c r="M71" s="204"/>
      <c r="N71" s="103"/>
      <c r="O71" s="106"/>
      <c r="P71" s="107"/>
      <c r="Q71" s="107"/>
      <c r="R71" s="269"/>
      <c r="S71" s="269"/>
      <c r="T71" s="269"/>
      <c r="U71" s="269"/>
      <c r="V71" s="94"/>
    </row>
    <row r="72">
      <c r="A72" s="183"/>
      <c r="B72" s="39"/>
      <c r="C72" s="40"/>
      <c r="D72" s="41"/>
      <c r="E72" s="144"/>
      <c r="F72" s="145"/>
      <c r="G72" s="46"/>
      <c r="H72" s="45"/>
      <c r="I72" s="258"/>
      <c r="J72" s="47"/>
      <c r="K72" s="110"/>
      <c r="L72" s="46"/>
      <c r="M72" s="74"/>
      <c r="N72" s="46"/>
      <c r="O72" s="49"/>
      <c r="P72" s="50"/>
      <c r="Q72" s="50"/>
      <c r="R72" s="184"/>
      <c r="S72" s="184"/>
      <c r="T72" s="146"/>
      <c r="U72" s="184"/>
    </row>
    <row r="73">
      <c r="A73" s="124"/>
      <c r="B73" s="76"/>
      <c r="C73" s="77"/>
      <c r="D73" s="78"/>
      <c r="E73" s="144"/>
      <c r="F73" s="151"/>
      <c r="G73" s="81"/>
      <c r="H73" s="82"/>
      <c r="I73" s="259"/>
      <c r="J73" s="83"/>
      <c r="K73" s="84"/>
      <c r="L73" s="81"/>
      <c r="M73" s="123"/>
      <c r="N73" s="81"/>
      <c r="O73" s="86"/>
      <c r="P73" s="129"/>
      <c r="Q73" s="129"/>
      <c r="R73" s="130"/>
      <c r="S73" s="130"/>
      <c r="T73" s="130"/>
      <c r="U73" s="130"/>
    </row>
    <row r="74">
      <c r="A74" s="90"/>
      <c r="B74" s="23"/>
      <c r="C74" s="24"/>
      <c r="D74" s="25"/>
      <c r="E74" s="147"/>
      <c r="F74" s="136"/>
      <c r="G74" s="30"/>
      <c r="H74" s="29"/>
      <c r="I74" s="199"/>
      <c r="J74" s="31"/>
      <c r="K74" s="156"/>
      <c r="L74" s="30"/>
      <c r="M74" s="228"/>
      <c r="N74" s="30"/>
      <c r="O74" s="34"/>
      <c r="P74" s="35"/>
      <c r="Q74" s="35"/>
      <c r="R74" s="119"/>
      <c r="S74" s="119"/>
      <c r="T74" s="70"/>
      <c r="U74" s="119"/>
      <c r="V74" s="94"/>
    </row>
    <row r="75" customHeight="1">
      <c r="A75" s="265"/>
      <c r="B75" s="96"/>
      <c r="C75" s="97"/>
      <c r="D75" s="98"/>
      <c r="E75" s="147"/>
      <c r="F75" s="266"/>
      <c r="G75" s="103"/>
      <c r="H75" s="267"/>
      <c r="I75" s="103"/>
      <c r="J75" s="104"/>
      <c r="K75" s="101"/>
      <c r="L75" s="103"/>
      <c r="M75" s="204"/>
      <c r="N75" s="103"/>
      <c r="O75" s="106"/>
      <c r="P75" s="107"/>
      <c r="Q75" s="107"/>
      <c r="R75" s="269"/>
      <c r="S75" s="269"/>
      <c r="T75" s="269"/>
      <c r="U75" s="269"/>
      <c r="V75" s="37"/>
    </row>
    <row r="76">
      <c r="A76" s="693"/>
      <c r="B76" s="96"/>
      <c r="C76" s="97"/>
      <c r="D76" s="98"/>
      <c r="E76" s="147"/>
      <c r="F76" s="155"/>
      <c r="G76" s="103"/>
      <c r="H76" s="102"/>
      <c r="I76" s="256"/>
      <c r="J76" s="104"/>
      <c r="K76" s="101"/>
      <c r="L76" s="103"/>
      <c r="M76" s="204"/>
      <c r="N76" s="103"/>
      <c r="O76" s="106"/>
      <c r="P76" s="107"/>
      <c r="Q76" s="107"/>
      <c r="R76" s="269"/>
      <c r="S76" s="269"/>
      <c r="T76" s="205"/>
      <c r="U76" s="269"/>
      <c r="V76" s="94"/>
    </row>
    <row r="77">
      <c r="A77" s="183"/>
      <c r="B77" s="39"/>
      <c r="C77" s="40"/>
      <c r="D77" s="41"/>
      <c r="E77" s="144"/>
      <c r="F77" s="145"/>
      <c r="G77" s="46"/>
      <c r="H77" s="182"/>
      <c r="I77" s="258"/>
      <c r="J77" s="47"/>
      <c r="K77" s="44"/>
      <c r="L77" s="46"/>
      <c r="M77" s="74"/>
      <c r="N77" s="46"/>
      <c r="O77" s="49"/>
      <c r="P77" s="50"/>
      <c r="Q77" s="50"/>
      <c r="R77" s="184"/>
      <c r="S77" s="184"/>
      <c r="T77" s="184"/>
      <c r="U77" s="184"/>
    </row>
    <row r="78">
      <c r="A78" s="75"/>
      <c r="B78" s="76"/>
      <c r="C78" s="77"/>
      <c r="D78" s="78"/>
      <c r="E78" s="144"/>
      <c r="F78" s="150"/>
      <c r="G78" s="81"/>
      <c r="H78" s="270"/>
      <c r="I78" s="81"/>
      <c r="J78" s="83"/>
      <c r="K78" s="84"/>
      <c r="L78" s="81"/>
      <c r="M78" s="123"/>
      <c r="N78" s="81"/>
      <c r="O78" s="86"/>
      <c r="P78" s="129"/>
      <c r="Q78" s="129"/>
      <c r="R78" s="130"/>
      <c r="S78" s="130"/>
      <c r="T78" s="89"/>
      <c r="U78" s="130"/>
    </row>
    <row r="79">
      <c r="A79" s="117"/>
      <c r="B79" s="23"/>
      <c r="C79" s="24"/>
      <c r="D79" s="25"/>
      <c r="E79" s="147"/>
      <c r="F79" s="155"/>
      <c r="G79" s="30"/>
      <c r="H79" s="29"/>
      <c r="I79" s="30"/>
      <c r="J79" s="31"/>
      <c r="K79" s="156"/>
      <c r="L79" s="30"/>
      <c r="M79" s="93"/>
      <c r="N79" s="30"/>
      <c r="O79" s="34"/>
      <c r="P79" s="35"/>
      <c r="Q79" s="35"/>
      <c r="R79" s="119"/>
      <c r="S79" s="119"/>
      <c r="T79" s="70"/>
      <c r="U79" s="119"/>
      <c r="V79" s="94"/>
    </row>
    <row r="80">
      <c r="A80" s="265"/>
      <c r="B80" s="96"/>
      <c r="C80" s="97"/>
      <c r="D80" s="98"/>
      <c r="E80" s="147"/>
      <c r="F80" s="155"/>
      <c r="G80" s="103"/>
      <c r="H80" s="271"/>
      <c r="I80" s="103"/>
      <c r="J80" s="104"/>
      <c r="K80" s="257"/>
      <c r="L80" s="103"/>
      <c r="M80" s="272"/>
      <c r="N80" s="103"/>
      <c r="O80" s="106"/>
      <c r="P80" s="107"/>
      <c r="Q80" s="107"/>
      <c r="R80" s="205"/>
      <c r="S80" s="269"/>
      <c r="T80" s="205"/>
      <c r="U80" s="269"/>
      <c r="V80" s="94"/>
    </row>
    <row r="81">
      <c r="A81" s="265"/>
      <c r="B81" s="96"/>
      <c r="C81" s="97"/>
      <c r="D81" s="98"/>
      <c r="E81" s="147"/>
      <c r="F81" s="155"/>
      <c r="G81" s="103"/>
      <c r="H81" s="102"/>
      <c r="I81" s="103"/>
      <c r="J81" s="104"/>
      <c r="K81" s="257"/>
      <c r="L81" s="103"/>
      <c r="M81" s="272"/>
      <c r="N81" s="103"/>
      <c r="O81" s="106"/>
      <c r="P81" s="107"/>
      <c r="Q81" s="107"/>
      <c r="R81" s="205"/>
      <c r="S81" s="269"/>
      <c r="T81" s="205"/>
      <c r="U81" s="269"/>
      <c r="V81" s="94"/>
    </row>
    <row r="82">
      <c r="A82" s="53"/>
      <c r="B82" s="54"/>
      <c r="C82" s="55"/>
      <c r="D82" s="56"/>
      <c r="E82" s="144"/>
      <c r="F82" s="145"/>
      <c r="G82" s="61"/>
      <c r="H82" s="60"/>
      <c r="I82" s="61"/>
      <c r="J82" s="62"/>
      <c r="K82" s="110"/>
      <c r="L82" s="61"/>
      <c r="M82" s="274"/>
      <c r="N82" s="61"/>
      <c r="O82" s="64"/>
      <c r="P82" s="65"/>
      <c r="Q82" s="65"/>
      <c r="R82" s="146"/>
      <c r="S82" s="184"/>
      <c r="T82" s="146"/>
      <c r="U82" s="184"/>
    </row>
    <row r="83" hidden="1">
      <c r="A83" s="275"/>
      <c r="B83" s="276"/>
      <c r="C83" s="277"/>
      <c r="D83" s="278"/>
      <c r="E83" s="144"/>
      <c r="F83" s="145"/>
      <c r="G83" s="68"/>
      <c r="H83" s="279"/>
      <c r="I83" s="68"/>
      <c r="J83" s="280"/>
      <c r="K83" s="68"/>
      <c r="L83" s="68"/>
      <c r="M83" s="68"/>
      <c r="N83" s="68"/>
      <c r="O83" s="281"/>
      <c r="P83" s="282"/>
      <c r="Q83" s="282"/>
      <c r="R83" s="283"/>
      <c r="S83" s="283"/>
      <c r="T83" s="283"/>
      <c r="U83" s="283"/>
    </row>
    <row r="84" hidden="1">
      <c r="A84" s="275"/>
      <c r="B84" s="276"/>
      <c r="C84" s="277"/>
      <c r="D84" s="278"/>
      <c r="E84" s="144"/>
      <c r="F84" s="145"/>
      <c r="G84" s="68"/>
      <c r="H84" s="279"/>
      <c r="I84" s="68"/>
      <c r="J84" s="280"/>
      <c r="K84" s="68"/>
      <c r="L84" s="68"/>
      <c r="M84" s="68"/>
      <c r="N84" s="68"/>
      <c r="O84" s="281"/>
      <c r="P84" s="282"/>
      <c r="Q84" s="282"/>
      <c r="R84" s="283"/>
      <c r="S84" s="283"/>
      <c r="T84" s="283"/>
      <c r="U84" s="283"/>
    </row>
    <row r="85" hidden="1">
      <c r="A85" s="275"/>
      <c r="B85" s="276"/>
      <c r="C85" s="277"/>
      <c r="D85" s="278"/>
      <c r="E85" s="144"/>
      <c r="F85" s="145"/>
      <c r="G85" s="68"/>
      <c r="H85" s="279"/>
      <c r="I85" s="68"/>
      <c r="J85" s="280"/>
      <c r="K85" s="68"/>
      <c r="L85" s="68"/>
      <c r="M85" s="68"/>
      <c r="N85" s="68"/>
      <c r="O85" s="281"/>
      <c r="P85" s="282"/>
      <c r="Q85" s="282"/>
      <c r="R85" s="283"/>
      <c r="S85" s="283"/>
      <c r="T85" s="283"/>
      <c r="U85" s="283"/>
    </row>
    <row r="86" hidden="1">
      <c r="A86" s="275"/>
      <c r="B86" s="276"/>
      <c r="C86" s="277"/>
      <c r="D86" s="278"/>
      <c r="E86" s="144"/>
      <c r="F86" s="145"/>
      <c r="G86" s="68"/>
      <c r="H86" s="279"/>
      <c r="I86" s="68"/>
      <c r="J86" s="280"/>
      <c r="K86" s="68"/>
      <c r="L86" s="68"/>
      <c r="M86" s="68"/>
      <c r="N86" s="68"/>
      <c r="O86" s="281"/>
      <c r="P86" s="282"/>
      <c r="Q86" s="282"/>
      <c r="R86" s="283"/>
      <c r="S86" s="283"/>
      <c r="T86" s="283"/>
      <c r="U86" s="283"/>
    </row>
    <row r="87" hidden="1">
      <c r="A87" s="275"/>
      <c r="B87" s="276"/>
      <c r="C87" s="277"/>
      <c r="D87" s="278"/>
      <c r="E87" s="144"/>
      <c r="F87" s="151"/>
      <c r="G87" s="68"/>
      <c r="H87" s="279"/>
      <c r="I87" s="68"/>
      <c r="J87" s="280"/>
      <c r="K87" s="68"/>
      <c r="L87" s="68"/>
      <c r="M87" s="68"/>
      <c r="N87" s="68"/>
      <c r="O87" s="281"/>
      <c r="P87" s="282"/>
      <c r="Q87" s="282"/>
      <c r="R87" s="283"/>
      <c r="S87" s="283"/>
      <c r="T87" s="283"/>
      <c r="U87" s="283"/>
    </row>
    <row r="88" hidden="1">
      <c r="A88" s="275"/>
      <c r="B88" s="276"/>
      <c r="C88" s="277"/>
      <c r="D88" s="278"/>
      <c r="E88" s="144"/>
      <c r="F88" s="145"/>
      <c r="G88" s="68"/>
      <c r="H88" s="279"/>
      <c r="I88" s="68"/>
      <c r="J88" s="280"/>
      <c r="K88" s="68"/>
      <c r="L88" s="68"/>
      <c r="M88" s="68"/>
      <c r="N88" s="68"/>
      <c r="O88" s="281"/>
      <c r="P88" s="282"/>
      <c r="Q88" s="282"/>
      <c r="R88" s="283"/>
      <c r="S88" s="283"/>
      <c r="T88" s="283"/>
      <c r="U88" s="283"/>
    </row>
    <row r="89" hidden="1">
      <c r="A89" s="275"/>
      <c r="B89" s="276"/>
      <c r="C89" s="277"/>
      <c r="D89" s="278"/>
      <c r="E89" s="144"/>
      <c r="F89" s="145"/>
      <c r="G89" s="68"/>
      <c r="H89" s="279"/>
      <c r="I89" s="68"/>
      <c r="J89" s="280"/>
      <c r="K89" s="68"/>
      <c r="L89" s="68"/>
      <c r="M89" s="68"/>
      <c r="N89" s="68"/>
      <c r="O89" s="281"/>
      <c r="P89" s="282"/>
      <c r="Q89" s="282"/>
      <c r="R89" s="283"/>
      <c r="S89" s="283"/>
      <c r="T89" s="283"/>
      <c r="U89" s="283"/>
    </row>
    <row r="90" hidden="1">
      <c r="A90" s="275"/>
      <c r="B90" s="276"/>
      <c r="C90" s="277"/>
      <c r="D90" s="278"/>
      <c r="E90" s="144"/>
      <c r="F90" s="145"/>
      <c r="G90" s="68"/>
      <c r="H90" s="279"/>
      <c r="I90" s="68"/>
      <c r="J90" s="280"/>
      <c r="K90" s="68"/>
      <c r="L90" s="68"/>
      <c r="M90" s="68"/>
      <c r="N90" s="68"/>
      <c r="O90" s="281"/>
      <c r="P90" s="282"/>
      <c r="Q90" s="282"/>
      <c r="R90" s="283"/>
      <c r="S90" s="283"/>
      <c r="T90" s="283"/>
      <c r="U90" s="283"/>
    </row>
    <row r="91" hidden="1">
      <c r="A91" s="275"/>
      <c r="B91" s="276"/>
      <c r="C91" s="277"/>
      <c r="D91" s="278"/>
      <c r="E91" s="144"/>
      <c r="F91" s="145"/>
      <c r="G91" s="68"/>
      <c r="H91" s="279"/>
      <c r="I91" s="68"/>
      <c r="J91" s="280"/>
      <c r="K91" s="68"/>
      <c r="L91" s="68"/>
      <c r="M91" s="68"/>
      <c r="N91" s="68"/>
      <c r="O91" s="281"/>
      <c r="P91" s="282"/>
      <c r="Q91" s="282"/>
      <c r="R91" s="283"/>
      <c r="S91" s="283"/>
      <c r="T91" s="283"/>
      <c r="U91" s="283"/>
    </row>
    <row r="92" hidden="1">
      <c r="A92" s="275"/>
      <c r="B92" s="276"/>
      <c r="C92" s="277"/>
      <c r="D92" s="278"/>
      <c r="E92" s="144"/>
      <c r="F92" s="145"/>
      <c r="G92" s="68"/>
      <c r="H92" s="279"/>
      <c r="I92" s="68"/>
      <c r="J92" s="280"/>
      <c r="K92" s="68"/>
      <c r="L92" s="68"/>
      <c r="M92" s="68"/>
      <c r="N92" s="68"/>
      <c r="O92" s="281"/>
      <c r="P92" s="282"/>
      <c r="Q92" s="282"/>
      <c r="R92" s="283"/>
      <c r="S92" s="283"/>
      <c r="T92" s="283"/>
      <c r="U92" s="283"/>
    </row>
    <row r="93" hidden="1">
      <c r="A93" s="275"/>
      <c r="B93" s="276"/>
      <c r="C93" s="277"/>
      <c r="D93" s="278"/>
      <c r="E93" s="144"/>
      <c r="F93" s="151"/>
      <c r="G93" s="68"/>
      <c r="H93" s="279"/>
      <c r="I93" s="68"/>
      <c r="J93" s="280"/>
      <c r="K93" s="68"/>
      <c r="L93" s="68"/>
      <c r="M93" s="68"/>
      <c r="N93" s="68"/>
      <c r="O93" s="281"/>
      <c r="P93" s="282"/>
      <c r="Q93" s="282"/>
      <c r="R93" s="283"/>
      <c r="S93" s="283"/>
      <c r="T93" s="283"/>
      <c r="U93" s="283"/>
    </row>
    <row r="94" hidden="1">
      <c r="A94" s="275"/>
      <c r="B94" s="276"/>
      <c r="C94" s="277"/>
      <c r="D94" s="278"/>
      <c r="E94" s="144"/>
      <c r="F94" s="145"/>
      <c r="G94" s="68"/>
      <c r="H94" s="279"/>
      <c r="I94" s="68"/>
      <c r="J94" s="280"/>
      <c r="K94" s="68"/>
      <c r="L94" s="68"/>
      <c r="M94" s="68"/>
      <c r="N94" s="68"/>
      <c r="O94" s="281"/>
      <c r="P94" s="282"/>
      <c r="Q94" s="282"/>
      <c r="R94" s="283"/>
      <c r="S94" s="283"/>
      <c r="T94" s="283"/>
      <c r="U94" s="283"/>
    </row>
    <row r="95" hidden="1">
      <c r="A95" s="275"/>
      <c r="B95" s="276"/>
      <c r="C95" s="277"/>
      <c r="D95" s="278"/>
      <c r="E95" s="175"/>
      <c r="F95" s="176"/>
      <c r="G95" s="68"/>
      <c r="H95" s="279"/>
      <c r="I95" s="68"/>
      <c r="J95" s="280"/>
      <c r="K95" s="68"/>
      <c r="L95" s="68"/>
      <c r="M95" s="68"/>
      <c r="N95" s="68"/>
      <c r="O95" s="281"/>
      <c r="P95" s="282"/>
      <c r="Q95" s="282"/>
      <c r="R95" s="283"/>
      <c r="S95" s="283"/>
      <c r="T95" s="283"/>
      <c r="U95" s="283"/>
    </row>
    <row r="96" hidden="1">
      <c r="A96" s="275"/>
      <c r="B96" s="276"/>
      <c r="C96" s="277"/>
      <c r="D96" s="278"/>
      <c r="E96" s="284"/>
      <c r="F96" s="284"/>
      <c r="G96" s="68"/>
      <c r="H96" s="279"/>
      <c r="I96" s="68"/>
      <c r="J96" s="280"/>
      <c r="K96" s="68"/>
      <c r="L96" s="68"/>
      <c r="M96" s="68"/>
      <c r="N96" s="68"/>
      <c r="O96" s="281"/>
      <c r="P96" s="282"/>
      <c r="Q96" s="282"/>
      <c r="R96" s="283"/>
      <c r="S96" s="283"/>
      <c r="T96" s="283"/>
      <c r="U96" s="283"/>
    </row>
    <row r="97" hidden="1">
      <c r="A97" s="275"/>
      <c r="B97" s="276"/>
      <c r="C97" s="277"/>
      <c r="D97" s="278"/>
      <c r="E97" s="284"/>
      <c r="F97" s="284"/>
      <c r="G97" s="68"/>
      <c r="H97" s="279"/>
      <c r="I97" s="68"/>
      <c r="J97" s="280"/>
      <c r="K97" s="68"/>
      <c r="L97" s="68"/>
      <c r="M97" s="68"/>
      <c r="N97" s="68"/>
      <c r="O97" s="281"/>
      <c r="P97" s="282"/>
      <c r="Q97" s="282"/>
      <c r="R97" s="283"/>
      <c r="S97" s="283"/>
      <c r="T97" s="283"/>
      <c r="U97" s="283"/>
    </row>
    <row r="98" hidden="1">
      <c r="A98" s="275"/>
      <c r="B98" s="276"/>
      <c r="C98" s="277"/>
      <c r="D98" s="278"/>
      <c r="E98" s="284"/>
      <c r="F98" s="284"/>
      <c r="G98" s="68"/>
      <c r="H98" s="279"/>
      <c r="I98" s="68"/>
      <c r="J98" s="280"/>
      <c r="K98" s="68"/>
      <c r="L98" s="68"/>
      <c r="M98" s="68"/>
      <c r="N98" s="68"/>
      <c r="O98" s="281"/>
      <c r="P98" s="282"/>
      <c r="Q98" s="282"/>
      <c r="R98" s="283"/>
      <c r="S98" s="283"/>
      <c r="T98" s="283"/>
      <c r="U98" s="283"/>
    </row>
    <row r="99" hidden="1">
      <c r="A99" s="275"/>
      <c r="B99" s="276"/>
      <c r="C99" s="277"/>
      <c r="D99" s="278"/>
      <c r="E99" s="284"/>
      <c r="F99" s="284"/>
      <c r="G99" s="68"/>
      <c r="H99" s="279"/>
      <c r="I99" s="68"/>
      <c r="J99" s="280"/>
      <c r="K99" s="68"/>
      <c r="L99" s="68"/>
      <c r="M99" s="68"/>
      <c r="N99" s="68"/>
      <c r="O99" s="281"/>
      <c r="P99" s="282"/>
      <c r="Q99" s="282"/>
      <c r="R99" s="283"/>
      <c r="S99" s="283"/>
      <c r="T99" s="283"/>
      <c r="U99" s="283"/>
    </row>
    <row r="100" hidden="1">
      <c r="A100" s="275"/>
      <c r="B100" s="276"/>
      <c r="C100" s="277"/>
      <c r="D100" s="278"/>
      <c r="E100" s="284"/>
      <c r="F100" s="284"/>
      <c r="G100" s="68"/>
      <c r="H100" s="279"/>
      <c r="I100" s="68"/>
      <c r="J100" s="280"/>
      <c r="K100" s="68"/>
      <c r="L100" s="68"/>
      <c r="M100" s="68"/>
      <c r="N100" s="68"/>
      <c r="O100" s="281"/>
      <c r="P100" s="282"/>
      <c r="Q100" s="282"/>
      <c r="R100" s="283"/>
      <c r="S100" s="283"/>
      <c r="T100" s="283"/>
      <c r="U100" s="283"/>
    </row>
    <row r="101" hidden="1">
      <c r="A101" s="275"/>
      <c r="B101" s="276"/>
      <c r="C101" s="277"/>
      <c r="D101" s="278"/>
      <c r="E101" s="284"/>
      <c r="F101" s="284"/>
      <c r="G101" s="68"/>
      <c r="H101" s="279"/>
      <c r="I101" s="68"/>
      <c r="J101" s="280"/>
      <c r="K101" s="68"/>
      <c r="L101" s="68"/>
      <c r="M101" s="68"/>
      <c r="N101" s="68"/>
      <c r="O101" s="281"/>
      <c r="P101" s="282"/>
      <c r="Q101" s="282"/>
      <c r="R101" s="283"/>
      <c r="S101" s="283"/>
      <c r="T101" s="283"/>
      <c r="U101" s="283"/>
    </row>
    <row r="102">
      <c r="A102" s="275"/>
      <c r="B102" s="276"/>
      <c r="C102" s="277"/>
      <c r="D102" s="278"/>
      <c r="E102" s="284"/>
      <c r="F102" s="284"/>
      <c r="G102" s="68"/>
      <c r="H102" s="279"/>
      <c r="I102" s="68"/>
      <c r="J102" s="280"/>
      <c r="K102" s="68"/>
      <c r="L102" s="68"/>
      <c r="M102" s="68"/>
      <c r="N102" s="68"/>
      <c r="O102" s="281"/>
      <c r="P102" s="282"/>
      <c r="Q102" s="282"/>
      <c r="R102" s="283"/>
      <c r="S102" s="283"/>
      <c r="T102" s="283"/>
      <c r="U102" s="283"/>
    </row>
    <row r="103">
      <c r="A103" s="285" t="s">
        <v>327</v>
      </c>
      <c r="B103" s="286"/>
      <c r="C103" s="285"/>
      <c r="D103" s="285"/>
      <c r="E103" s="287"/>
      <c r="F103" s="288"/>
      <c r="G103" s="285"/>
      <c r="H103" s="289"/>
      <c r="I103" s="285"/>
      <c r="J103" s="285"/>
      <c r="K103" s="285"/>
      <c r="L103" s="285"/>
      <c r="M103" s="285"/>
      <c r="N103" s="285"/>
      <c r="O103" s="285"/>
      <c r="P103" s="285"/>
      <c r="Q103" s="285"/>
      <c r="R103" s="290"/>
      <c r="S103" s="290"/>
      <c r="T103" s="290"/>
      <c r="U103" s="290"/>
    </row>
    <row r="104">
      <c r="A104" s="291" t="s">
        <v>153</v>
      </c>
      <c r="B104" s="292">
        <f>Count(C2:C101)</f>
        <v>2</v>
      </c>
      <c r="D104" s="68"/>
      <c r="E104" s="284"/>
      <c r="F104" s="293"/>
      <c r="G104" s="68"/>
      <c r="H104" s="279"/>
      <c r="I104" s="68"/>
      <c r="J104" s="68"/>
      <c r="K104" s="68"/>
      <c r="L104" s="68"/>
      <c r="M104" s="68"/>
      <c r="N104" s="68"/>
      <c r="O104" s="68"/>
      <c r="P104" s="68"/>
      <c r="Q104" s="68"/>
      <c r="R104" s="283"/>
      <c r="S104" s="283"/>
      <c r="T104" s="283"/>
      <c r="U104" s="283"/>
    </row>
    <row r="105">
      <c r="A105" s="294" t="s">
        <v>328</v>
      </c>
      <c r="E105" s="284"/>
      <c r="F105" s="293"/>
      <c r="H105" s="295"/>
      <c r="R105" s="283"/>
      <c r="S105" s="283"/>
      <c r="T105" s="283"/>
      <c r="U105" s="283"/>
    </row>
    <row r="106">
      <c r="A106" s="275"/>
      <c r="B106" s="68"/>
      <c r="C106" s="68"/>
      <c r="D106" s="68"/>
      <c r="E106" s="284"/>
      <c r="F106" s="293"/>
      <c r="G106" s="68"/>
      <c r="H106" s="279"/>
      <c r="I106" s="68"/>
      <c r="J106" s="68"/>
      <c r="K106" s="68"/>
      <c r="L106" s="68"/>
      <c r="M106" s="68"/>
      <c r="N106" s="68"/>
      <c r="O106" s="68"/>
      <c r="P106" s="68"/>
      <c r="Q106" s="68"/>
      <c r="R106" s="283"/>
      <c r="S106" s="283"/>
      <c r="T106" s="283"/>
      <c r="U106" s="283"/>
    </row>
    <row r="107">
      <c r="A107" s="296" t="str">
        <f>HYPERLINK("https://phillipreeve.net/blog/sony-fe-lenses/fe-list/","If you have a question or want to report any mistake please leave a comment on the blog.")</f>
        <v>If you have a question or want to report any mistake please leave a comment on the blog.</v>
      </c>
      <c r="B107" s="297"/>
      <c r="C107" s="297"/>
      <c r="D107" s="297"/>
      <c r="E107" s="298"/>
      <c r="F107" s="299"/>
      <c r="G107" s="297"/>
      <c r="H107" s="300"/>
      <c r="I107" s="297"/>
      <c r="P107" s="297"/>
      <c r="Q107" s="297"/>
      <c r="R107" s="283"/>
      <c r="S107" s="283"/>
      <c r="T107" s="283"/>
      <c r="U107" s="283"/>
    </row>
    <row r="108">
      <c r="E108" s="284"/>
      <c r="F108" s="293"/>
      <c r="H108" s="295"/>
      <c r="R108" s="283"/>
      <c r="S108" s="283"/>
      <c r="T108" s="283"/>
      <c r="U108" s="283"/>
    </row>
    <row r="109">
      <c r="A109" s="275" t="s">
        <v>155</v>
      </c>
      <c r="E109" s="284"/>
      <c r="F109" s="293"/>
      <c r="H109" s="295"/>
      <c r="R109" s="283"/>
      <c r="S109" s="283"/>
      <c r="T109" s="283"/>
      <c r="U109" s="283"/>
    </row>
    <row r="110">
      <c r="A110" s="301" t="str">
        <f>HYPERLINK("https://phillipreeve.net/blog/fe-lenses-sony-comprehensive-independent-guide/","Our Guide to FE-mount lenses - If you need any help on finding the right lens.")</f>
        <v>Our Guide to FE-mount lenses - If you need any help on finding the right lens.</v>
      </c>
      <c r="E110" s="284"/>
      <c r="F110" s="293"/>
      <c r="H110" s="295"/>
      <c r="R110" s="283"/>
      <c r="S110" s="283"/>
      <c r="T110" s="283"/>
      <c r="U110" s="283"/>
    </row>
    <row r="111">
      <c r="A111" s="301" t="str">
        <f>HYPERLINK("https://phillipreeve.net/blog/9-golden-rules-to-buy-the-wrong-lens/","10 golden rules to buy the wrong lens.")</f>
        <v>10 golden rules to buy the wrong lens.</v>
      </c>
      <c r="E111" s="284"/>
      <c r="F111" s="293"/>
      <c r="H111" s="295"/>
      <c r="R111" s="283"/>
      <c r="S111" s="283"/>
      <c r="T111" s="283"/>
      <c r="U111" s="283"/>
    </row>
    <row r="112">
      <c r="A112" s="301" t="str">
        <f>HYPERLINK("https://phillipreeve.net/blog/user-guide-ultra-wideangle-lenses-sony-alpha-7-series/","Our Guide to Ultra-Wideangle lenses")</f>
        <v>Our Guide to Ultra-Wideangle lenses</v>
      </c>
      <c r="E112" s="284"/>
      <c r="F112" s="293"/>
      <c r="H112" s="295"/>
      <c r="R112" s="283"/>
      <c r="S112" s="283"/>
      <c r="T112" s="283"/>
      <c r="U112" s="283"/>
    </row>
    <row r="113">
      <c r="A113" s="301" t="str">
        <f>HYPERLINK("https://phillipreeve.net/blog/wideangle-lenses-for-the-sony-alpha-7-series/","Our Guide to Wideangle lenses")</f>
        <v>Our Guide to Wideangle lenses</v>
      </c>
      <c r="E113" s="284"/>
      <c r="F113" s="293"/>
      <c r="H113" s="295"/>
      <c r="R113" s="283"/>
      <c r="S113" s="283"/>
      <c r="T113" s="283"/>
      <c r="U113" s="283"/>
    </row>
    <row r="114">
      <c r="A114" s="301" t="str">
        <f>HYPERLINK("https://phillipreeve.net/blog/guide-to-macro-lenses-for-the-sony-a7-series/","Our Guide to Macro lenses")</f>
        <v>Our Guide to Macro lenses</v>
      </c>
      <c r="E114" s="284"/>
      <c r="F114" s="293"/>
      <c r="H114" s="295"/>
      <c r="R114" s="283"/>
      <c r="S114" s="283"/>
      <c r="T114" s="283"/>
      <c r="U114" s="283"/>
    </row>
    <row r="115">
      <c r="A115" s="301" t="str">
        <f>HYPERLINK("https://phillipreeve.net/blog/user-guide-to-portrait-lenses-sony-a7-series/","Our Guide to Portrait lenses")</f>
        <v>Our Guide to Portrait lenses</v>
      </c>
      <c r="E115" s="284"/>
      <c r="F115" s="293"/>
      <c r="H115" s="295"/>
      <c r="R115" s="283"/>
      <c r="S115" s="283"/>
      <c r="T115" s="283"/>
      <c r="U115" s="283"/>
    </row>
    <row r="116">
      <c r="A116" s="301" t="str">
        <f>HYPERLINK("https://phillipreeve.net/blog/building-a-lens-kit/","Building a lens kit")</f>
        <v>Building a lens kit</v>
      </c>
      <c r="E116" s="284"/>
      <c r="F116" s="293"/>
      <c r="H116" s="295"/>
      <c r="R116" s="283"/>
      <c r="S116" s="283"/>
      <c r="T116" s="283"/>
      <c r="U116" s="283"/>
    </row>
    <row r="117">
      <c r="A117" s="68"/>
      <c r="H117" s="295"/>
      <c r="R117" s="283"/>
      <c r="S117" s="283"/>
      <c r="T117" s="283"/>
      <c r="U117" s="283"/>
    </row>
    <row r="118">
      <c r="A118" s="275" t="s">
        <v>158</v>
      </c>
      <c r="H118" s="295"/>
      <c r="R118" s="283"/>
      <c r="S118" s="283"/>
      <c r="T118" s="283"/>
      <c r="U118" s="283"/>
    </row>
    <row r="119">
      <c r="A119" s="68" t="s">
        <v>159</v>
      </c>
      <c r="H119" s="295"/>
      <c r="R119" s="283"/>
      <c r="S119" s="283"/>
      <c r="T119" s="283"/>
      <c r="U119" s="283"/>
    </row>
    <row r="120">
      <c r="A120" s="68" t="s">
        <v>160</v>
      </c>
      <c r="H120" s="295"/>
      <c r="R120" s="283"/>
      <c r="S120" s="283"/>
      <c r="T120" s="283"/>
      <c r="U120" s="283"/>
    </row>
    <row r="121">
      <c r="A121" s="68" t="s">
        <v>161</v>
      </c>
      <c r="H121" s="295"/>
      <c r="R121" s="283"/>
      <c r="S121" s="283"/>
      <c r="T121" s="283"/>
      <c r="U121" s="283"/>
    </row>
    <row r="122">
      <c r="A122" s="68" t="s">
        <v>162</v>
      </c>
      <c r="H122" s="295"/>
      <c r="R122" s="283"/>
      <c r="S122" s="283"/>
      <c r="T122" s="283"/>
      <c r="U122" s="283"/>
    </row>
    <row r="123">
      <c r="A123" s="302"/>
      <c r="H123" s="295"/>
      <c r="R123" s="283"/>
      <c r="S123" s="283"/>
      <c r="T123" s="283"/>
      <c r="U123" s="283"/>
    </row>
    <row r="124">
      <c r="A124" s="275" t="s">
        <v>163</v>
      </c>
      <c r="H124" s="295"/>
      <c r="R124" s="283"/>
      <c r="S124" s="283"/>
      <c r="T124" s="283"/>
      <c r="U124" s="283"/>
    </row>
    <row r="125">
      <c r="A125" s="68" t="s">
        <v>233</v>
      </c>
      <c r="D125" s="302"/>
      <c r="H125" s="295"/>
      <c r="R125" s="283"/>
      <c r="S125" s="283"/>
      <c r="T125" s="283"/>
      <c r="U125" s="283"/>
    </row>
    <row r="126">
      <c r="A126" s="68" t="s">
        <v>164</v>
      </c>
      <c r="D126" s="302"/>
      <c r="H126" s="295"/>
      <c r="R126" s="283"/>
      <c r="S126" s="283"/>
      <c r="T126" s="283"/>
      <c r="U126" s="283"/>
    </row>
    <row r="127">
      <c r="H127" s="295"/>
      <c r="R127" s="283"/>
      <c r="S127" s="283"/>
      <c r="T127" s="283"/>
      <c r="U127" s="283"/>
    </row>
    <row r="128">
      <c r="A128" s="301" t="str">
        <f>HYPERLINK("https://phillipreeve.net/blog/impressum/","Impressum")</f>
        <v>Impressum</v>
      </c>
      <c r="H128" s="295"/>
      <c r="R128" s="283"/>
      <c r="S128" s="283"/>
      <c r="T128" s="283"/>
      <c r="U128" s="283"/>
    </row>
    <row r="129">
      <c r="H129" s="295"/>
      <c r="R129" s="283"/>
      <c r="S129" s="283"/>
      <c r="T129" s="283"/>
      <c r="U129" s="283"/>
    </row>
    <row r="130">
      <c r="H130" s="295"/>
      <c r="R130" s="283"/>
      <c r="S130" s="283"/>
      <c r="T130" s="283"/>
      <c r="U130" s="283"/>
    </row>
    <row r="131">
      <c r="H131" s="295"/>
      <c r="R131" s="283"/>
      <c r="S131" s="283"/>
      <c r="T131" s="283"/>
      <c r="U131" s="283"/>
    </row>
    <row r="132">
      <c r="H132" s="295"/>
      <c r="R132" s="283"/>
      <c r="S132" s="283"/>
      <c r="T132" s="283"/>
      <c r="U132" s="283"/>
    </row>
    <row r="133">
      <c r="H133" s="295"/>
      <c r="R133" s="283"/>
      <c r="S133" s="283"/>
      <c r="T133" s="283"/>
      <c r="U133" s="283"/>
    </row>
    <row r="134">
      <c r="A134" s="275"/>
      <c r="H134" s="295"/>
      <c r="R134" s="283"/>
      <c r="S134" s="283"/>
      <c r="T134" s="283"/>
      <c r="U134" s="283"/>
    </row>
    <row r="135">
      <c r="A135" s="275"/>
      <c r="H135" s="295"/>
      <c r="R135" s="283"/>
      <c r="S135" s="283"/>
      <c r="T135" s="283"/>
      <c r="U135" s="283"/>
    </row>
    <row r="136">
      <c r="A136" s="275"/>
      <c r="H136" s="295"/>
      <c r="R136" s="283"/>
      <c r="S136" s="283"/>
      <c r="T136" s="283"/>
      <c r="U136" s="283"/>
    </row>
    <row r="137">
      <c r="A137" s="275"/>
      <c r="H137" s="295"/>
      <c r="R137" s="283"/>
      <c r="S137" s="283"/>
      <c r="T137" s="283"/>
      <c r="U137" s="283"/>
    </row>
    <row r="138">
      <c r="A138" s="275"/>
      <c r="H138" s="295"/>
      <c r="R138" s="283"/>
      <c r="S138" s="283"/>
      <c r="T138" s="283"/>
      <c r="U138" s="283"/>
    </row>
    <row r="139">
      <c r="A139" s="275"/>
      <c r="H139" s="295"/>
      <c r="R139" s="283"/>
      <c r="S139" s="283"/>
      <c r="T139" s="283"/>
      <c r="U139" s="283"/>
    </row>
    <row r="140">
      <c r="A140" s="302"/>
      <c r="H140" s="295"/>
      <c r="R140" s="283"/>
      <c r="S140" s="283"/>
      <c r="T140" s="283"/>
      <c r="U140" s="283"/>
    </row>
    <row r="141">
      <c r="A141" s="275"/>
      <c r="H141" s="295"/>
      <c r="R141" s="283"/>
      <c r="S141" s="283"/>
      <c r="T141" s="283"/>
      <c r="U141" s="283"/>
    </row>
    <row r="142">
      <c r="A142" s="275"/>
      <c r="H142" s="295"/>
      <c r="R142" s="283"/>
      <c r="S142" s="283"/>
      <c r="T142" s="283"/>
      <c r="U142" s="283"/>
    </row>
    <row r="143">
      <c r="A143" s="302"/>
      <c r="H143" s="295"/>
      <c r="R143" s="283"/>
      <c r="S143" s="283"/>
      <c r="T143" s="283"/>
      <c r="U143" s="283"/>
    </row>
    <row r="144">
      <c r="A144" s="275"/>
      <c r="H144" s="295"/>
      <c r="R144" s="283"/>
      <c r="S144" s="283"/>
      <c r="T144" s="283"/>
      <c r="U144" s="283"/>
    </row>
    <row r="145">
      <c r="A145" s="275"/>
      <c r="H145" s="295"/>
      <c r="R145" s="283"/>
      <c r="S145" s="283"/>
      <c r="T145" s="283"/>
      <c r="U145" s="283"/>
    </row>
    <row r="146">
      <c r="A146" s="275"/>
      <c r="H146" s="295"/>
      <c r="R146" s="283"/>
      <c r="S146" s="283"/>
      <c r="T146" s="283"/>
      <c r="U146" s="283"/>
    </row>
    <row r="147">
      <c r="A147" s="275"/>
      <c r="H147" s="295"/>
      <c r="R147" s="283"/>
      <c r="S147" s="283"/>
      <c r="T147" s="283"/>
      <c r="U147" s="283"/>
    </row>
    <row r="148">
      <c r="A148" s="275"/>
      <c r="H148" s="295"/>
      <c r="R148" s="283"/>
      <c r="S148" s="283"/>
      <c r="T148" s="283"/>
      <c r="U148" s="283"/>
    </row>
    <row r="149">
      <c r="A149" s="275"/>
      <c r="H149" s="295"/>
      <c r="R149" s="283"/>
      <c r="S149" s="283"/>
      <c r="T149" s="283"/>
      <c r="U149" s="283"/>
    </row>
    <row r="150">
      <c r="A150" s="275"/>
      <c r="H150" s="295"/>
      <c r="R150" s="283"/>
      <c r="S150" s="283"/>
      <c r="T150" s="283"/>
      <c r="U150" s="283"/>
    </row>
    <row r="151">
      <c r="A151" s="275"/>
      <c r="H151" s="295"/>
      <c r="R151" s="283"/>
      <c r="S151" s="283"/>
      <c r="T151" s="283"/>
      <c r="U151" s="283"/>
    </row>
    <row r="152">
      <c r="A152" s="275"/>
      <c r="H152" s="295"/>
      <c r="R152" s="283"/>
      <c r="S152" s="283"/>
      <c r="T152" s="283"/>
      <c r="U152" s="283"/>
    </row>
    <row r="153">
      <c r="A153" s="302"/>
      <c r="H153" s="295"/>
      <c r="R153" s="283"/>
      <c r="S153" s="283"/>
      <c r="T153" s="283"/>
      <c r="U153" s="283"/>
    </row>
    <row r="154">
      <c r="A154" s="302"/>
      <c r="H154" s="295"/>
      <c r="R154" s="283"/>
      <c r="S154" s="283"/>
      <c r="T154" s="283"/>
      <c r="U154" s="283"/>
    </row>
    <row r="155">
      <c r="H155" s="295"/>
      <c r="R155" s="283"/>
      <c r="S155" s="283"/>
      <c r="T155" s="283"/>
      <c r="U155" s="283"/>
    </row>
    <row r="156">
      <c r="H156" s="295"/>
      <c r="R156" s="283"/>
      <c r="S156" s="283"/>
      <c r="T156" s="283"/>
      <c r="U156" s="283"/>
    </row>
    <row r="157">
      <c r="H157" s="295"/>
      <c r="R157" s="283"/>
      <c r="S157" s="283"/>
      <c r="T157" s="283"/>
      <c r="U157" s="283"/>
    </row>
    <row r="158">
      <c r="H158" s="295"/>
      <c r="R158" s="283"/>
      <c r="S158" s="283"/>
      <c r="T158" s="283"/>
      <c r="U158" s="283"/>
    </row>
    <row r="159">
      <c r="H159" s="295"/>
    </row>
    <row r="160">
      <c r="H160" s="295"/>
    </row>
    <row r="161">
      <c r="H161" s="295"/>
    </row>
    <row r="162">
      <c r="H162" s="295"/>
    </row>
    <row r="163">
      <c r="H163" s="295"/>
    </row>
    <row r="164">
      <c r="H164" s="295"/>
    </row>
    <row r="165">
      <c r="H165" s="295"/>
    </row>
    <row r="166">
      <c r="H166" s="295"/>
    </row>
    <row r="167">
      <c r="H167" s="295"/>
    </row>
    <row r="168">
      <c r="H168" s="295"/>
    </row>
    <row r="169">
      <c r="H169" s="295"/>
    </row>
    <row r="170">
      <c r="H170" s="295"/>
    </row>
    <row r="171">
      <c r="H171" s="295"/>
    </row>
    <row r="172">
      <c r="H172" s="295"/>
    </row>
    <row r="173">
      <c r="H173" s="295"/>
    </row>
    <row r="174">
      <c r="H174" s="295"/>
    </row>
    <row r="175">
      <c r="H175" s="295"/>
    </row>
    <row r="176">
      <c r="H176" s="295"/>
    </row>
    <row r="177">
      <c r="H177" s="295"/>
    </row>
    <row r="178">
      <c r="H178" s="295"/>
    </row>
    <row r="179">
      <c r="H179" s="295"/>
    </row>
    <row r="180">
      <c r="H180" s="295"/>
    </row>
    <row r="181">
      <c r="H181" s="295"/>
    </row>
    <row r="182">
      <c r="H182" s="295"/>
    </row>
    <row r="183">
      <c r="H183" s="295"/>
    </row>
    <row r="184">
      <c r="H184" s="295"/>
    </row>
    <row r="185">
      <c r="H185" s="295"/>
    </row>
    <row r="186">
      <c r="H186" s="295"/>
    </row>
    <row r="187">
      <c r="H187" s="295"/>
    </row>
    <row r="188">
      <c r="H188" s="295"/>
    </row>
    <row r="189">
      <c r="H189" s="295"/>
    </row>
    <row r="190">
      <c r="H190" s="295"/>
    </row>
    <row r="191">
      <c r="H191" s="295"/>
    </row>
    <row r="192">
      <c r="H192" s="295"/>
    </row>
    <row r="193">
      <c r="H193" s="295"/>
    </row>
    <row r="194">
      <c r="H194" s="295"/>
    </row>
    <row r="195">
      <c r="H195" s="295"/>
    </row>
    <row r="196">
      <c r="H196" s="295"/>
    </row>
    <row r="197">
      <c r="H197" s="295"/>
    </row>
    <row r="198">
      <c r="H198" s="295"/>
    </row>
    <row r="199">
      <c r="H199" s="295"/>
    </row>
    <row r="200">
      <c r="H200" s="295"/>
    </row>
    <row r="201">
      <c r="H201" s="295"/>
    </row>
    <row r="202">
      <c r="H202" s="295"/>
    </row>
    <row r="203">
      <c r="H203" s="295"/>
    </row>
    <row r="204">
      <c r="H204" s="295"/>
    </row>
    <row r="205">
      <c r="H205" s="295"/>
    </row>
    <row r="206">
      <c r="H206" s="295"/>
    </row>
    <row r="207">
      <c r="H207" s="295"/>
    </row>
    <row r="208">
      <c r="H208" s="295"/>
    </row>
    <row r="209">
      <c r="H209" s="295"/>
    </row>
    <row r="210">
      <c r="H210" s="295"/>
    </row>
    <row r="211">
      <c r="H211" s="295"/>
    </row>
    <row r="212">
      <c r="H212" s="295"/>
    </row>
    <row r="213">
      <c r="H213" s="295"/>
    </row>
    <row r="214">
      <c r="H214" s="295"/>
    </row>
    <row r="215">
      <c r="H215" s="295"/>
    </row>
    <row r="216">
      <c r="H216" s="295"/>
    </row>
    <row r="217">
      <c r="H217" s="295"/>
    </row>
    <row r="218">
      <c r="H218" s="295"/>
    </row>
    <row r="219">
      <c r="H219" s="295"/>
    </row>
    <row r="220">
      <c r="H220" s="295"/>
    </row>
    <row r="221">
      <c r="H221" s="295"/>
    </row>
    <row r="222">
      <c r="H222" s="295"/>
    </row>
    <row r="223">
      <c r="H223" s="295"/>
    </row>
    <row r="224">
      <c r="H224" s="295"/>
    </row>
    <row r="225">
      <c r="H225" s="295"/>
    </row>
    <row r="226">
      <c r="H226" s="295"/>
    </row>
    <row r="227">
      <c r="H227" s="295"/>
    </row>
    <row r="228">
      <c r="H228" s="295"/>
    </row>
    <row r="229">
      <c r="H229" s="295"/>
    </row>
    <row r="230">
      <c r="H230" s="295"/>
    </row>
    <row r="231">
      <c r="H231" s="295"/>
    </row>
    <row r="232">
      <c r="H232" s="295"/>
    </row>
    <row r="233">
      <c r="H233" s="295"/>
    </row>
    <row r="234">
      <c r="H234" s="295"/>
    </row>
    <row r="235">
      <c r="H235" s="295"/>
    </row>
    <row r="236">
      <c r="H236" s="295"/>
    </row>
    <row r="237">
      <c r="H237" s="295"/>
    </row>
    <row r="238">
      <c r="H238" s="295"/>
    </row>
    <row r="239">
      <c r="H239" s="295"/>
    </row>
    <row r="240">
      <c r="H240" s="295"/>
    </row>
    <row r="241">
      <c r="H241" s="295"/>
    </row>
    <row r="242">
      <c r="H242" s="295"/>
    </row>
    <row r="243">
      <c r="H243" s="295"/>
    </row>
    <row r="244">
      <c r="H244" s="295"/>
    </row>
    <row r="245">
      <c r="H245" s="295"/>
    </row>
    <row r="246">
      <c r="H246" s="295"/>
    </row>
    <row r="247">
      <c r="H247" s="295"/>
    </row>
    <row r="248">
      <c r="H248" s="295"/>
    </row>
    <row r="249">
      <c r="H249" s="295"/>
    </row>
    <row r="250">
      <c r="H250" s="295"/>
    </row>
    <row r="251">
      <c r="H251" s="295"/>
    </row>
    <row r="252">
      <c r="H252" s="295"/>
    </row>
    <row r="253">
      <c r="H253" s="295"/>
    </row>
    <row r="254">
      <c r="H254" s="295"/>
    </row>
    <row r="255">
      <c r="H255" s="295"/>
    </row>
    <row r="256">
      <c r="H256" s="295"/>
    </row>
    <row r="257">
      <c r="H257" s="295"/>
    </row>
    <row r="258">
      <c r="H258" s="295"/>
    </row>
    <row r="259">
      <c r="H259" s="295"/>
    </row>
    <row r="260">
      <c r="H260" s="295"/>
    </row>
    <row r="261">
      <c r="H261" s="295"/>
    </row>
    <row r="262">
      <c r="H262" s="295"/>
    </row>
    <row r="263">
      <c r="H263" s="295"/>
    </row>
    <row r="264">
      <c r="H264" s="295"/>
    </row>
    <row r="265">
      <c r="H265" s="295"/>
    </row>
    <row r="266">
      <c r="H266" s="295"/>
    </row>
    <row r="267">
      <c r="H267" s="295"/>
    </row>
    <row r="268">
      <c r="H268" s="295"/>
    </row>
    <row r="269">
      <c r="H269" s="295"/>
    </row>
    <row r="270">
      <c r="H270" s="295"/>
    </row>
    <row r="271">
      <c r="H271" s="295"/>
    </row>
    <row r="272">
      <c r="H272" s="295"/>
    </row>
    <row r="273">
      <c r="H273" s="295"/>
    </row>
    <row r="274">
      <c r="H274" s="295"/>
    </row>
    <row r="275">
      <c r="H275" s="295"/>
    </row>
    <row r="276">
      <c r="H276" s="295"/>
    </row>
    <row r="277">
      <c r="H277" s="295"/>
    </row>
    <row r="278">
      <c r="H278" s="295"/>
    </row>
    <row r="279">
      <c r="H279" s="295"/>
    </row>
    <row r="280">
      <c r="H280" s="295"/>
    </row>
    <row r="281">
      <c r="H281" s="295"/>
    </row>
    <row r="282">
      <c r="H282" s="295"/>
    </row>
    <row r="283">
      <c r="H283" s="295"/>
    </row>
    <row r="284">
      <c r="H284" s="295"/>
    </row>
    <row r="285">
      <c r="H285" s="295"/>
    </row>
    <row r="286">
      <c r="H286" s="295"/>
    </row>
    <row r="287">
      <c r="H287" s="295"/>
    </row>
    <row r="288">
      <c r="H288" s="295"/>
    </row>
    <row r="289">
      <c r="H289" s="295"/>
    </row>
    <row r="290">
      <c r="H290" s="295"/>
    </row>
    <row r="291">
      <c r="H291" s="295"/>
    </row>
    <row r="292">
      <c r="H292" s="295"/>
    </row>
    <row r="293">
      <c r="H293" s="295"/>
    </row>
    <row r="294">
      <c r="H294" s="295"/>
    </row>
    <row r="295">
      <c r="H295" s="295"/>
    </row>
    <row r="296">
      <c r="H296" s="295"/>
    </row>
    <row r="297">
      <c r="H297" s="295"/>
    </row>
    <row r="298">
      <c r="H298" s="295"/>
    </row>
    <row r="299">
      <c r="H299" s="295"/>
    </row>
    <row r="300">
      <c r="H300" s="295"/>
    </row>
    <row r="301">
      <c r="H301" s="295"/>
    </row>
    <row r="302">
      <c r="H302" s="295"/>
    </row>
    <row r="303">
      <c r="H303" s="295"/>
    </row>
    <row r="304">
      <c r="H304" s="295"/>
    </row>
    <row r="305">
      <c r="H305" s="295"/>
    </row>
    <row r="306">
      <c r="H306" s="295"/>
    </row>
    <row r="307">
      <c r="H307" s="295"/>
    </row>
    <row r="308">
      <c r="H308" s="295"/>
    </row>
    <row r="309">
      <c r="H309" s="295"/>
    </row>
    <row r="310">
      <c r="H310" s="295"/>
    </row>
    <row r="311">
      <c r="H311" s="295"/>
    </row>
    <row r="312">
      <c r="H312" s="295"/>
    </row>
    <row r="313">
      <c r="H313" s="295"/>
    </row>
    <row r="314">
      <c r="H314" s="295"/>
    </row>
    <row r="315">
      <c r="H315" s="295"/>
    </row>
    <row r="316">
      <c r="H316" s="295"/>
    </row>
    <row r="317">
      <c r="H317" s="295"/>
    </row>
    <row r="318">
      <c r="H318" s="295"/>
    </row>
    <row r="319">
      <c r="H319" s="295"/>
    </row>
    <row r="320">
      <c r="H320" s="295"/>
    </row>
    <row r="321">
      <c r="H321" s="295"/>
    </row>
    <row r="322">
      <c r="H322" s="295"/>
    </row>
    <row r="323">
      <c r="H323" s="295"/>
    </row>
    <row r="324">
      <c r="H324" s="295"/>
    </row>
    <row r="325">
      <c r="H325" s="295"/>
    </row>
    <row r="326">
      <c r="H326" s="295"/>
    </row>
    <row r="327">
      <c r="H327" s="295"/>
    </row>
    <row r="328">
      <c r="H328" s="295"/>
    </row>
    <row r="329">
      <c r="H329" s="295"/>
    </row>
    <row r="330">
      <c r="H330" s="295"/>
    </row>
    <row r="331">
      <c r="H331" s="295"/>
    </row>
    <row r="332">
      <c r="H332" s="295"/>
    </row>
    <row r="333">
      <c r="H333" s="295"/>
    </row>
    <row r="334">
      <c r="H334" s="295"/>
    </row>
    <row r="335">
      <c r="H335" s="295"/>
    </row>
    <row r="336">
      <c r="H336" s="295"/>
    </row>
    <row r="337">
      <c r="H337" s="295"/>
    </row>
    <row r="338">
      <c r="H338" s="295"/>
    </row>
    <row r="339">
      <c r="H339" s="295"/>
    </row>
    <row r="340">
      <c r="H340" s="295"/>
    </row>
    <row r="341">
      <c r="H341" s="295"/>
    </row>
    <row r="342">
      <c r="H342" s="295"/>
    </row>
    <row r="343">
      <c r="H343" s="295"/>
    </row>
    <row r="344">
      <c r="H344" s="295"/>
    </row>
    <row r="345">
      <c r="H345" s="295"/>
    </row>
    <row r="346">
      <c r="H346" s="295"/>
    </row>
    <row r="347">
      <c r="H347" s="295"/>
    </row>
    <row r="348">
      <c r="H348" s="295"/>
    </row>
    <row r="349">
      <c r="H349" s="295"/>
    </row>
    <row r="350">
      <c r="H350" s="295"/>
    </row>
    <row r="351">
      <c r="H351" s="295"/>
    </row>
    <row r="352">
      <c r="H352" s="295"/>
    </row>
    <row r="353">
      <c r="H353" s="295"/>
    </row>
    <row r="354">
      <c r="H354" s="295"/>
    </row>
    <row r="355">
      <c r="H355" s="295"/>
    </row>
    <row r="356">
      <c r="H356" s="295"/>
    </row>
    <row r="357">
      <c r="H357" s="295"/>
    </row>
    <row r="358">
      <c r="H358" s="295"/>
    </row>
    <row r="359">
      <c r="H359" s="295"/>
    </row>
    <row r="360">
      <c r="H360" s="295"/>
    </row>
    <row r="361">
      <c r="H361" s="295"/>
    </row>
    <row r="362">
      <c r="H362" s="295"/>
    </row>
    <row r="363">
      <c r="H363" s="295"/>
    </row>
    <row r="364">
      <c r="H364" s="295"/>
    </row>
    <row r="365">
      <c r="H365" s="295"/>
    </row>
    <row r="366">
      <c r="H366" s="295"/>
    </row>
    <row r="367">
      <c r="H367" s="295"/>
    </row>
    <row r="368">
      <c r="H368" s="295"/>
    </row>
    <row r="369">
      <c r="H369" s="295"/>
    </row>
    <row r="370">
      <c r="H370" s="295"/>
    </row>
    <row r="371">
      <c r="H371" s="295"/>
    </row>
    <row r="372">
      <c r="H372" s="295"/>
    </row>
    <row r="373">
      <c r="H373" s="295"/>
    </row>
    <row r="374">
      <c r="H374" s="295"/>
    </row>
    <row r="375">
      <c r="H375" s="295"/>
    </row>
    <row r="376">
      <c r="H376" s="295"/>
    </row>
    <row r="377">
      <c r="H377" s="295"/>
    </row>
    <row r="378">
      <c r="H378" s="295"/>
    </row>
    <row r="379">
      <c r="H379" s="295"/>
    </row>
    <row r="380">
      <c r="H380" s="295"/>
    </row>
    <row r="381">
      <c r="H381" s="295"/>
    </row>
    <row r="382">
      <c r="H382" s="295"/>
    </row>
    <row r="383">
      <c r="H383" s="295"/>
    </row>
    <row r="384">
      <c r="H384" s="295"/>
    </row>
    <row r="385">
      <c r="H385" s="295"/>
    </row>
    <row r="386">
      <c r="H386" s="295"/>
    </row>
    <row r="387">
      <c r="H387" s="295"/>
    </row>
    <row r="388">
      <c r="H388" s="295"/>
    </row>
    <row r="389">
      <c r="H389" s="295"/>
    </row>
    <row r="390">
      <c r="H390" s="295"/>
    </row>
    <row r="391">
      <c r="H391" s="295"/>
    </row>
    <row r="392">
      <c r="H392" s="295"/>
    </row>
    <row r="393">
      <c r="H393" s="295"/>
    </row>
    <row r="394">
      <c r="H394" s="295"/>
    </row>
    <row r="395">
      <c r="H395" s="295"/>
    </row>
    <row r="396">
      <c r="H396" s="295"/>
    </row>
    <row r="397">
      <c r="H397" s="295"/>
    </row>
    <row r="398">
      <c r="H398" s="295"/>
    </row>
    <row r="399">
      <c r="H399" s="295"/>
    </row>
    <row r="400">
      <c r="H400" s="295"/>
    </row>
    <row r="401">
      <c r="H401" s="295"/>
    </row>
    <row r="402">
      <c r="H402" s="295"/>
    </row>
    <row r="403">
      <c r="H403" s="295"/>
    </row>
    <row r="404">
      <c r="H404" s="295"/>
    </row>
    <row r="405">
      <c r="H405" s="295"/>
    </row>
    <row r="406">
      <c r="H406" s="295"/>
    </row>
    <row r="407">
      <c r="H407" s="295"/>
    </row>
    <row r="408">
      <c r="H408" s="295"/>
    </row>
    <row r="409">
      <c r="H409" s="295"/>
    </row>
    <row r="410">
      <c r="H410" s="295"/>
    </row>
    <row r="411">
      <c r="H411" s="295"/>
    </row>
    <row r="412">
      <c r="H412" s="295"/>
    </row>
    <row r="413">
      <c r="H413" s="295"/>
    </row>
    <row r="414">
      <c r="H414" s="295"/>
    </row>
    <row r="415">
      <c r="H415" s="295"/>
    </row>
    <row r="416">
      <c r="H416" s="295"/>
    </row>
    <row r="417">
      <c r="H417" s="295"/>
    </row>
    <row r="418">
      <c r="H418" s="295"/>
    </row>
    <row r="419">
      <c r="H419" s="295"/>
    </row>
    <row r="420">
      <c r="H420" s="295"/>
    </row>
    <row r="421">
      <c r="H421" s="295"/>
    </row>
    <row r="422">
      <c r="H422" s="295"/>
    </row>
    <row r="423">
      <c r="H423" s="295"/>
    </row>
    <row r="424">
      <c r="H424" s="295"/>
    </row>
    <row r="425">
      <c r="H425" s="295"/>
    </row>
    <row r="426">
      <c r="H426" s="295"/>
    </row>
    <row r="427">
      <c r="H427" s="295"/>
    </row>
    <row r="428">
      <c r="H428" s="295"/>
    </row>
    <row r="429">
      <c r="H429" s="295"/>
    </row>
    <row r="430">
      <c r="H430" s="295"/>
    </row>
    <row r="431">
      <c r="H431" s="295"/>
    </row>
    <row r="432">
      <c r="H432" s="295"/>
    </row>
    <row r="433">
      <c r="H433" s="295"/>
    </row>
    <row r="434">
      <c r="H434" s="295"/>
    </row>
    <row r="435">
      <c r="H435" s="295"/>
    </row>
    <row r="436">
      <c r="H436" s="295"/>
    </row>
    <row r="437">
      <c r="H437" s="295"/>
    </row>
    <row r="438">
      <c r="H438" s="295"/>
    </row>
    <row r="439">
      <c r="H439" s="295"/>
    </row>
    <row r="440">
      <c r="H440" s="295"/>
    </row>
    <row r="441">
      <c r="H441" s="295"/>
    </row>
    <row r="442">
      <c r="H442" s="295"/>
    </row>
    <row r="443">
      <c r="H443" s="295"/>
    </row>
    <row r="444">
      <c r="H444" s="295"/>
    </row>
    <row r="445">
      <c r="H445" s="295"/>
    </row>
    <row r="446">
      <c r="H446" s="295"/>
    </row>
    <row r="447">
      <c r="H447" s="295"/>
    </row>
    <row r="448">
      <c r="H448" s="295"/>
    </row>
    <row r="449">
      <c r="H449" s="295"/>
    </row>
    <row r="450">
      <c r="H450" s="295"/>
    </row>
    <row r="451">
      <c r="H451" s="295"/>
    </row>
    <row r="452">
      <c r="H452" s="295"/>
    </row>
    <row r="453">
      <c r="H453" s="295"/>
    </row>
    <row r="454">
      <c r="H454" s="295"/>
    </row>
    <row r="455">
      <c r="H455" s="295"/>
    </row>
    <row r="456">
      <c r="H456" s="295"/>
    </row>
    <row r="457">
      <c r="H457" s="295"/>
    </row>
    <row r="458">
      <c r="H458" s="295"/>
    </row>
    <row r="459">
      <c r="H459" s="295"/>
    </row>
    <row r="460">
      <c r="H460" s="295"/>
    </row>
    <row r="461">
      <c r="H461" s="295"/>
    </row>
    <row r="462">
      <c r="H462" s="295"/>
    </row>
    <row r="463">
      <c r="H463" s="295"/>
    </row>
    <row r="464">
      <c r="H464" s="295"/>
    </row>
    <row r="465">
      <c r="H465" s="295"/>
    </row>
    <row r="466">
      <c r="H466" s="295"/>
    </row>
    <row r="467">
      <c r="H467" s="295"/>
    </row>
    <row r="468">
      <c r="H468" s="295"/>
    </row>
    <row r="469">
      <c r="H469" s="295"/>
    </row>
    <row r="470">
      <c r="H470" s="295"/>
    </row>
    <row r="471">
      <c r="H471" s="295"/>
    </row>
    <row r="472">
      <c r="H472" s="295"/>
    </row>
    <row r="473">
      <c r="H473" s="295"/>
    </row>
    <row r="474">
      <c r="H474" s="295"/>
    </row>
    <row r="475">
      <c r="H475" s="295"/>
    </row>
    <row r="476">
      <c r="H476" s="295"/>
    </row>
    <row r="477">
      <c r="H477" s="295"/>
    </row>
    <row r="478">
      <c r="H478" s="295"/>
    </row>
    <row r="479">
      <c r="H479" s="295"/>
    </row>
    <row r="480">
      <c r="H480" s="295"/>
    </row>
    <row r="481">
      <c r="H481" s="295"/>
    </row>
    <row r="482">
      <c r="H482" s="295"/>
    </row>
    <row r="483">
      <c r="H483" s="295"/>
    </row>
    <row r="484">
      <c r="H484" s="295"/>
    </row>
    <row r="485">
      <c r="H485" s="295"/>
    </row>
    <row r="486">
      <c r="H486" s="295"/>
    </row>
    <row r="487">
      <c r="H487" s="295"/>
    </row>
    <row r="488">
      <c r="H488" s="295"/>
    </row>
    <row r="489">
      <c r="H489" s="295"/>
    </row>
    <row r="490">
      <c r="H490" s="295"/>
    </row>
    <row r="491">
      <c r="H491" s="295"/>
    </row>
    <row r="492">
      <c r="H492" s="295"/>
    </row>
    <row r="493">
      <c r="H493" s="295"/>
    </row>
    <row r="494">
      <c r="H494" s="295"/>
    </row>
    <row r="495">
      <c r="H495" s="295"/>
    </row>
    <row r="496">
      <c r="H496" s="295"/>
    </row>
    <row r="497">
      <c r="H497" s="295"/>
    </row>
    <row r="498">
      <c r="H498" s="295"/>
    </row>
    <row r="499">
      <c r="H499" s="295"/>
    </row>
    <row r="500">
      <c r="H500" s="295"/>
    </row>
    <row r="501">
      <c r="H501" s="295"/>
    </row>
    <row r="502">
      <c r="H502" s="295"/>
    </row>
    <row r="503">
      <c r="H503" s="295"/>
    </row>
    <row r="504">
      <c r="H504" s="295"/>
    </row>
    <row r="505">
      <c r="H505" s="295"/>
    </row>
    <row r="506">
      <c r="H506" s="295"/>
    </row>
    <row r="507">
      <c r="H507" s="295"/>
    </row>
    <row r="508">
      <c r="H508" s="295"/>
    </row>
    <row r="509">
      <c r="H509" s="295"/>
    </row>
    <row r="510">
      <c r="H510" s="295"/>
    </row>
    <row r="511">
      <c r="H511" s="295"/>
    </row>
    <row r="512">
      <c r="H512" s="295"/>
    </row>
    <row r="513">
      <c r="H513" s="295"/>
    </row>
    <row r="514">
      <c r="H514" s="295"/>
    </row>
    <row r="515">
      <c r="H515" s="295"/>
    </row>
    <row r="516">
      <c r="H516" s="295"/>
    </row>
    <row r="517">
      <c r="H517" s="295"/>
    </row>
    <row r="518">
      <c r="H518" s="295"/>
    </row>
    <row r="519">
      <c r="H519" s="295"/>
    </row>
    <row r="520">
      <c r="H520" s="295"/>
    </row>
    <row r="521">
      <c r="H521" s="295"/>
    </row>
    <row r="522">
      <c r="H522" s="295"/>
    </row>
    <row r="523">
      <c r="H523" s="295"/>
    </row>
    <row r="524">
      <c r="H524" s="295"/>
    </row>
    <row r="525">
      <c r="H525" s="295"/>
    </row>
    <row r="526">
      <c r="H526" s="295"/>
    </row>
    <row r="527">
      <c r="H527" s="295"/>
    </row>
    <row r="528">
      <c r="H528" s="295"/>
    </row>
    <row r="529">
      <c r="H529" s="295"/>
    </row>
    <row r="530">
      <c r="H530" s="295"/>
    </row>
    <row r="531">
      <c r="H531" s="295"/>
    </row>
    <row r="532">
      <c r="H532" s="295"/>
    </row>
    <row r="533">
      <c r="H533" s="295"/>
    </row>
    <row r="534">
      <c r="H534" s="295"/>
    </row>
    <row r="535">
      <c r="H535" s="295"/>
    </row>
    <row r="536">
      <c r="H536" s="295"/>
    </row>
    <row r="537">
      <c r="H537" s="295"/>
    </row>
    <row r="538">
      <c r="H538" s="295"/>
    </row>
    <row r="539">
      <c r="H539" s="295"/>
    </row>
    <row r="540">
      <c r="H540" s="295"/>
    </row>
    <row r="541">
      <c r="H541" s="295"/>
    </row>
    <row r="542">
      <c r="H542" s="295"/>
    </row>
    <row r="543">
      <c r="H543" s="295"/>
    </row>
    <row r="544">
      <c r="H544" s="295"/>
    </row>
    <row r="545">
      <c r="H545" s="295"/>
    </row>
    <row r="546">
      <c r="H546" s="295"/>
    </row>
    <row r="547">
      <c r="H547" s="295"/>
    </row>
    <row r="548">
      <c r="H548" s="295"/>
    </row>
    <row r="549">
      <c r="H549" s="295"/>
    </row>
    <row r="550">
      <c r="H550" s="295"/>
    </row>
    <row r="551">
      <c r="H551" s="295"/>
    </row>
    <row r="552">
      <c r="H552" s="295"/>
    </row>
    <row r="553">
      <c r="H553" s="295"/>
    </row>
    <row r="554">
      <c r="H554" s="295"/>
    </row>
    <row r="555">
      <c r="H555" s="295"/>
    </row>
    <row r="556">
      <c r="H556" s="295"/>
    </row>
    <row r="557">
      <c r="H557" s="295"/>
    </row>
    <row r="558">
      <c r="H558" s="295"/>
    </row>
    <row r="559">
      <c r="H559" s="295"/>
    </row>
    <row r="560">
      <c r="H560" s="295"/>
    </row>
    <row r="561">
      <c r="H561" s="295"/>
    </row>
    <row r="562">
      <c r="H562" s="295"/>
    </row>
    <row r="563">
      <c r="H563" s="295"/>
    </row>
    <row r="564">
      <c r="H564" s="295"/>
    </row>
    <row r="565">
      <c r="H565" s="295"/>
    </row>
    <row r="566">
      <c r="H566" s="295"/>
    </row>
    <row r="567">
      <c r="H567" s="295"/>
    </row>
    <row r="568">
      <c r="H568" s="295"/>
    </row>
    <row r="569">
      <c r="H569" s="295"/>
    </row>
    <row r="570">
      <c r="H570" s="295"/>
    </row>
    <row r="571">
      <c r="H571" s="295"/>
    </row>
    <row r="572">
      <c r="H572" s="295"/>
    </row>
    <row r="573">
      <c r="H573" s="295"/>
    </row>
    <row r="574">
      <c r="H574" s="295"/>
    </row>
    <row r="575">
      <c r="H575" s="295"/>
    </row>
    <row r="576">
      <c r="H576" s="295"/>
    </row>
    <row r="577">
      <c r="H577" s="295"/>
    </row>
    <row r="578">
      <c r="H578" s="295"/>
    </row>
    <row r="579">
      <c r="H579" s="295"/>
    </row>
    <row r="580">
      <c r="H580" s="295"/>
    </row>
    <row r="581">
      <c r="H581" s="295"/>
    </row>
    <row r="582">
      <c r="H582" s="295"/>
    </row>
    <row r="583">
      <c r="H583" s="295"/>
    </row>
    <row r="584">
      <c r="H584" s="295"/>
    </row>
    <row r="585">
      <c r="H585" s="295"/>
    </row>
    <row r="586">
      <c r="H586" s="295"/>
    </row>
    <row r="587">
      <c r="H587" s="295"/>
    </row>
    <row r="588">
      <c r="H588" s="295"/>
    </row>
    <row r="589">
      <c r="H589" s="295"/>
    </row>
    <row r="590">
      <c r="H590" s="295"/>
    </row>
    <row r="591">
      <c r="H591" s="295"/>
    </row>
    <row r="592">
      <c r="H592" s="295"/>
    </row>
    <row r="593">
      <c r="H593" s="295"/>
    </row>
    <row r="594">
      <c r="H594" s="295"/>
    </row>
    <row r="595">
      <c r="H595" s="295"/>
    </row>
    <row r="596">
      <c r="H596" s="295"/>
    </row>
    <row r="597">
      <c r="H597" s="295"/>
    </row>
    <row r="598">
      <c r="H598" s="295"/>
    </row>
    <row r="599">
      <c r="H599" s="295"/>
    </row>
    <row r="600">
      <c r="H600" s="295"/>
    </row>
    <row r="601">
      <c r="H601" s="295"/>
    </row>
    <row r="602">
      <c r="H602" s="295"/>
    </row>
    <row r="603">
      <c r="H603" s="295"/>
    </row>
    <row r="604">
      <c r="H604" s="295"/>
    </row>
    <row r="605">
      <c r="H605" s="295"/>
    </row>
    <row r="606">
      <c r="H606" s="295"/>
    </row>
    <row r="607">
      <c r="H607" s="295"/>
    </row>
    <row r="608">
      <c r="H608" s="295"/>
    </row>
    <row r="609">
      <c r="H609" s="295"/>
    </row>
    <row r="610">
      <c r="H610" s="295"/>
    </row>
    <row r="611">
      <c r="H611" s="295"/>
    </row>
    <row r="612">
      <c r="H612" s="295"/>
    </row>
    <row r="613">
      <c r="H613" s="295"/>
    </row>
    <row r="614">
      <c r="H614" s="295"/>
    </row>
    <row r="615">
      <c r="H615" s="295"/>
    </row>
    <row r="616">
      <c r="H616" s="295"/>
    </row>
    <row r="617">
      <c r="H617" s="295"/>
    </row>
    <row r="618">
      <c r="H618" s="295"/>
    </row>
    <row r="619">
      <c r="H619" s="295"/>
    </row>
    <row r="620">
      <c r="H620" s="295"/>
    </row>
    <row r="621">
      <c r="H621" s="295"/>
    </row>
    <row r="622">
      <c r="H622" s="295"/>
    </row>
    <row r="623">
      <c r="H623" s="295"/>
    </row>
    <row r="624">
      <c r="H624" s="295"/>
    </row>
    <row r="625">
      <c r="H625" s="295"/>
    </row>
    <row r="626">
      <c r="H626" s="295"/>
    </row>
    <row r="627">
      <c r="H627" s="295"/>
    </row>
    <row r="628">
      <c r="H628" s="295"/>
    </row>
    <row r="629">
      <c r="H629" s="295"/>
    </row>
    <row r="630">
      <c r="H630" s="295"/>
    </row>
    <row r="631">
      <c r="H631" s="295"/>
    </row>
    <row r="632">
      <c r="H632" s="295"/>
    </row>
    <row r="633">
      <c r="H633" s="295"/>
    </row>
    <row r="634">
      <c r="H634" s="295"/>
    </row>
    <row r="635">
      <c r="H635" s="295"/>
    </row>
    <row r="636">
      <c r="H636" s="295"/>
    </row>
    <row r="637">
      <c r="H637" s="295"/>
    </row>
    <row r="638">
      <c r="H638" s="295"/>
    </row>
    <row r="639">
      <c r="H639" s="295"/>
    </row>
    <row r="640">
      <c r="H640" s="295"/>
    </row>
    <row r="641">
      <c r="H641" s="295"/>
    </row>
    <row r="642">
      <c r="H642" s="295"/>
    </row>
    <row r="643">
      <c r="H643" s="295"/>
    </row>
    <row r="644">
      <c r="H644" s="295"/>
    </row>
    <row r="645">
      <c r="H645" s="295"/>
    </row>
    <row r="646">
      <c r="H646" s="295"/>
    </row>
    <row r="647">
      <c r="H647" s="295"/>
    </row>
    <row r="648">
      <c r="H648" s="295"/>
    </row>
    <row r="649">
      <c r="H649" s="295"/>
    </row>
    <row r="650">
      <c r="H650" s="295"/>
    </row>
    <row r="651">
      <c r="H651" s="295"/>
    </row>
    <row r="652">
      <c r="H652" s="295"/>
    </row>
    <row r="653">
      <c r="H653" s="295"/>
    </row>
    <row r="654">
      <c r="H654" s="295"/>
    </row>
    <row r="655">
      <c r="H655" s="295"/>
    </row>
    <row r="656">
      <c r="H656" s="295"/>
    </row>
    <row r="657">
      <c r="H657" s="295"/>
    </row>
    <row r="658">
      <c r="H658" s="295"/>
    </row>
    <row r="659">
      <c r="H659" s="295"/>
    </row>
    <row r="660">
      <c r="H660" s="295"/>
    </row>
    <row r="661">
      <c r="H661" s="295"/>
    </row>
    <row r="662">
      <c r="H662" s="295"/>
    </row>
    <row r="663">
      <c r="H663" s="295"/>
    </row>
    <row r="664">
      <c r="H664" s="295"/>
    </row>
    <row r="665">
      <c r="H665" s="295"/>
    </row>
    <row r="666">
      <c r="H666" s="295"/>
    </row>
    <row r="667">
      <c r="H667" s="295"/>
    </row>
    <row r="668">
      <c r="H668" s="295"/>
    </row>
    <row r="669">
      <c r="H669" s="295"/>
    </row>
    <row r="670">
      <c r="H670" s="295"/>
    </row>
    <row r="671">
      <c r="H671" s="295"/>
    </row>
    <row r="672">
      <c r="H672" s="295"/>
    </row>
    <row r="673">
      <c r="H673" s="295"/>
    </row>
    <row r="674">
      <c r="H674" s="295"/>
    </row>
    <row r="675">
      <c r="H675" s="295"/>
    </row>
    <row r="676">
      <c r="H676" s="295"/>
    </row>
    <row r="677">
      <c r="H677" s="295"/>
    </row>
    <row r="678">
      <c r="H678" s="295"/>
    </row>
    <row r="679">
      <c r="H679" s="295"/>
    </row>
    <row r="680">
      <c r="H680" s="295"/>
    </row>
    <row r="681">
      <c r="H681" s="295"/>
    </row>
    <row r="682">
      <c r="H682" s="295"/>
    </row>
    <row r="683">
      <c r="H683" s="295"/>
    </row>
    <row r="684">
      <c r="H684" s="295"/>
    </row>
    <row r="685">
      <c r="H685" s="295"/>
    </row>
    <row r="686">
      <c r="H686" s="295"/>
    </row>
    <row r="687">
      <c r="H687" s="295"/>
    </row>
    <row r="688">
      <c r="H688" s="295"/>
    </row>
    <row r="689">
      <c r="H689" s="295"/>
    </row>
    <row r="690">
      <c r="H690" s="295"/>
    </row>
    <row r="691">
      <c r="H691" s="295"/>
    </row>
    <row r="692">
      <c r="H692" s="295"/>
    </row>
    <row r="693">
      <c r="H693" s="295"/>
    </row>
    <row r="694">
      <c r="H694" s="295"/>
    </row>
    <row r="695">
      <c r="H695" s="295"/>
    </row>
    <row r="696">
      <c r="H696" s="295"/>
    </row>
    <row r="697">
      <c r="H697" s="295"/>
    </row>
    <row r="698">
      <c r="H698" s="295"/>
    </row>
    <row r="699">
      <c r="H699" s="295"/>
    </row>
    <row r="700">
      <c r="H700" s="295"/>
    </row>
    <row r="701">
      <c r="H701" s="295"/>
    </row>
    <row r="702">
      <c r="H702" s="295"/>
    </row>
    <row r="703">
      <c r="H703" s="295"/>
    </row>
    <row r="704">
      <c r="H704" s="295"/>
    </row>
    <row r="705">
      <c r="H705" s="295"/>
    </row>
    <row r="706">
      <c r="H706" s="295"/>
    </row>
    <row r="707">
      <c r="H707" s="295"/>
    </row>
    <row r="708">
      <c r="H708" s="295"/>
    </row>
    <row r="709">
      <c r="H709" s="295"/>
    </row>
    <row r="710">
      <c r="H710" s="295"/>
    </row>
    <row r="711">
      <c r="H711" s="295"/>
    </row>
    <row r="712">
      <c r="H712" s="295"/>
    </row>
    <row r="713">
      <c r="H713" s="295"/>
    </row>
    <row r="714">
      <c r="H714" s="295"/>
    </row>
    <row r="715">
      <c r="H715" s="295"/>
    </row>
    <row r="716">
      <c r="H716" s="295"/>
    </row>
    <row r="717">
      <c r="H717" s="295"/>
    </row>
    <row r="718">
      <c r="H718" s="295"/>
    </row>
    <row r="719">
      <c r="H719" s="295"/>
    </row>
    <row r="720">
      <c r="H720" s="295"/>
    </row>
    <row r="721">
      <c r="H721" s="295"/>
    </row>
    <row r="722">
      <c r="H722" s="295"/>
    </row>
    <row r="723">
      <c r="H723" s="295"/>
    </row>
    <row r="724">
      <c r="H724" s="295"/>
    </row>
    <row r="725">
      <c r="H725" s="295"/>
    </row>
    <row r="726">
      <c r="H726" s="295"/>
    </row>
    <row r="727">
      <c r="H727" s="295"/>
    </row>
    <row r="728">
      <c r="H728" s="295"/>
    </row>
    <row r="729">
      <c r="H729" s="295"/>
    </row>
    <row r="730">
      <c r="H730" s="295"/>
    </row>
    <row r="731">
      <c r="H731" s="295"/>
    </row>
    <row r="732">
      <c r="H732" s="295"/>
    </row>
    <row r="733">
      <c r="H733" s="295"/>
    </row>
    <row r="734">
      <c r="H734" s="295"/>
    </row>
    <row r="735">
      <c r="H735" s="295"/>
    </row>
    <row r="736">
      <c r="H736" s="295"/>
    </row>
    <row r="737">
      <c r="H737" s="295"/>
    </row>
    <row r="738">
      <c r="H738" s="295"/>
    </row>
    <row r="739">
      <c r="H739" s="295"/>
    </row>
    <row r="740">
      <c r="H740" s="295"/>
    </row>
    <row r="741">
      <c r="H741" s="295"/>
    </row>
    <row r="742">
      <c r="H742" s="295"/>
    </row>
    <row r="743">
      <c r="H743" s="295"/>
    </row>
    <row r="744">
      <c r="H744" s="295"/>
    </row>
    <row r="745">
      <c r="H745" s="295"/>
    </row>
    <row r="746">
      <c r="H746" s="295"/>
    </row>
    <row r="747">
      <c r="H747" s="295"/>
    </row>
    <row r="748">
      <c r="H748" s="295"/>
    </row>
    <row r="749">
      <c r="H749" s="295"/>
    </row>
    <row r="750">
      <c r="H750" s="295"/>
    </row>
    <row r="751">
      <c r="H751" s="295"/>
    </row>
    <row r="752">
      <c r="H752" s="295"/>
    </row>
    <row r="753">
      <c r="H753" s="295"/>
    </row>
    <row r="754">
      <c r="H754" s="295"/>
    </row>
    <row r="755">
      <c r="H755" s="295"/>
    </row>
    <row r="756">
      <c r="H756" s="295"/>
    </row>
    <row r="757">
      <c r="H757" s="295"/>
    </row>
    <row r="758">
      <c r="H758" s="295"/>
    </row>
    <row r="759">
      <c r="H759" s="295"/>
    </row>
    <row r="760">
      <c r="H760" s="295"/>
    </row>
    <row r="761">
      <c r="H761" s="295"/>
    </row>
    <row r="762">
      <c r="H762" s="295"/>
    </row>
    <row r="763">
      <c r="H763" s="295"/>
    </row>
    <row r="764">
      <c r="H764" s="295"/>
    </row>
    <row r="765">
      <c r="H765" s="295"/>
    </row>
    <row r="766">
      <c r="H766" s="295"/>
    </row>
    <row r="767">
      <c r="H767" s="295"/>
    </row>
    <row r="768">
      <c r="H768" s="295"/>
    </row>
    <row r="769">
      <c r="H769" s="295"/>
    </row>
    <row r="770">
      <c r="H770" s="295"/>
    </row>
    <row r="771">
      <c r="H771" s="295"/>
    </row>
    <row r="772">
      <c r="H772" s="295"/>
    </row>
    <row r="773">
      <c r="H773" s="295"/>
    </row>
    <row r="774">
      <c r="H774" s="295"/>
    </row>
    <row r="775">
      <c r="H775" s="295"/>
    </row>
    <row r="776">
      <c r="H776" s="295"/>
    </row>
    <row r="777">
      <c r="H777" s="295"/>
    </row>
    <row r="778">
      <c r="H778" s="295"/>
    </row>
    <row r="779">
      <c r="H779" s="295"/>
    </row>
    <row r="780">
      <c r="H780" s="295"/>
    </row>
    <row r="781">
      <c r="H781" s="295"/>
    </row>
    <row r="782">
      <c r="H782" s="295"/>
    </row>
    <row r="783">
      <c r="H783" s="295"/>
    </row>
    <row r="784">
      <c r="H784" s="295"/>
    </row>
    <row r="785">
      <c r="H785" s="295"/>
    </row>
    <row r="786">
      <c r="H786" s="295"/>
    </row>
    <row r="787">
      <c r="H787" s="295"/>
    </row>
    <row r="788">
      <c r="H788" s="295"/>
    </row>
    <row r="789">
      <c r="H789" s="295"/>
    </row>
    <row r="790">
      <c r="H790" s="295"/>
    </row>
    <row r="791">
      <c r="H791" s="295"/>
    </row>
    <row r="792">
      <c r="H792" s="295"/>
    </row>
    <row r="793">
      <c r="H793" s="295"/>
    </row>
    <row r="794">
      <c r="H794" s="295"/>
    </row>
    <row r="795">
      <c r="H795" s="295"/>
    </row>
    <row r="796">
      <c r="H796" s="295"/>
    </row>
    <row r="797">
      <c r="H797" s="295"/>
    </row>
    <row r="798">
      <c r="H798" s="295"/>
    </row>
    <row r="799">
      <c r="H799" s="295"/>
    </row>
    <row r="800">
      <c r="H800" s="295"/>
    </row>
    <row r="801">
      <c r="H801" s="295"/>
    </row>
    <row r="802">
      <c r="H802" s="295"/>
    </row>
    <row r="803">
      <c r="H803" s="295"/>
    </row>
    <row r="804">
      <c r="H804" s="295"/>
    </row>
    <row r="805">
      <c r="H805" s="295"/>
    </row>
    <row r="806">
      <c r="H806" s="295"/>
    </row>
    <row r="807">
      <c r="H807" s="295"/>
    </row>
    <row r="808">
      <c r="H808" s="295"/>
    </row>
    <row r="809">
      <c r="H809" s="295"/>
    </row>
    <row r="810">
      <c r="H810" s="295"/>
    </row>
    <row r="811">
      <c r="H811" s="295"/>
    </row>
    <row r="812">
      <c r="H812" s="295"/>
    </row>
    <row r="813">
      <c r="H813" s="295"/>
    </row>
    <row r="814">
      <c r="H814" s="295"/>
    </row>
    <row r="815">
      <c r="H815" s="295"/>
    </row>
    <row r="816">
      <c r="H816" s="295"/>
    </row>
    <row r="817">
      <c r="H817" s="295"/>
    </row>
    <row r="818">
      <c r="H818" s="295"/>
    </row>
    <row r="819">
      <c r="H819" s="295"/>
    </row>
    <row r="820">
      <c r="H820" s="295"/>
    </row>
    <row r="821">
      <c r="H821" s="295"/>
    </row>
    <row r="822">
      <c r="H822" s="295"/>
    </row>
    <row r="823">
      <c r="H823" s="295"/>
    </row>
    <row r="824">
      <c r="H824" s="295"/>
    </row>
    <row r="825">
      <c r="H825" s="295"/>
    </row>
    <row r="826">
      <c r="H826" s="295"/>
    </row>
    <row r="827">
      <c r="H827" s="295"/>
    </row>
    <row r="828">
      <c r="H828" s="295"/>
    </row>
    <row r="829">
      <c r="H829" s="295"/>
    </row>
    <row r="830">
      <c r="H830" s="295"/>
    </row>
    <row r="831">
      <c r="H831" s="295"/>
    </row>
    <row r="832">
      <c r="H832" s="295"/>
    </row>
    <row r="833">
      <c r="H833" s="295"/>
    </row>
    <row r="834">
      <c r="H834" s="295"/>
    </row>
    <row r="835">
      <c r="H835" s="295"/>
    </row>
    <row r="836">
      <c r="H836" s="295"/>
    </row>
    <row r="837">
      <c r="H837" s="295"/>
    </row>
    <row r="838">
      <c r="H838" s="295"/>
    </row>
    <row r="839">
      <c r="H839" s="295"/>
    </row>
    <row r="840">
      <c r="H840" s="295"/>
    </row>
    <row r="841">
      <c r="H841" s="295"/>
    </row>
    <row r="842">
      <c r="H842" s="295"/>
    </row>
    <row r="843">
      <c r="H843" s="295"/>
    </row>
    <row r="844">
      <c r="H844" s="295"/>
    </row>
    <row r="845">
      <c r="H845" s="295"/>
    </row>
    <row r="846">
      <c r="H846" s="295"/>
    </row>
    <row r="847">
      <c r="H847" s="295"/>
    </row>
    <row r="848">
      <c r="H848" s="295"/>
    </row>
    <row r="849">
      <c r="H849" s="295"/>
    </row>
    <row r="850">
      <c r="H850" s="295"/>
    </row>
    <row r="851">
      <c r="H851" s="295"/>
    </row>
    <row r="852">
      <c r="H852" s="295"/>
    </row>
    <row r="853">
      <c r="H853" s="295"/>
    </row>
    <row r="854">
      <c r="H854" s="295"/>
    </row>
    <row r="855">
      <c r="H855" s="295"/>
    </row>
    <row r="856">
      <c r="H856" s="295"/>
    </row>
    <row r="857">
      <c r="H857" s="295"/>
    </row>
    <row r="858">
      <c r="H858" s="295"/>
    </row>
    <row r="859">
      <c r="H859" s="295"/>
    </row>
    <row r="860">
      <c r="H860" s="295"/>
    </row>
    <row r="861">
      <c r="H861" s="295"/>
    </row>
    <row r="862">
      <c r="H862" s="295"/>
    </row>
    <row r="863">
      <c r="H863" s="295"/>
    </row>
    <row r="864">
      <c r="H864" s="295"/>
    </row>
    <row r="865">
      <c r="H865" s="295"/>
    </row>
    <row r="866">
      <c r="H866" s="295"/>
    </row>
    <row r="867">
      <c r="H867" s="295"/>
    </row>
    <row r="868">
      <c r="H868" s="295"/>
    </row>
    <row r="869">
      <c r="H869" s="295"/>
    </row>
    <row r="870">
      <c r="H870" s="295"/>
    </row>
    <row r="871">
      <c r="H871" s="295"/>
    </row>
    <row r="872">
      <c r="H872" s="295"/>
    </row>
    <row r="873">
      <c r="H873" s="295"/>
    </row>
    <row r="874">
      <c r="H874" s="295"/>
    </row>
    <row r="875">
      <c r="H875" s="295"/>
    </row>
    <row r="876">
      <c r="H876" s="295"/>
    </row>
    <row r="877">
      <c r="H877" s="295"/>
    </row>
    <row r="878">
      <c r="H878" s="295"/>
    </row>
    <row r="879">
      <c r="H879" s="295"/>
    </row>
    <row r="880">
      <c r="H880" s="295"/>
    </row>
    <row r="881">
      <c r="H881" s="295"/>
    </row>
    <row r="882">
      <c r="H882" s="295"/>
    </row>
    <row r="883">
      <c r="H883" s="295"/>
    </row>
    <row r="884">
      <c r="H884" s="295"/>
    </row>
    <row r="885">
      <c r="H885" s="295"/>
    </row>
    <row r="886">
      <c r="H886" s="295"/>
    </row>
    <row r="887">
      <c r="H887" s="295"/>
    </row>
    <row r="888">
      <c r="H888" s="295"/>
    </row>
    <row r="889">
      <c r="H889" s="295"/>
    </row>
    <row r="890">
      <c r="H890" s="295"/>
    </row>
    <row r="891">
      <c r="H891" s="295"/>
    </row>
    <row r="892">
      <c r="H892" s="295"/>
    </row>
    <row r="893">
      <c r="H893" s="295"/>
    </row>
    <row r="894">
      <c r="H894" s="295"/>
    </row>
    <row r="895">
      <c r="H895" s="295"/>
    </row>
    <row r="896">
      <c r="H896" s="295"/>
    </row>
    <row r="897">
      <c r="H897" s="295"/>
    </row>
    <row r="898">
      <c r="H898" s="295"/>
    </row>
    <row r="899">
      <c r="H899" s="295"/>
    </row>
    <row r="900">
      <c r="H900" s="295"/>
    </row>
    <row r="901">
      <c r="H901" s="295"/>
    </row>
    <row r="902">
      <c r="H902" s="295"/>
    </row>
    <row r="903">
      <c r="H903" s="295"/>
    </row>
    <row r="904">
      <c r="H904" s="295"/>
    </row>
    <row r="905">
      <c r="H905" s="295"/>
    </row>
    <row r="906">
      <c r="H906" s="295"/>
    </row>
    <row r="907">
      <c r="H907" s="295"/>
    </row>
    <row r="908">
      <c r="H908" s="295"/>
    </row>
    <row r="909">
      <c r="H909" s="295"/>
    </row>
    <row r="910">
      <c r="H910" s="295"/>
    </row>
    <row r="911">
      <c r="H911" s="295"/>
    </row>
    <row r="912">
      <c r="H912" s="295"/>
    </row>
    <row r="913">
      <c r="H913" s="295"/>
    </row>
    <row r="914">
      <c r="H914" s="295"/>
    </row>
    <row r="915">
      <c r="H915" s="295"/>
    </row>
    <row r="916">
      <c r="H916" s="295"/>
    </row>
    <row r="917">
      <c r="H917" s="295"/>
    </row>
    <row r="918">
      <c r="H918" s="295"/>
    </row>
    <row r="919">
      <c r="H919" s="295"/>
    </row>
    <row r="920">
      <c r="H920" s="295"/>
    </row>
    <row r="921">
      <c r="H921" s="295"/>
    </row>
    <row r="922">
      <c r="H922" s="295"/>
    </row>
    <row r="923">
      <c r="H923" s="295"/>
    </row>
    <row r="924">
      <c r="H924" s="295"/>
    </row>
    <row r="925">
      <c r="H925" s="295"/>
    </row>
    <row r="926">
      <c r="H926" s="295"/>
    </row>
    <row r="927">
      <c r="H927" s="295"/>
    </row>
    <row r="928">
      <c r="H928" s="295"/>
    </row>
    <row r="929">
      <c r="H929" s="295"/>
    </row>
    <row r="930">
      <c r="H930" s="295"/>
    </row>
    <row r="931">
      <c r="H931" s="295"/>
    </row>
    <row r="932">
      <c r="H932" s="295"/>
    </row>
    <row r="933">
      <c r="H933" s="295"/>
    </row>
    <row r="934">
      <c r="H934" s="295"/>
    </row>
    <row r="935">
      <c r="H935" s="295"/>
    </row>
    <row r="936">
      <c r="H936" s="295"/>
    </row>
    <row r="937">
      <c r="H937" s="295"/>
    </row>
    <row r="938">
      <c r="H938" s="295"/>
    </row>
    <row r="939">
      <c r="H939" s="295"/>
    </row>
    <row r="940">
      <c r="H940" s="295"/>
    </row>
    <row r="941">
      <c r="H941" s="295"/>
    </row>
    <row r="942">
      <c r="H942" s="295"/>
    </row>
    <row r="943">
      <c r="H943" s="295"/>
    </row>
    <row r="944">
      <c r="H944" s="295"/>
    </row>
    <row r="945">
      <c r="H945" s="295"/>
    </row>
    <row r="946">
      <c r="H946" s="295"/>
    </row>
    <row r="947">
      <c r="H947" s="295"/>
    </row>
    <row r="948">
      <c r="H948" s="295"/>
    </row>
    <row r="949">
      <c r="H949" s="295"/>
    </row>
    <row r="950">
      <c r="H950" s="295"/>
    </row>
    <row r="951">
      <c r="H951" s="295"/>
    </row>
    <row r="952">
      <c r="H952" s="295"/>
    </row>
    <row r="953">
      <c r="H953" s="295"/>
    </row>
    <row r="954">
      <c r="H954" s="295"/>
    </row>
    <row r="955">
      <c r="H955" s="295"/>
    </row>
    <row r="956">
      <c r="H956" s="295"/>
    </row>
    <row r="957">
      <c r="H957" s="295"/>
    </row>
    <row r="958">
      <c r="H958" s="295"/>
    </row>
    <row r="959">
      <c r="H959" s="295"/>
    </row>
    <row r="960">
      <c r="H960" s="295"/>
    </row>
    <row r="961">
      <c r="H961" s="295"/>
    </row>
    <row r="962">
      <c r="H962" s="295"/>
    </row>
    <row r="963">
      <c r="H963" s="295"/>
    </row>
    <row r="964">
      <c r="H964" s="295"/>
    </row>
    <row r="965">
      <c r="H965" s="295"/>
    </row>
    <row r="966">
      <c r="H966" s="295"/>
    </row>
    <row r="967">
      <c r="H967" s="295"/>
    </row>
    <row r="968">
      <c r="H968" s="295"/>
    </row>
    <row r="969">
      <c r="H969" s="295"/>
    </row>
    <row r="970">
      <c r="H970" s="295"/>
    </row>
    <row r="971">
      <c r="H971" s="295"/>
    </row>
    <row r="972">
      <c r="H972" s="295"/>
    </row>
    <row r="973">
      <c r="H973" s="295"/>
    </row>
    <row r="974">
      <c r="H974" s="295"/>
    </row>
    <row r="975">
      <c r="H975" s="295"/>
    </row>
    <row r="976">
      <c r="H976" s="295"/>
    </row>
    <row r="977">
      <c r="H977" s="295"/>
    </row>
    <row r="978">
      <c r="H978" s="295"/>
    </row>
    <row r="979">
      <c r="H979" s="295"/>
    </row>
    <row r="980">
      <c r="H980" s="295"/>
    </row>
    <row r="981">
      <c r="H981" s="295"/>
    </row>
    <row r="982">
      <c r="H982" s="295"/>
    </row>
    <row r="983">
      <c r="H983" s="295"/>
    </row>
    <row r="984">
      <c r="H984" s="295"/>
    </row>
    <row r="985">
      <c r="H985" s="295"/>
    </row>
    <row r="986">
      <c r="H986" s="295"/>
    </row>
    <row r="987">
      <c r="H987" s="295"/>
    </row>
    <row r="988">
      <c r="H988" s="295"/>
    </row>
    <row r="989">
      <c r="H989" s="295"/>
    </row>
    <row r="990">
      <c r="H990" s="295"/>
    </row>
    <row r="991">
      <c r="H991" s="295"/>
    </row>
    <row r="992">
      <c r="H992" s="295"/>
    </row>
    <row r="993">
      <c r="H993" s="295"/>
    </row>
    <row r="994">
      <c r="H994" s="295"/>
    </row>
    <row r="995">
      <c r="H995" s="295"/>
    </row>
    <row r="996">
      <c r="H996" s="295"/>
    </row>
    <row r="997">
      <c r="H997" s="295"/>
    </row>
    <row r="998">
      <c r="H998" s="295"/>
    </row>
    <row r="999">
      <c r="H999" s="295"/>
    </row>
    <row r="1000">
      <c r="H1000" s="295"/>
    </row>
    <row r="1001">
      <c r="H1001" s="295"/>
    </row>
    <row r="1002">
      <c r="H1002" s="295"/>
    </row>
    <row r="1003">
      <c r="H1003" s="295"/>
    </row>
    <row r="1004">
      <c r="H1004" s="295"/>
    </row>
    <row r="1005">
      <c r="H1005" s="295"/>
    </row>
    <row r="1006">
      <c r="H1006" s="295"/>
    </row>
    <row r="1007">
      <c r="H1007" s="295"/>
    </row>
    <row r="1008">
      <c r="H1008" s="295"/>
    </row>
    <row r="1009">
      <c r="H1009" s="295"/>
    </row>
    <row r="1010">
      <c r="H1010" s="295"/>
    </row>
    <row r="1011">
      <c r="H1011" s="295"/>
    </row>
    <row r="1012">
      <c r="H1012" s="295"/>
    </row>
    <row r="1013">
      <c r="H1013" s="295"/>
    </row>
    <row r="1014">
      <c r="H1014" s="295"/>
    </row>
    <row r="1015">
      <c r="H1015" s="295"/>
    </row>
    <row r="1016">
      <c r="H1016" s="295"/>
    </row>
    <row r="1017">
      <c r="H1017" s="295"/>
    </row>
    <row r="1018">
      <c r="H1018" s="295"/>
    </row>
    <row r="1019">
      <c r="H1019" s="295"/>
    </row>
    <row r="1020">
      <c r="H1020" s="295"/>
    </row>
    <row r="1021">
      <c r="H1021" s="295"/>
    </row>
    <row r="1022">
      <c r="H1022" s="295"/>
    </row>
    <row r="1023">
      <c r="H1023" s="295"/>
    </row>
    <row r="1024">
      <c r="H1024" s="295"/>
    </row>
    <row r="1025">
      <c r="H1025" s="295"/>
    </row>
    <row r="1026">
      <c r="H1026" s="295"/>
    </row>
    <row r="1027">
      <c r="H1027" s="295"/>
    </row>
    <row r="1028">
      <c r="H1028" s="295"/>
    </row>
    <row r="1029">
      <c r="H1029" s="295"/>
    </row>
    <row r="1030">
      <c r="H1030" s="295"/>
    </row>
    <row r="1031">
      <c r="H1031" s="295"/>
    </row>
    <row r="1032">
      <c r="H1032" s="295"/>
    </row>
    <row r="1033">
      <c r="H1033" s="295"/>
    </row>
    <row r="1034">
      <c r="H1034" s="295"/>
    </row>
    <row r="1035">
      <c r="H1035" s="295"/>
    </row>
    <row r="1036">
      <c r="H1036" s="295"/>
    </row>
    <row r="1037">
      <c r="H1037" s="295"/>
    </row>
    <row r="1038">
      <c r="H1038" s="295"/>
    </row>
    <row r="1039">
      <c r="H1039" s="295"/>
    </row>
    <row r="1040">
      <c r="H1040" s="295"/>
    </row>
    <row r="1041">
      <c r="H1041" s="295"/>
    </row>
    <row r="1042">
      <c r="H1042" s="295"/>
    </row>
    <row r="1043">
      <c r="H1043" s="295"/>
    </row>
    <row r="1044">
      <c r="H1044" s="295"/>
    </row>
    <row r="1045">
      <c r="H1045" s="295"/>
    </row>
    <row r="1046">
      <c r="H1046" s="295"/>
    </row>
    <row r="1047">
      <c r="H1047" s="295"/>
    </row>
    <row r="1048">
      <c r="H1048" s="295"/>
    </row>
    <row r="1049">
      <c r="H1049" s="295"/>
    </row>
    <row r="1050">
      <c r="H1050" s="295"/>
    </row>
    <row r="1051">
      <c r="H1051" s="295"/>
    </row>
    <row r="1052">
      <c r="H1052" s="295"/>
    </row>
    <row r="1053">
      <c r="H1053" s="295"/>
    </row>
    <row r="1054">
      <c r="H1054" s="295"/>
    </row>
    <row r="1055">
      <c r="H1055" s="295"/>
    </row>
    <row r="1056">
      <c r="H1056" s="295"/>
    </row>
    <row r="1057">
      <c r="H1057" s="295"/>
    </row>
    <row r="1058">
      <c r="H1058" s="295"/>
    </row>
    <row r="1059">
      <c r="H1059" s="295"/>
    </row>
    <row r="1060">
      <c r="H1060" s="295"/>
    </row>
    <row r="1061">
      <c r="H1061" s="295"/>
    </row>
    <row r="1062">
      <c r="H1062" s="295"/>
    </row>
    <row r="1063">
      <c r="H1063" s="295"/>
    </row>
    <row r="1064">
      <c r="H1064" s="295"/>
    </row>
  </sheetData>
  <autoFilter ref="$O$1:$O$1064"/>
  <conditionalFormatting sqref="B1 B3:B1064">
    <cfRule type="cellIs" dxfId="0" priority="1" operator="between">
      <formula>50</formula>
      <formula>200</formula>
    </cfRule>
  </conditionalFormatting>
  <conditionalFormatting sqref="B1 B3:B1064">
    <cfRule type="cellIs" dxfId="1" priority="2" operator="between">
      <formula>201</formula>
      <formula>400</formula>
    </cfRule>
  </conditionalFormatting>
  <conditionalFormatting sqref="B3:B1059">
    <cfRule type="cellIs" dxfId="2" priority="3" operator="between">
      <formula>401</formula>
      <formula>650</formula>
    </cfRule>
  </conditionalFormatting>
  <conditionalFormatting sqref="B3:B1059">
    <cfRule type="cellIs" dxfId="3" priority="4" operator="between">
      <formula>651</formula>
      <formula>900</formula>
    </cfRule>
  </conditionalFormatting>
  <conditionalFormatting sqref="B3:B1059">
    <cfRule type="cellIs" dxfId="4" priority="5" operator="greaterThan">
      <formula>900</formula>
    </cfRule>
  </conditionalFormatting>
  <conditionalFormatting sqref="K3:K1059">
    <cfRule type="containsText" dxfId="5" priority="6" operator="containsText" text="yes">
      <formula>NOT(ISERROR(SEARCH(("yes"),(K3))))</formula>
    </cfRule>
  </conditionalFormatting>
  <conditionalFormatting sqref="F1:F1064">
    <cfRule type="colorScale" priority="7">
      <colorScale>
        <cfvo type="min"/>
        <cfvo type="formula" val="150"/>
        <color rgb="FFEAD1DC"/>
        <color rgb="FFA64D79"/>
      </colorScale>
    </cfRule>
  </conditionalFormatting>
  <conditionalFormatting sqref="D3:D82">
    <cfRule type="colorScale" priority="8">
      <colorScale>
        <cfvo type="formula" val="1.2"/>
        <cfvo type="formula" val="4"/>
        <color rgb="FF0B5394"/>
        <color rgb="FFFFFFFF"/>
      </colorScale>
    </cfRule>
  </conditionalFormatting>
  <conditionalFormatting sqref="E3:E82">
    <cfRule type="colorScale" priority="9">
      <colorScale>
        <cfvo type="formula" val="65"/>
        <cfvo type="formula" val="100"/>
        <color rgb="FFD9D2E9"/>
        <color rgb="FF674EA7"/>
      </colorScale>
    </cfRule>
  </conditionalFormatting>
  <conditionalFormatting sqref="D3:D82">
    <cfRule type="containsText" dxfId="6" priority="10" operator="containsText" text="1.2">
      <formula>NOT(ISERROR(SEARCH(("1.2"),(D3))))</formula>
    </cfRule>
  </conditionalFormatting>
  <conditionalFormatting sqref="D12">
    <cfRule type="notContainsBlanks" dxfId="7" priority="11">
      <formula>LEN(TRIM(D12))&gt;0</formula>
    </cfRule>
  </conditionalFormatting>
  <conditionalFormatting sqref="D3:D82">
    <cfRule type="containsText" dxfId="8" priority="12" operator="containsText" text="1.4">
      <formula>NOT(ISERROR(SEARCH(("1.4"),(D3))))</formula>
    </cfRule>
  </conditionalFormatting>
  <conditionalFormatting sqref="D3:D101">
    <cfRule type="containsText" dxfId="9" priority="13" operator="containsText" text="1.8">
      <formula>NOT(ISERROR(SEARCH(("1.8"),(D3))))</formula>
    </cfRule>
  </conditionalFormatting>
  <conditionalFormatting sqref="A3:A100">
    <cfRule type="expression" dxfId="10" priority="14">
      <formula>(today()-O3)&lt;0</formula>
    </cfRule>
  </conditionalFormatting>
  <conditionalFormatting sqref="A3:A100">
    <cfRule type="expression" dxfId="7" priority="15">
      <formula>(today()-O3)&lt;180</formula>
    </cfRule>
  </conditionalFormatting>
  <conditionalFormatting sqref="G3:G102">
    <cfRule type="cellIs" dxfId="10" priority="16" operator="equal">
      <formula>"MF"</formula>
    </cfRule>
  </conditionalFormatting>
  <conditionalFormatting sqref="I3:I102">
    <cfRule type="cellIs" dxfId="11" priority="17" operator="between">
      <formula>0.24</formula>
      <formula>0.45</formula>
    </cfRule>
  </conditionalFormatting>
  <conditionalFormatting sqref="I3:I102">
    <cfRule type="cellIs" dxfId="12" priority="18" operator="between">
      <formula>0.45</formula>
      <formula>0.99</formula>
    </cfRule>
  </conditionalFormatting>
  <conditionalFormatting sqref="I3:I102">
    <cfRule type="cellIs" dxfId="13" priority="19" operator="greaterThan">
      <formula>0.99</formula>
    </cfRule>
  </conditionalFormatting>
  <dataValidations>
    <dataValidation type="list" allowBlank="1" sqref="N3:N82">
      <formula1>"Sony,Voigtlander,Zeiss,Sigma,Samyang,Viltrox,Tokina,Tamron"</formula1>
    </dataValidation>
  </dataValidations>
  <hyperlinks>
    <hyperlink r:id="rId1" ref="R1"/>
    <hyperlink r:id="rId2" ref="T1"/>
    <hyperlink r:id="rId3" ref="U1"/>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5.71"/>
    <col customWidth="1" min="2" max="2" width="6.57"/>
    <col customWidth="1" min="3" max="3" width="8.14"/>
    <col customWidth="1" min="4" max="4" width="8.0"/>
    <col customWidth="1" min="5" max="6" width="7.29"/>
    <col customWidth="1" min="7" max="7" width="7.14"/>
    <col customWidth="1" min="8" max="8" width="4.43"/>
    <col customWidth="1" min="9" max="9" width="7.57"/>
    <col customWidth="1" min="10" max="10" width="5.0"/>
    <col customWidth="1" min="11" max="11" width="6.14"/>
    <col customWidth="1" min="12" max="12" width="7.43"/>
    <col customWidth="1" min="13" max="13" width="7.71"/>
    <col customWidth="1" min="14" max="14" width="4.0"/>
  </cols>
  <sheetData>
    <row r="1" ht="76.5" customHeight="1">
      <c r="A1" s="1" t="s">
        <v>0</v>
      </c>
      <c r="B1" s="2" t="s">
        <v>1</v>
      </c>
      <c r="C1" s="3" t="s">
        <v>2</v>
      </c>
      <c r="D1" s="4" t="s">
        <v>3</v>
      </c>
      <c r="E1" s="5" t="s">
        <v>4</v>
      </c>
      <c r="F1" s="6" t="s">
        <v>5</v>
      </c>
      <c r="G1" s="8" t="s">
        <v>7</v>
      </c>
      <c r="H1" s="3" t="s">
        <v>8</v>
      </c>
      <c r="I1" s="3" t="s">
        <v>9</v>
      </c>
      <c r="J1" s="3" t="s">
        <v>11</v>
      </c>
      <c r="K1" s="3" t="s">
        <v>12</v>
      </c>
      <c r="L1" s="3" t="s">
        <v>329</v>
      </c>
      <c r="M1" s="11" t="s">
        <v>308</v>
      </c>
      <c r="N1" s="15" t="s">
        <v>20</v>
      </c>
      <c r="O1" s="16" t="s">
        <v>21</v>
      </c>
    </row>
    <row r="2" ht="18.0" customHeight="1">
      <c r="A2" s="17" t="s">
        <v>166</v>
      </c>
      <c r="B2" s="18"/>
      <c r="C2" s="18"/>
      <c r="D2" s="18"/>
      <c r="E2" s="18"/>
      <c r="F2" s="18"/>
      <c r="G2" s="20"/>
      <c r="H2" s="18"/>
      <c r="I2" s="18"/>
      <c r="J2" s="18"/>
      <c r="K2" s="19"/>
      <c r="L2" s="19"/>
      <c r="M2" s="18"/>
      <c r="N2" s="18"/>
    </row>
    <row r="3">
      <c r="A3" s="765"/>
      <c r="B3" s="766"/>
      <c r="C3" s="767"/>
      <c r="D3" s="768"/>
      <c r="E3" s="769"/>
      <c r="F3" s="770"/>
      <c r="G3" s="771"/>
      <c r="H3" s="431"/>
      <c r="I3" s="772"/>
      <c r="J3" s="771"/>
      <c r="K3" s="773"/>
      <c r="L3" s="774"/>
      <c r="M3" s="775"/>
      <c r="N3" s="173"/>
    </row>
    <row r="4">
      <c r="A4" s="776" t="str">
        <f>HYPERLINK("https://phillipreeve.net/blog/review-olympus-om-zuiko-28mm-12/","Olympus Zuiko MC Auto-W 1:2 f=28cm")</f>
        <v>Olympus Zuiko MC Auto-W 1:2 f=28cm</v>
      </c>
      <c r="B4" s="777">
        <v>248.0</v>
      </c>
      <c r="C4" s="778">
        <v>28.0</v>
      </c>
      <c r="D4" s="779">
        <v>2.0</v>
      </c>
      <c r="E4" s="780">
        <v>60.0</v>
      </c>
      <c r="F4" s="781">
        <v>43.0</v>
      </c>
      <c r="G4" s="782" t="s">
        <v>74</v>
      </c>
      <c r="H4" s="783" t="s">
        <v>330</v>
      </c>
      <c r="I4" s="784" t="s">
        <v>331</v>
      </c>
      <c r="J4" s="782">
        <v>8.0</v>
      </c>
      <c r="K4" s="785" t="s">
        <v>60</v>
      </c>
      <c r="L4" s="786"/>
      <c r="M4" s="787"/>
      <c r="N4" s="788"/>
    </row>
    <row r="5">
      <c r="A5" s="789" t="str">
        <f>HYPERLINK("https://phillipreeve.net/blog/review-olympus-f-zuiko-auto-s-1-8-50/","Olympus F.Zuiko Auto-S 1:1.2 f=50mm")</f>
        <v>Olympus F.Zuiko Auto-S 1:1.2 f=50mm</v>
      </c>
      <c r="B5" s="790">
        <v>170.0</v>
      </c>
      <c r="C5" s="791">
        <v>50.0</v>
      </c>
      <c r="D5" s="792">
        <v>1.8</v>
      </c>
      <c r="E5" s="793">
        <v>61.0</v>
      </c>
      <c r="F5" s="794">
        <v>31.0</v>
      </c>
      <c r="G5" s="795">
        <v>49.0</v>
      </c>
      <c r="H5" s="796" t="s">
        <v>332</v>
      </c>
      <c r="I5" s="797">
        <v>45.0</v>
      </c>
      <c r="J5" s="795">
        <v>6.0</v>
      </c>
      <c r="K5" s="798" t="s">
        <v>333</v>
      </c>
      <c r="L5" s="774"/>
      <c r="M5" s="775"/>
      <c r="N5" s="173"/>
    </row>
    <row r="6">
      <c r="A6" s="799" t="str">
        <f>HYPERLINK("https://phillipreeve.net/blog/hands-on-olympus-250mm-2-0-om-zuiko-auto-t/","Olympus Zuiko Auto-T 250mm 1:2")</f>
        <v>Olympus Zuiko Auto-T 250mm 1:2</v>
      </c>
      <c r="B6" s="790">
        <v>3900.0</v>
      </c>
      <c r="C6" s="791">
        <v>250.0</v>
      </c>
      <c r="D6" s="792">
        <v>2.0</v>
      </c>
      <c r="E6" s="793">
        <v>142.0</v>
      </c>
      <c r="F6" s="794">
        <v>255.0</v>
      </c>
      <c r="G6" s="795" t="s">
        <v>25</v>
      </c>
      <c r="H6" s="796" t="s">
        <v>334</v>
      </c>
      <c r="I6" s="797">
        <v>2.2</v>
      </c>
      <c r="J6" s="795">
        <v>9.0</v>
      </c>
      <c r="K6" s="798" t="s">
        <v>174</v>
      </c>
      <c r="L6" s="774"/>
      <c r="M6" s="775"/>
      <c r="N6" s="173"/>
    </row>
    <row r="7">
      <c r="A7" s="800"/>
      <c r="B7" s="766"/>
      <c r="C7" s="767"/>
      <c r="D7" s="768"/>
      <c r="E7" s="769"/>
      <c r="F7" s="770"/>
      <c r="G7" s="771"/>
      <c r="H7" s="431"/>
      <c r="I7" s="772"/>
      <c r="J7" s="771"/>
      <c r="K7" s="773"/>
      <c r="L7" s="774"/>
      <c r="M7" s="775"/>
      <c r="N7" s="173"/>
    </row>
    <row r="8">
      <c r="A8" s="800"/>
      <c r="B8" s="766"/>
      <c r="C8" s="767"/>
      <c r="D8" s="768"/>
      <c r="E8" s="769"/>
      <c r="F8" s="770"/>
      <c r="G8" s="771"/>
      <c r="H8" s="431"/>
      <c r="I8" s="772"/>
      <c r="J8" s="771"/>
      <c r="K8" s="773"/>
      <c r="L8" s="774"/>
      <c r="M8" s="775"/>
      <c r="N8" s="173"/>
    </row>
    <row r="9">
      <c r="A9" s="285"/>
      <c r="B9" s="286"/>
      <c r="C9" s="285"/>
      <c r="D9" s="285"/>
      <c r="E9" s="287"/>
      <c r="F9" s="288"/>
      <c r="G9" s="289"/>
      <c r="H9" s="285"/>
      <c r="I9" s="285"/>
      <c r="J9" s="285"/>
      <c r="K9" s="285"/>
      <c r="L9" s="285"/>
      <c r="M9" s="285"/>
      <c r="N9" s="290"/>
    </row>
    <row r="10">
      <c r="A10" s="291" t="s">
        <v>153</v>
      </c>
      <c r="B10" s="292">
        <f>Count(C2:C100)</f>
        <v>3</v>
      </c>
      <c r="D10" s="68"/>
      <c r="E10" s="284"/>
      <c r="F10" s="293"/>
      <c r="G10" s="279"/>
      <c r="H10" s="68"/>
      <c r="I10" s="68"/>
      <c r="J10" s="68"/>
      <c r="K10" s="68"/>
      <c r="L10" s="68"/>
      <c r="M10" s="68"/>
      <c r="N10" s="283"/>
    </row>
    <row r="11">
      <c r="A11" s="294" t="s">
        <v>335</v>
      </c>
      <c r="E11" s="284"/>
      <c r="F11" s="293"/>
      <c r="G11" s="295"/>
      <c r="N11" s="283"/>
    </row>
    <row r="12">
      <c r="A12" s="275"/>
      <c r="B12" s="68"/>
      <c r="C12" s="68"/>
      <c r="D12" s="68"/>
      <c r="E12" s="284"/>
      <c r="F12" s="293"/>
      <c r="G12" s="279"/>
      <c r="H12" s="68"/>
      <c r="I12" s="68"/>
      <c r="J12" s="68"/>
      <c r="K12" s="68"/>
      <c r="L12" s="68"/>
      <c r="M12" s="68"/>
      <c r="N12" s="283"/>
    </row>
    <row r="13">
      <c r="A13" s="296" t="str">
        <f>HYPERLINK("https://phillipreeve.net/blog/sony-fe-lenses/fe-list/","If you have a question or want to report any mistake please leave a comment on the blog.")</f>
        <v>If you have a question or want to report any mistake please leave a comment on the blog.</v>
      </c>
      <c r="B13" s="297"/>
      <c r="C13" s="297"/>
      <c r="D13" s="297"/>
      <c r="E13" s="298"/>
      <c r="F13" s="299"/>
      <c r="G13" s="300"/>
      <c r="H13" s="297"/>
      <c r="M13" s="297"/>
      <c r="N13" s="283"/>
    </row>
    <row r="14">
      <c r="E14" s="284"/>
      <c r="F14" s="293"/>
      <c r="G14" s="295"/>
      <c r="N14" s="283"/>
    </row>
    <row r="15">
      <c r="A15" s="275" t="s">
        <v>155</v>
      </c>
      <c r="E15" s="284"/>
      <c r="F15" s="293"/>
      <c r="G15" s="295"/>
      <c r="N15" s="283"/>
    </row>
    <row r="16">
      <c r="A16" s="116"/>
      <c r="E16" s="284"/>
      <c r="F16" s="293"/>
      <c r="G16" s="295"/>
      <c r="N16" s="283"/>
    </row>
    <row r="17">
      <c r="A17" s="116"/>
      <c r="E17" s="284"/>
      <c r="F17" s="293"/>
      <c r="G17" s="295"/>
      <c r="N17" s="283"/>
    </row>
    <row r="18">
      <c r="A18" s="116"/>
      <c r="E18" s="284"/>
      <c r="F18" s="293"/>
      <c r="G18" s="295"/>
      <c r="N18" s="283"/>
    </row>
    <row r="19">
      <c r="A19" s="116"/>
      <c r="E19" s="284"/>
      <c r="F19" s="293"/>
      <c r="G19" s="295"/>
      <c r="N19" s="283"/>
    </row>
    <row r="20">
      <c r="A20" s="116"/>
      <c r="E20" s="284"/>
      <c r="F20" s="293"/>
      <c r="G20" s="295"/>
      <c r="N20" s="283"/>
    </row>
    <row r="21">
      <c r="A21" s="116"/>
      <c r="E21" s="284"/>
      <c r="F21" s="293"/>
      <c r="G21" s="295"/>
      <c r="N21" s="283"/>
    </row>
    <row r="22">
      <c r="A22" s="116"/>
      <c r="E22" s="284"/>
      <c r="F22" s="293"/>
      <c r="G22" s="295"/>
      <c r="N22" s="283"/>
    </row>
    <row r="23">
      <c r="G23" s="295"/>
      <c r="N23" s="283"/>
    </row>
    <row r="24">
      <c r="A24" s="275"/>
      <c r="G24" s="295"/>
      <c r="N24" s="283"/>
    </row>
    <row r="25">
      <c r="G25" s="295"/>
      <c r="N25" s="283"/>
    </row>
    <row r="26">
      <c r="G26" s="295"/>
      <c r="N26" s="283"/>
    </row>
    <row r="27">
      <c r="G27" s="295"/>
      <c r="N27" s="283"/>
    </row>
    <row r="28">
      <c r="G28" s="295"/>
      <c r="N28" s="283"/>
    </row>
    <row r="29">
      <c r="A29" s="302"/>
      <c r="G29" s="295"/>
      <c r="N29" s="283"/>
    </row>
    <row r="30">
      <c r="A30" s="275" t="s">
        <v>163</v>
      </c>
      <c r="G30" s="295"/>
      <c r="N30" s="283"/>
    </row>
    <row r="31">
      <c r="A31" s="68" t="s">
        <v>164</v>
      </c>
      <c r="D31" s="302"/>
      <c r="G31" s="295"/>
      <c r="N31" s="283"/>
    </row>
    <row r="32">
      <c r="D32" s="302"/>
      <c r="G32" s="295"/>
      <c r="N32" s="283"/>
    </row>
    <row r="33">
      <c r="G33" s="295"/>
      <c r="N33" s="283"/>
    </row>
    <row r="34">
      <c r="A34" s="301" t="str">
        <f>HYPERLINK("https://phillipreeve.net/blog/impressum/","Impressum")</f>
        <v>Impressum</v>
      </c>
      <c r="G34" s="295"/>
      <c r="N34" s="283"/>
    </row>
    <row r="35">
      <c r="G35" s="295"/>
      <c r="N35" s="283"/>
    </row>
    <row r="36">
      <c r="G36" s="295"/>
      <c r="N36" s="283"/>
    </row>
    <row r="37">
      <c r="G37" s="295"/>
      <c r="N37" s="283"/>
    </row>
    <row r="38">
      <c r="G38" s="295"/>
      <c r="N38" s="283"/>
    </row>
    <row r="39">
      <c r="G39" s="295"/>
      <c r="N39" s="283"/>
    </row>
    <row r="40">
      <c r="A40" s="275"/>
      <c r="G40" s="295"/>
      <c r="N40" s="283"/>
    </row>
    <row r="41">
      <c r="A41" s="275"/>
      <c r="G41" s="295"/>
      <c r="N41" s="283"/>
    </row>
    <row r="42">
      <c r="A42" s="275"/>
      <c r="G42" s="295"/>
      <c r="N42" s="283"/>
    </row>
    <row r="43">
      <c r="A43" s="275"/>
      <c r="G43" s="295"/>
      <c r="N43" s="283"/>
    </row>
    <row r="44">
      <c r="A44" s="275"/>
      <c r="G44" s="295"/>
      <c r="N44" s="283"/>
    </row>
    <row r="45">
      <c r="A45" s="275"/>
      <c r="G45" s="295"/>
      <c r="N45" s="283"/>
    </row>
    <row r="46">
      <c r="A46" s="302"/>
      <c r="G46" s="295"/>
      <c r="N46" s="283"/>
    </row>
    <row r="47">
      <c r="A47" s="275"/>
      <c r="G47" s="295"/>
      <c r="N47" s="283"/>
    </row>
    <row r="48">
      <c r="A48" s="275"/>
      <c r="G48" s="295"/>
      <c r="N48" s="283"/>
    </row>
    <row r="49">
      <c r="A49" s="302"/>
      <c r="G49" s="295"/>
      <c r="N49" s="283"/>
    </row>
    <row r="50">
      <c r="A50" s="275"/>
      <c r="G50" s="295"/>
      <c r="N50" s="283"/>
    </row>
    <row r="51">
      <c r="A51" s="275"/>
      <c r="G51" s="295"/>
      <c r="N51" s="283"/>
    </row>
    <row r="52">
      <c r="A52" s="275"/>
      <c r="G52" s="295"/>
      <c r="N52" s="283"/>
    </row>
    <row r="53">
      <c r="A53" s="275"/>
      <c r="G53" s="295"/>
      <c r="N53" s="283"/>
    </row>
    <row r="54">
      <c r="A54" s="275"/>
      <c r="G54" s="295"/>
      <c r="N54" s="283"/>
    </row>
    <row r="55">
      <c r="A55" s="275"/>
      <c r="G55" s="295"/>
      <c r="N55" s="283"/>
    </row>
    <row r="56">
      <c r="A56" s="275"/>
      <c r="G56" s="295"/>
      <c r="N56" s="283"/>
    </row>
    <row r="57">
      <c r="A57" s="275"/>
      <c r="G57" s="295"/>
      <c r="N57" s="283"/>
    </row>
    <row r="58">
      <c r="A58" s="275"/>
      <c r="G58" s="295"/>
      <c r="N58" s="283"/>
    </row>
    <row r="59">
      <c r="A59" s="302"/>
      <c r="G59" s="295"/>
      <c r="N59" s="283"/>
    </row>
    <row r="60">
      <c r="A60" s="302"/>
      <c r="G60" s="295"/>
      <c r="N60" s="283"/>
    </row>
    <row r="61">
      <c r="G61" s="295"/>
      <c r="N61" s="283"/>
    </row>
    <row r="62">
      <c r="G62" s="295"/>
      <c r="N62" s="283"/>
    </row>
    <row r="63">
      <c r="G63" s="295"/>
      <c r="N63" s="283"/>
    </row>
    <row r="64">
      <c r="G64" s="295"/>
      <c r="N64" s="283"/>
    </row>
    <row r="65">
      <c r="G65" s="295"/>
    </row>
    <row r="66">
      <c r="G66" s="295"/>
    </row>
    <row r="67">
      <c r="G67" s="295"/>
    </row>
    <row r="68">
      <c r="G68" s="295"/>
    </row>
    <row r="69">
      <c r="G69" s="295"/>
    </row>
    <row r="70">
      <c r="G70" s="295"/>
    </row>
    <row r="71">
      <c r="G71" s="295"/>
    </row>
    <row r="72">
      <c r="G72" s="295"/>
    </row>
    <row r="73">
      <c r="G73" s="295"/>
    </row>
    <row r="74">
      <c r="G74" s="295"/>
    </row>
    <row r="75">
      <c r="G75" s="295"/>
    </row>
    <row r="76">
      <c r="G76" s="295"/>
    </row>
    <row r="77">
      <c r="G77" s="295"/>
    </row>
    <row r="78">
      <c r="G78" s="295"/>
    </row>
    <row r="79">
      <c r="G79" s="295"/>
    </row>
    <row r="80">
      <c r="G80" s="295"/>
    </row>
    <row r="81">
      <c r="G81" s="295"/>
    </row>
    <row r="82">
      <c r="G82" s="295"/>
    </row>
    <row r="83">
      <c r="G83" s="295"/>
    </row>
    <row r="84">
      <c r="G84" s="295"/>
    </row>
    <row r="85">
      <c r="G85" s="295"/>
    </row>
    <row r="86">
      <c r="G86" s="295"/>
    </row>
    <row r="87">
      <c r="G87" s="295"/>
    </row>
    <row r="88">
      <c r="G88" s="295"/>
    </row>
    <row r="89">
      <c r="G89" s="295"/>
    </row>
    <row r="90">
      <c r="G90" s="295"/>
    </row>
    <row r="91">
      <c r="G91" s="295"/>
    </row>
    <row r="92">
      <c r="G92" s="295"/>
    </row>
    <row r="93">
      <c r="G93" s="295"/>
    </row>
    <row r="94">
      <c r="G94" s="295"/>
    </row>
    <row r="95">
      <c r="G95" s="295"/>
    </row>
    <row r="96">
      <c r="G96" s="295"/>
    </row>
    <row r="97">
      <c r="G97" s="295"/>
    </row>
    <row r="98">
      <c r="G98" s="295"/>
    </row>
    <row r="99">
      <c r="G99" s="295"/>
    </row>
    <row r="100">
      <c r="G100" s="295"/>
    </row>
    <row r="101">
      <c r="G101" s="295"/>
    </row>
    <row r="102">
      <c r="G102" s="295"/>
    </row>
    <row r="103">
      <c r="G103" s="295"/>
    </row>
    <row r="104">
      <c r="G104" s="295"/>
    </row>
    <row r="105">
      <c r="G105" s="295"/>
    </row>
    <row r="106">
      <c r="G106" s="295"/>
    </row>
    <row r="107">
      <c r="G107" s="295"/>
    </row>
    <row r="108">
      <c r="G108" s="295"/>
    </row>
    <row r="109">
      <c r="G109" s="295"/>
    </row>
    <row r="110">
      <c r="G110" s="295"/>
    </row>
    <row r="111">
      <c r="G111" s="295"/>
    </row>
    <row r="112">
      <c r="G112" s="295"/>
    </row>
    <row r="113">
      <c r="G113" s="295"/>
    </row>
    <row r="114">
      <c r="G114" s="295"/>
    </row>
    <row r="115">
      <c r="G115" s="295"/>
    </row>
    <row r="116">
      <c r="G116" s="295"/>
    </row>
    <row r="117">
      <c r="G117" s="295"/>
    </row>
    <row r="118">
      <c r="G118" s="295"/>
    </row>
    <row r="119">
      <c r="G119" s="295"/>
    </row>
    <row r="120">
      <c r="G120" s="295"/>
    </row>
    <row r="121">
      <c r="G121" s="295"/>
    </row>
    <row r="122">
      <c r="G122" s="295"/>
    </row>
    <row r="123">
      <c r="G123" s="295"/>
    </row>
    <row r="124">
      <c r="G124" s="295"/>
    </row>
    <row r="125">
      <c r="G125" s="295"/>
    </row>
    <row r="126">
      <c r="G126" s="295"/>
    </row>
    <row r="127">
      <c r="G127" s="295"/>
    </row>
    <row r="128">
      <c r="G128" s="295"/>
    </row>
    <row r="129">
      <c r="G129" s="295"/>
    </row>
    <row r="130">
      <c r="G130" s="295"/>
    </row>
    <row r="131">
      <c r="G131" s="295"/>
    </row>
    <row r="132">
      <c r="G132" s="295"/>
    </row>
    <row r="133">
      <c r="G133" s="295"/>
    </row>
    <row r="134">
      <c r="G134" s="295"/>
    </row>
    <row r="135">
      <c r="G135" s="295"/>
    </row>
    <row r="136">
      <c r="G136" s="295"/>
    </row>
    <row r="137">
      <c r="G137" s="295"/>
    </row>
    <row r="138">
      <c r="G138" s="295"/>
    </row>
    <row r="139">
      <c r="G139" s="295"/>
    </row>
    <row r="140">
      <c r="G140" s="295"/>
    </row>
    <row r="141">
      <c r="G141" s="295"/>
    </row>
    <row r="142">
      <c r="G142" s="295"/>
    </row>
    <row r="143">
      <c r="G143" s="295"/>
    </row>
    <row r="144">
      <c r="G144" s="295"/>
    </row>
    <row r="145">
      <c r="G145" s="295"/>
    </row>
    <row r="146">
      <c r="G146" s="295"/>
    </row>
    <row r="147">
      <c r="G147" s="295"/>
    </row>
    <row r="148">
      <c r="G148" s="295"/>
    </row>
    <row r="149">
      <c r="G149" s="295"/>
    </row>
    <row r="150">
      <c r="G150" s="295"/>
    </row>
    <row r="151">
      <c r="G151" s="295"/>
    </row>
    <row r="152">
      <c r="G152" s="295"/>
    </row>
    <row r="153">
      <c r="G153" s="295"/>
    </row>
    <row r="154">
      <c r="G154" s="295"/>
    </row>
    <row r="155">
      <c r="G155" s="295"/>
    </row>
    <row r="156">
      <c r="G156" s="295"/>
    </row>
    <row r="157">
      <c r="G157" s="295"/>
    </row>
    <row r="158">
      <c r="G158" s="295"/>
    </row>
    <row r="159">
      <c r="G159" s="295"/>
    </row>
    <row r="160">
      <c r="G160" s="295"/>
    </row>
    <row r="161">
      <c r="G161" s="295"/>
    </row>
    <row r="162">
      <c r="G162" s="295"/>
    </row>
    <row r="163">
      <c r="G163" s="295"/>
    </row>
    <row r="164">
      <c r="G164" s="295"/>
    </row>
    <row r="165">
      <c r="G165" s="295"/>
    </row>
    <row r="166">
      <c r="G166" s="295"/>
    </row>
    <row r="167">
      <c r="G167" s="295"/>
    </row>
    <row r="168">
      <c r="G168" s="295"/>
    </row>
    <row r="169">
      <c r="G169" s="295"/>
    </row>
    <row r="170">
      <c r="G170" s="295"/>
    </row>
    <row r="171">
      <c r="G171" s="295"/>
    </row>
    <row r="172">
      <c r="G172" s="295"/>
    </row>
    <row r="173">
      <c r="G173" s="295"/>
    </row>
    <row r="174">
      <c r="G174" s="295"/>
    </row>
    <row r="175">
      <c r="G175" s="295"/>
    </row>
    <row r="176">
      <c r="G176" s="295"/>
    </row>
    <row r="177">
      <c r="G177" s="295"/>
    </row>
    <row r="178">
      <c r="G178" s="295"/>
    </row>
    <row r="179">
      <c r="G179" s="295"/>
    </row>
    <row r="180">
      <c r="G180" s="295"/>
    </row>
    <row r="181">
      <c r="G181" s="295"/>
    </row>
    <row r="182">
      <c r="G182" s="295"/>
    </row>
    <row r="183">
      <c r="G183" s="295"/>
    </row>
    <row r="184">
      <c r="G184" s="295"/>
    </row>
    <row r="185">
      <c r="G185" s="295"/>
    </row>
    <row r="186">
      <c r="G186" s="295"/>
    </row>
    <row r="187">
      <c r="G187" s="295"/>
    </row>
    <row r="188">
      <c r="G188" s="295"/>
    </row>
    <row r="189">
      <c r="G189" s="295"/>
    </row>
    <row r="190">
      <c r="G190" s="295"/>
    </row>
    <row r="191">
      <c r="G191" s="295"/>
    </row>
    <row r="192">
      <c r="G192" s="295"/>
    </row>
    <row r="193">
      <c r="G193" s="295"/>
    </row>
    <row r="194">
      <c r="G194" s="295"/>
    </row>
    <row r="195">
      <c r="G195" s="295"/>
    </row>
    <row r="196">
      <c r="G196" s="295"/>
    </row>
    <row r="197">
      <c r="G197" s="295"/>
    </row>
    <row r="198">
      <c r="G198" s="295"/>
    </row>
    <row r="199">
      <c r="G199" s="295"/>
    </row>
    <row r="200">
      <c r="G200" s="295"/>
    </row>
    <row r="201">
      <c r="G201" s="295"/>
    </row>
    <row r="202">
      <c r="G202" s="295"/>
    </row>
    <row r="203">
      <c r="G203" s="295"/>
    </row>
    <row r="204">
      <c r="G204" s="295"/>
    </row>
    <row r="205">
      <c r="G205" s="295"/>
    </row>
    <row r="206">
      <c r="G206" s="295"/>
    </row>
    <row r="207">
      <c r="G207" s="295"/>
    </row>
    <row r="208">
      <c r="G208" s="295"/>
    </row>
    <row r="209">
      <c r="G209" s="295"/>
    </row>
    <row r="210">
      <c r="G210" s="295"/>
    </row>
    <row r="211">
      <c r="G211" s="295"/>
    </row>
    <row r="212">
      <c r="G212" s="295"/>
    </row>
    <row r="213">
      <c r="G213" s="295"/>
    </row>
    <row r="214">
      <c r="G214" s="295"/>
    </row>
    <row r="215">
      <c r="G215" s="295"/>
    </row>
    <row r="216">
      <c r="G216" s="295"/>
    </row>
    <row r="217">
      <c r="G217" s="295"/>
    </row>
    <row r="218">
      <c r="G218" s="295"/>
    </row>
    <row r="219">
      <c r="G219" s="295"/>
    </row>
    <row r="220">
      <c r="G220" s="295"/>
    </row>
    <row r="221">
      <c r="G221" s="295"/>
    </row>
    <row r="222">
      <c r="G222" s="295"/>
    </row>
    <row r="223">
      <c r="G223" s="295"/>
    </row>
    <row r="224">
      <c r="G224" s="295"/>
    </row>
    <row r="225">
      <c r="G225" s="295"/>
    </row>
    <row r="226">
      <c r="G226" s="295"/>
    </row>
    <row r="227">
      <c r="G227" s="295"/>
    </row>
    <row r="228">
      <c r="G228" s="295"/>
    </row>
    <row r="229">
      <c r="G229" s="295"/>
    </row>
    <row r="230">
      <c r="G230" s="295"/>
    </row>
    <row r="231">
      <c r="G231" s="295"/>
    </row>
    <row r="232">
      <c r="G232" s="295"/>
    </row>
    <row r="233">
      <c r="G233" s="295"/>
    </row>
    <row r="234">
      <c r="G234" s="295"/>
    </row>
    <row r="235">
      <c r="G235" s="295"/>
    </row>
    <row r="236">
      <c r="G236" s="295"/>
    </row>
    <row r="237">
      <c r="G237" s="295"/>
    </row>
    <row r="238">
      <c r="G238" s="295"/>
    </row>
    <row r="239">
      <c r="G239" s="295"/>
    </row>
    <row r="240">
      <c r="G240" s="295"/>
    </row>
    <row r="241">
      <c r="G241" s="295"/>
    </row>
    <row r="242">
      <c r="G242" s="295"/>
    </row>
    <row r="243">
      <c r="G243" s="295"/>
    </row>
    <row r="244">
      <c r="G244" s="295"/>
    </row>
    <row r="245">
      <c r="G245" s="295"/>
    </row>
    <row r="246">
      <c r="G246" s="295"/>
    </row>
    <row r="247">
      <c r="G247" s="295"/>
    </row>
    <row r="248">
      <c r="G248" s="295"/>
    </row>
    <row r="249">
      <c r="G249" s="295"/>
    </row>
    <row r="250">
      <c r="G250" s="295"/>
    </row>
    <row r="251">
      <c r="G251" s="295"/>
    </row>
    <row r="252">
      <c r="G252" s="295"/>
    </row>
    <row r="253">
      <c r="G253" s="295"/>
    </row>
    <row r="254">
      <c r="G254" s="295"/>
    </row>
    <row r="255">
      <c r="G255" s="295"/>
    </row>
    <row r="256">
      <c r="G256" s="295"/>
    </row>
    <row r="257">
      <c r="G257" s="295"/>
    </row>
    <row r="258">
      <c r="G258" s="295"/>
    </row>
    <row r="259">
      <c r="G259" s="295"/>
    </row>
    <row r="260">
      <c r="G260" s="295"/>
    </row>
    <row r="261">
      <c r="G261" s="295"/>
    </row>
    <row r="262">
      <c r="G262" s="295"/>
    </row>
    <row r="263">
      <c r="G263" s="295"/>
    </row>
    <row r="264">
      <c r="G264" s="295"/>
    </row>
    <row r="265">
      <c r="G265" s="295"/>
    </row>
    <row r="266">
      <c r="G266" s="295"/>
    </row>
    <row r="267">
      <c r="G267" s="295"/>
    </row>
    <row r="268">
      <c r="G268" s="295"/>
    </row>
    <row r="269">
      <c r="G269" s="295"/>
    </row>
    <row r="270">
      <c r="G270" s="295"/>
    </row>
    <row r="271">
      <c r="G271" s="295"/>
    </row>
    <row r="272">
      <c r="G272" s="295"/>
    </row>
    <row r="273">
      <c r="G273" s="295"/>
    </row>
    <row r="274">
      <c r="G274" s="295"/>
    </row>
    <row r="275">
      <c r="G275" s="295"/>
    </row>
    <row r="276">
      <c r="G276" s="295"/>
    </row>
    <row r="277">
      <c r="G277" s="295"/>
    </row>
    <row r="278">
      <c r="G278" s="295"/>
    </row>
    <row r="279">
      <c r="G279" s="295"/>
    </row>
    <row r="280">
      <c r="G280" s="295"/>
    </row>
    <row r="281">
      <c r="G281" s="295"/>
    </row>
    <row r="282">
      <c r="G282" s="295"/>
    </row>
    <row r="283">
      <c r="G283" s="295"/>
    </row>
    <row r="284">
      <c r="G284" s="295"/>
    </row>
    <row r="285">
      <c r="G285" s="295"/>
    </row>
    <row r="286">
      <c r="G286" s="295"/>
    </row>
    <row r="287">
      <c r="G287" s="295"/>
    </row>
    <row r="288">
      <c r="G288" s="295"/>
    </row>
    <row r="289">
      <c r="G289" s="295"/>
    </row>
    <row r="290">
      <c r="G290" s="295"/>
    </row>
    <row r="291">
      <c r="G291" s="295"/>
    </row>
    <row r="292">
      <c r="G292" s="295"/>
    </row>
    <row r="293">
      <c r="G293" s="295"/>
    </row>
    <row r="294">
      <c r="G294" s="295"/>
    </row>
    <row r="295">
      <c r="G295" s="295"/>
    </row>
    <row r="296">
      <c r="G296" s="295"/>
    </row>
    <row r="297">
      <c r="G297" s="295"/>
    </row>
    <row r="298">
      <c r="G298" s="295"/>
    </row>
    <row r="299">
      <c r="G299" s="295"/>
    </row>
    <row r="300">
      <c r="G300" s="295"/>
    </row>
    <row r="301">
      <c r="G301" s="295"/>
    </row>
    <row r="302">
      <c r="G302" s="295"/>
    </row>
    <row r="303">
      <c r="G303" s="295"/>
    </row>
    <row r="304">
      <c r="G304" s="295"/>
    </row>
    <row r="305">
      <c r="G305" s="295"/>
    </row>
    <row r="306">
      <c r="G306" s="295"/>
    </row>
    <row r="307">
      <c r="G307" s="295"/>
    </row>
    <row r="308">
      <c r="G308" s="295"/>
    </row>
    <row r="309">
      <c r="G309" s="295"/>
    </row>
    <row r="310">
      <c r="G310" s="295"/>
    </row>
    <row r="311">
      <c r="G311" s="295"/>
    </row>
    <row r="312">
      <c r="G312" s="295"/>
    </row>
    <row r="313">
      <c r="G313" s="295"/>
    </row>
    <row r="314">
      <c r="G314" s="295"/>
    </row>
    <row r="315">
      <c r="G315" s="295"/>
    </row>
    <row r="316">
      <c r="G316" s="295"/>
    </row>
    <row r="317">
      <c r="G317" s="295"/>
    </row>
    <row r="318">
      <c r="G318" s="295"/>
    </row>
    <row r="319">
      <c r="G319" s="295"/>
    </row>
    <row r="320">
      <c r="G320" s="295"/>
    </row>
    <row r="321">
      <c r="G321" s="295"/>
    </row>
    <row r="322">
      <c r="G322" s="295"/>
    </row>
    <row r="323">
      <c r="G323" s="295"/>
    </row>
    <row r="324">
      <c r="G324" s="295"/>
    </row>
    <row r="325">
      <c r="G325" s="295"/>
    </row>
    <row r="326">
      <c r="G326" s="295"/>
    </row>
    <row r="327">
      <c r="G327" s="295"/>
    </row>
    <row r="328">
      <c r="G328" s="295"/>
    </row>
    <row r="329">
      <c r="G329" s="295"/>
    </row>
    <row r="330">
      <c r="G330" s="295"/>
    </row>
    <row r="331">
      <c r="G331" s="295"/>
    </row>
    <row r="332">
      <c r="G332" s="295"/>
    </row>
    <row r="333">
      <c r="G333" s="295"/>
    </row>
    <row r="334">
      <c r="G334" s="295"/>
    </row>
    <row r="335">
      <c r="G335" s="295"/>
    </row>
    <row r="336">
      <c r="G336" s="295"/>
    </row>
    <row r="337">
      <c r="G337" s="295"/>
    </row>
    <row r="338">
      <c r="G338" s="295"/>
    </row>
    <row r="339">
      <c r="G339" s="295"/>
    </row>
    <row r="340">
      <c r="G340" s="295"/>
    </row>
    <row r="341">
      <c r="G341" s="295"/>
    </row>
    <row r="342">
      <c r="G342" s="295"/>
    </row>
    <row r="343">
      <c r="G343" s="295"/>
    </row>
    <row r="344">
      <c r="G344" s="295"/>
    </row>
    <row r="345">
      <c r="G345" s="295"/>
    </row>
    <row r="346">
      <c r="G346" s="295"/>
    </row>
    <row r="347">
      <c r="G347" s="295"/>
    </row>
    <row r="348">
      <c r="G348" s="295"/>
    </row>
    <row r="349">
      <c r="G349" s="295"/>
    </row>
    <row r="350">
      <c r="G350" s="295"/>
    </row>
    <row r="351">
      <c r="G351" s="295"/>
    </row>
    <row r="352">
      <c r="G352" s="295"/>
    </row>
    <row r="353">
      <c r="G353" s="295"/>
    </row>
    <row r="354">
      <c r="G354" s="295"/>
    </row>
    <row r="355">
      <c r="G355" s="295"/>
    </row>
    <row r="356">
      <c r="G356" s="295"/>
    </row>
    <row r="357">
      <c r="G357" s="295"/>
    </row>
    <row r="358">
      <c r="G358" s="295"/>
    </row>
    <row r="359">
      <c r="G359" s="295"/>
    </row>
    <row r="360">
      <c r="G360" s="295"/>
    </row>
    <row r="361">
      <c r="G361" s="295"/>
    </row>
    <row r="362">
      <c r="G362" s="295"/>
    </row>
    <row r="363">
      <c r="G363" s="295"/>
    </row>
    <row r="364">
      <c r="G364" s="295"/>
    </row>
    <row r="365">
      <c r="G365" s="295"/>
    </row>
    <row r="366">
      <c r="G366" s="295"/>
    </row>
    <row r="367">
      <c r="G367" s="295"/>
    </row>
    <row r="368">
      <c r="G368" s="295"/>
    </row>
    <row r="369">
      <c r="G369" s="295"/>
    </row>
    <row r="370">
      <c r="G370" s="295"/>
    </row>
    <row r="371">
      <c r="G371" s="295"/>
    </row>
    <row r="372">
      <c r="G372" s="295"/>
    </row>
    <row r="373">
      <c r="G373" s="295"/>
    </row>
    <row r="374">
      <c r="G374" s="295"/>
    </row>
    <row r="375">
      <c r="G375" s="295"/>
    </row>
    <row r="376">
      <c r="G376" s="295"/>
    </row>
    <row r="377">
      <c r="G377" s="295"/>
    </row>
    <row r="378">
      <c r="G378" s="295"/>
    </row>
    <row r="379">
      <c r="G379" s="295"/>
    </row>
    <row r="380">
      <c r="G380" s="295"/>
    </row>
    <row r="381">
      <c r="G381" s="295"/>
    </row>
    <row r="382">
      <c r="G382" s="295"/>
    </row>
    <row r="383">
      <c r="G383" s="295"/>
    </row>
    <row r="384">
      <c r="G384" s="295"/>
    </row>
    <row r="385">
      <c r="G385" s="295"/>
    </row>
    <row r="386">
      <c r="G386" s="295"/>
    </row>
    <row r="387">
      <c r="G387" s="295"/>
    </row>
    <row r="388">
      <c r="G388" s="295"/>
    </row>
    <row r="389">
      <c r="G389" s="295"/>
    </row>
    <row r="390">
      <c r="G390" s="295"/>
    </row>
    <row r="391">
      <c r="G391" s="295"/>
    </row>
    <row r="392">
      <c r="G392" s="295"/>
    </row>
    <row r="393">
      <c r="G393" s="295"/>
    </row>
    <row r="394">
      <c r="G394" s="295"/>
    </row>
    <row r="395">
      <c r="G395" s="295"/>
    </row>
    <row r="396">
      <c r="G396" s="295"/>
    </row>
    <row r="397">
      <c r="G397" s="295"/>
    </row>
    <row r="398">
      <c r="G398" s="295"/>
    </row>
    <row r="399">
      <c r="G399" s="295"/>
    </row>
    <row r="400">
      <c r="G400" s="295"/>
    </row>
    <row r="401">
      <c r="G401" s="295"/>
    </row>
    <row r="402">
      <c r="G402" s="295"/>
    </row>
    <row r="403">
      <c r="G403" s="295"/>
    </row>
    <row r="404">
      <c r="G404" s="295"/>
    </row>
    <row r="405">
      <c r="G405" s="295"/>
    </row>
    <row r="406">
      <c r="G406" s="295"/>
    </row>
    <row r="407">
      <c r="G407" s="295"/>
    </row>
    <row r="408">
      <c r="G408" s="295"/>
    </row>
    <row r="409">
      <c r="G409" s="295"/>
    </row>
    <row r="410">
      <c r="G410" s="295"/>
    </row>
    <row r="411">
      <c r="G411" s="295"/>
    </row>
    <row r="412">
      <c r="G412" s="295"/>
    </row>
    <row r="413">
      <c r="G413" s="295"/>
    </row>
    <row r="414">
      <c r="G414" s="295"/>
    </row>
    <row r="415">
      <c r="G415" s="295"/>
    </row>
    <row r="416">
      <c r="G416" s="295"/>
    </row>
    <row r="417">
      <c r="G417" s="295"/>
    </row>
    <row r="418">
      <c r="G418" s="295"/>
    </row>
    <row r="419">
      <c r="G419" s="295"/>
    </row>
    <row r="420">
      <c r="G420" s="295"/>
    </row>
    <row r="421">
      <c r="G421" s="295"/>
    </row>
    <row r="422">
      <c r="G422" s="295"/>
    </row>
    <row r="423">
      <c r="G423" s="295"/>
    </row>
    <row r="424">
      <c r="G424" s="295"/>
    </row>
    <row r="425">
      <c r="G425" s="295"/>
    </row>
    <row r="426">
      <c r="G426" s="295"/>
    </row>
    <row r="427">
      <c r="G427" s="295"/>
    </row>
    <row r="428">
      <c r="G428" s="295"/>
    </row>
    <row r="429">
      <c r="G429" s="295"/>
    </row>
    <row r="430">
      <c r="G430" s="295"/>
    </row>
    <row r="431">
      <c r="G431" s="295"/>
    </row>
    <row r="432">
      <c r="G432" s="295"/>
    </row>
    <row r="433">
      <c r="G433" s="295"/>
    </row>
    <row r="434">
      <c r="G434" s="295"/>
    </row>
    <row r="435">
      <c r="G435" s="295"/>
    </row>
    <row r="436">
      <c r="G436" s="295"/>
    </row>
    <row r="437">
      <c r="G437" s="295"/>
    </row>
    <row r="438">
      <c r="G438" s="295"/>
    </row>
    <row r="439">
      <c r="G439" s="295"/>
    </row>
    <row r="440">
      <c r="G440" s="295"/>
    </row>
    <row r="441">
      <c r="G441" s="295"/>
    </row>
    <row r="442">
      <c r="G442" s="295"/>
    </row>
    <row r="443">
      <c r="G443" s="295"/>
    </row>
    <row r="444">
      <c r="G444" s="295"/>
    </row>
    <row r="445">
      <c r="G445" s="295"/>
    </row>
    <row r="446">
      <c r="G446" s="295"/>
    </row>
    <row r="447">
      <c r="G447" s="295"/>
    </row>
    <row r="448">
      <c r="G448" s="295"/>
    </row>
    <row r="449">
      <c r="G449" s="295"/>
    </row>
    <row r="450">
      <c r="G450" s="295"/>
    </row>
    <row r="451">
      <c r="G451" s="295"/>
    </row>
    <row r="452">
      <c r="G452" s="295"/>
    </row>
    <row r="453">
      <c r="G453" s="295"/>
    </row>
    <row r="454">
      <c r="G454" s="295"/>
    </row>
    <row r="455">
      <c r="G455" s="295"/>
    </row>
    <row r="456">
      <c r="G456" s="295"/>
    </row>
    <row r="457">
      <c r="G457" s="295"/>
    </row>
    <row r="458">
      <c r="G458" s="295"/>
    </row>
    <row r="459">
      <c r="G459" s="295"/>
    </row>
    <row r="460">
      <c r="G460" s="295"/>
    </row>
    <row r="461">
      <c r="G461" s="295"/>
    </row>
    <row r="462">
      <c r="G462" s="295"/>
    </row>
    <row r="463">
      <c r="G463" s="295"/>
    </row>
    <row r="464">
      <c r="G464" s="295"/>
    </row>
    <row r="465">
      <c r="G465" s="295"/>
    </row>
    <row r="466">
      <c r="G466" s="295"/>
    </row>
    <row r="467">
      <c r="G467" s="295"/>
    </row>
    <row r="468">
      <c r="G468" s="295"/>
    </row>
    <row r="469">
      <c r="G469" s="295"/>
    </row>
    <row r="470">
      <c r="G470" s="295"/>
    </row>
    <row r="471">
      <c r="G471" s="295"/>
    </row>
    <row r="472">
      <c r="G472" s="295"/>
    </row>
    <row r="473">
      <c r="G473" s="295"/>
    </row>
    <row r="474">
      <c r="G474" s="295"/>
    </row>
    <row r="475">
      <c r="G475" s="295"/>
    </row>
    <row r="476">
      <c r="G476" s="295"/>
    </row>
    <row r="477">
      <c r="G477" s="295"/>
    </row>
    <row r="478">
      <c r="G478" s="295"/>
    </row>
    <row r="479">
      <c r="G479" s="295"/>
    </row>
    <row r="480">
      <c r="G480" s="295"/>
    </row>
    <row r="481">
      <c r="G481" s="295"/>
    </row>
    <row r="482">
      <c r="G482" s="295"/>
    </row>
    <row r="483">
      <c r="G483" s="295"/>
    </row>
    <row r="484">
      <c r="G484" s="295"/>
    </row>
    <row r="485">
      <c r="G485" s="295"/>
    </row>
    <row r="486">
      <c r="G486" s="295"/>
    </row>
    <row r="487">
      <c r="G487" s="295"/>
    </row>
    <row r="488">
      <c r="G488" s="295"/>
    </row>
    <row r="489">
      <c r="G489" s="295"/>
    </row>
    <row r="490">
      <c r="G490" s="295"/>
    </row>
    <row r="491">
      <c r="G491" s="295"/>
    </row>
    <row r="492">
      <c r="G492" s="295"/>
    </row>
    <row r="493">
      <c r="G493" s="295"/>
    </row>
    <row r="494">
      <c r="G494" s="295"/>
    </row>
    <row r="495">
      <c r="G495" s="295"/>
    </row>
    <row r="496">
      <c r="G496" s="295"/>
    </row>
    <row r="497">
      <c r="G497" s="295"/>
    </row>
    <row r="498">
      <c r="G498" s="295"/>
    </row>
    <row r="499">
      <c r="G499" s="295"/>
    </row>
    <row r="500">
      <c r="G500" s="295"/>
    </row>
    <row r="501">
      <c r="G501" s="295"/>
    </row>
    <row r="502">
      <c r="G502" s="295"/>
    </row>
    <row r="503">
      <c r="G503" s="295"/>
    </row>
    <row r="504">
      <c r="G504" s="295"/>
    </row>
    <row r="505">
      <c r="G505" s="295"/>
    </row>
    <row r="506">
      <c r="G506" s="295"/>
    </row>
    <row r="507">
      <c r="G507" s="295"/>
    </row>
    <row r="508">
      <c r="G508" s="295"/>
    </row>
    <row r="509">
      <c r="G509" s="295"/>
    </row>
    <row r="510">
      <c r="G510" s="295"/>
    </row>
    <row r="511">
      <c r="G511" s="295"/>
    </row>
    <row r="512">
      <c r="G512" s="295"/>
    </row>
    <row r="513">
      <c r="G513" s="295"/>
    </row>
    <row r="514">
      <c r="G514" s="295"/>
    </row>
    <row r="515">
      <c r="G515" s="295"/>
    </row>
    <row r="516">
      <c r="G516" s="295"/>
    </row>
    <row r="517">
      <c r="G517" s="295"/>
    </row>
    <row r="518">
      <c r="G518" s="295"/>
    </row>
    <row r="519">
      <c r="G519" s="295"/>
    </row>
    <row r="520">
      <c r="G520" s="295"/>
    </row>
    <row r="521">
      <c r="G521" s="295"/>
    </row>
    <row r="522">
      <c r="G522" s="295"/>
    </row>
    <row r="523">
      <c r="G523" s="295"/>
    </row>
    <row r="524">
      <c r="G524" s="295"/>
    </row>
    <row r="525">
      <c r="G525" s="295"/>
    </row>
    <row r="526">
      <c r="G526" s="295"/>
    </row>
    <row r="527">
      <c r="G527" s="295"/>
    </row>
    <row r="528">
      <c r="G528" s="295"/>
    </row>
    <row r="529">
      <c r="G529" s="295"/>
    </row>
    <row r="530">
      <c r="G530" s="295"/>
    </row>
    <row r="531">
      <c r="G531" s="295"/>
    </row>
    <row r="532">
      <c r="G532" s="295"/>
    </row>
    <row r="533">
      <c r="G533" s="295"/>
    </row>
    <row r="534">
      <c r="G534" s="295"/>
    </row>
    <row r="535">
      <c r="G535" s="295"/>
    </row>
    <row r="536">
      <c r="G536" s="295"/>
    </row>
    <row r="537">
      <c r="G537" s="295"/>
    </row>
    <row r="538">
      <c r="G538" s="295"/>
    </row>
    <row r="539">
      <c r="G539" s="295"/>
    </row>
    <row r="540">
      <c r="G540" s="295"/>
    </row>
    <row r="541">
      <c r="G541" s="295"/>
    </row>
    <row r="542">
      <c r="G542" s="295"/>
    </row>
    <row r="543">
      <c r="G543" s="295"/>
    </row>
    <row r="544">
      <c r="G544" s="295"/>
    </row>
    <row r="545">
      <c r="G545" s="295"/>
    </row>
    <row r="546">
      <c r="G546" s="295"/>
    </row>
    <row r="547">
      <c r="G547" s="295"/>
    </row>
    <row r="548">
      <c r="G548" s="295"/>
    </row>
    <row r="549">
      <c r="G549" s="295"/>
    </row>
    <row r="550">
      <c r="G550" s="295"/>
    </row>
    <row r="551">
      <c r="G551" s="295"/>
    </row>
    <row r="552">
      <c r="G552" s="295"/>
    </row>
    <row r="553">
      <c r="G553" s="295"/>
    </row>
    <row r="554">
      <c r="G554" s="295"/>
    </row>
    <row r="555">
      <c r="G555" s="295"/>
    </row>
    <row r="556">
      <c r="G556" s="295"/>
    </row>
    <row r="557">
      <c r="G557" s="295"/>
    </row>
    <row r="558">
      <c r="G558" s="295"/>
    </row>
    <row r="559">
      <c r="G559" s="295"/>
    </row>
    <row r="560">
      <c r="G560" s="295"/>
    </row>
    <row r="561">
      <c r="G561" s="295"/>
    </row>
    <row r="562">
      <c r="G562" s="295"/>
    </row>
    <row r="563">
      <c r="G563" s="295"/>
    </row>
    <row r="564">
      <c r="G564" s="295"/>
    </row>
    <row r="565">
      <c r="G565" s="295"/>
    </row>
    <row r="566">
      <c r="G566" s="295"/>
    </row>
    <row r="567">
      <c r="G567" s="295"/>
    </row>
    <row r="568">
      <c r="G568" s="295"/>
    </row>
    <row r="569">
      <c r="G569" s="295"/>
    </row>
    <row r="570">
      <c r="G570" s="295"/>
    </row>
    <row r="571">
      <c r="G571" s="295"/>
    </row>
    <row r="572">
      <c r="G572" s="295"/>
    </row>
    <row r="573">
      <c r="G573" s="295"/>
    </row>
    <row r="574">
      <c r="G574" s="295"/>
    </row>
    <row r="575">
      <c r="G575" s="295"/>
    </row>
    <row r="576">
      <c r="G576" s="295"/>
    </row>
    <row r="577">
      <c r="G577" s="295"/>
    </row>
    <row r="578">
      <c r="G578" s="295"/>
    </row>
    <row r="579">
      <c r="G579" s="295"/>
    </row>
    <row r="580">
      <c r="G580" s="295"/>
    </row>
    <row r="581">
      <c r="G581" s="295"/>
    </row>
    <row r="582">
      <c r="G582" s="295"/>
    </row>
    <row r="583">
      <c r="G583" s="295"/>
    </row>
    <row r="584">
      <c r="G584" s="295"/>
    </row>
    <row r="585">
      <c r="G585" s="295"/>
    </row>
    <row r="586">
      <c r="G586" s="295"/>
    </row>
    <row r="587">
      <c r="G587" s="295"/>
    </row>
    <row r="588">
      <c r="G588" s="295"/>
    </row>
    <row r="589">
      <c r="G589" s="295"/>
    </row>
    <row r="590">
      <c r="G590" s="295"/>
    </row>
    <row r="591">
      <c r="G591" s="295"/>
    </row>
    <row r="592">
      <c r="G592" s="295"/>
    </row>
    <row r="593">
      <c r="G593" s="295"/>
    </row>
    <row r="594">
      <c r="G594" s="295"/>
    </row>
    <row r="595">
      <c r="G595" s="295"/>
    </row>
    <row r="596">
      <c r="G596" s="295"/>
    </row>
    <row r="597">
      <c r="G597" s="295"/>
    </row>
    <row r="598">
      <c r="G598" s="295"/>
    </row>
    <row r="599">
      <c r="G599" s="295"/>
    </row>
    <row r="600">
      <c r="G600" s="295"/>
    </row>
    <row r="601">
      <c r="G601" s="295"/>
    </row>
    <row r="602">
      <c r="G602" s="295"/>
    </row>
    <row r="603">
      <c r="G603" s="295"/>
    </row>
    <row r="604">
      <c r="G604" s="295"/>
    </row>
    <row r="605">
      <c r="G605" s="295"/>
    </row>
    <row r="606">
      <c r="G606" s="295"/>
    </row>
    <row r="607">
      <c r="G607" s="295"/>
    </row>
    <row r="608">
      <c r="G608" s="295"/>
    </row>
    <row r="609">
      <c r="G609" s="295"/>
    </row>
    <row r="610">
      <c r="G610" s="295"/>
    </row>
    <row r="611">
      <c r="G611" s="295"/>
    </row>
    <row r="612">
      <c r="G612" s="295"/>
    </row>
    <row r="613">
      <c r="G613" s="295"/>
    </row>
    <row r="614">
      <c r="G614" s="295"/>
    </row>
    <row r="615">
      <c r="G615" s="295"/>
    </row>
    <row r="616">
      <c r="G616" s="295"/>
    </row>
    <row r="617">
      <c r="G617" s="295"/>
    </row>
    <row r="618">
      <c r="G618" s="295"/>
    </row>
    <row r="619">
      <c r="G619" s="295"/>
    </row>
    <row r="620">
      <c r="G620" s="295"/>
    </row>
    <row r="621">
      <c r="G621" s="295"/>
    </row>
    <row r="622">
      <c r="G622" s="295"/>
    </row>
    <row r="623">
      <c r="G623" s="295"/>
    </row>
    <row r="624">
      <c r="G624" s="295"/>
    </row>
    <row r="625">
      <c r="G625" s="295"/>
    </row>
    <row r="626">
      <c r="G626" s="295"/>
    </row>
    <row r="627">
      <c r="G627" s="295"/>
    </row>
    <row r="628">
      <c r="G628" s="295"/>
    </row>
    <row r="629">
      <c r="G629" s="295"/>
    </row>
    <row r="630">
      <c r="G630" s="295"/>
    </row>
    <row r="631">
      <c r="G631" s="295"/>
    </row>
    <row r="632">
      <c r="G632" s="295"/>
    </row>
    <row r="633">
      <c r="G633" s="295"/>
    </row>
    <row r="634">
      <c r="G634" s="295"/>
    </row>
    <row r="635">
      <c r="G635" s="295"/>
    </row>
    <row r="636">
      <c r="G636" s="295"/>
    </row>
    <row r="637">
      <c r="G637" s="295"/>
    </row>
    <row r="638">
      <c r="G638" s="295"/>
    </row>
    <row r="639">
      <c r="G639" s="295"/>
    </row>
    <row r="640">
      <c r="G640" s="295"/>
    </row>
    <row r="641">
      <c r="G641" s="295"/>
    </row>
    <row r="642">
      <c r="G642" s="295"/>
    </row>
    <row r="643">
      <c r="G643" s="295"/>
    </row>
    <row r="644">
      <c r="G644" s="295"/>
    </row>
    <row r="645">
      <c r="G645" s="295"/>
    </row>
    <row r="646">
      <c r="G646" s="295"/>
    </row>
    <row r="647">
      <c r="G647" s="295"/>
    </row>
    <row r="648">
      <c r="G648" s="295"/>
    </row>
    <row r="649">
      <c r="G649" s="295"/>
    </row>
    <row r="650">
      <c r="G650" s="295"/>
    </row>
    <row r="651">
      <c r="G651" s="295"/>
    </row>
    <row r="652">
      <c r="G652" s="295"/>
    </row>
    <row r="653">
      <c r="G653" s="295"/>
    </row>
    <row r="654">
      <c r="G654" s="295"/>
    </row>
    <row r="655">
      <c r="G655" s="295"/>
    </row>
    <row r="656">
      <c r="G656" s="295"/>
    </row>
    <row r="657">
      <c r="G657" s="295"/>
    </row>
    <row r="658">
      <c r="G658" s="295"/>
    </row>
    <row r="659">
      <c r="G659" s="295"/>
    </row>
    <row r="660">
      <c r="G660" s="295"/>
    </row>
    <row r="661">
      <c r="G661" s="295"/>
    </row>
    <row r="662">
      <c r="G662" s="295"/>
    </row>
    <row r="663">
      <c r="G663" s="295"/>
    </row>
    <row r="664">
      <c r="G664" s="295"/>
    </row>
    <row r="665">
      <c r="G665" s="295"/>
    </row>
    <row r="666">
      <c r="G666" s="295"/>
    </row>
    <row r="667">
      <c r="G667" s="295"/>
    </row>
    <row r="668">
      <c r="G668" s="295"/>
    </row>
    <row r="669">
      <c r="G669" s="295"/>
    </row>
    <row r="670">
      <c r="G670" s="295"/>
    </row>
    <row r="671">
      <c r="G671" s="295"/>
    </row>
    <row r="672">
      <c r="G672" s="295"/>
    </row>
    <row r="673">
      <c r="G673" s="295"/>
    </row>
    <row r="674">
      <c r="G674" s="295"/>
    </row>
    <row r="675">
      <c r="G675" s="295"/>
    </row>
    <row r="676">
      <c r="G676" s="295"/>
    </row>
    <row r="677">
      <c r="G677" s="295"/>
    </row>
    <row r="678">
      <c r="G678" s="295"/>
    </row>
    <row r="679">
      <c r="G679" s="295"/>
    </row>
    <row r="680">
      <c r="G680" s="295"/>
    </row>
    <row r="681">
      <c r="G681" s="295"/>
    </row>
    <row r="682">
      <c r="G682" s="295"/>
    </row>
    <row r="683">
      <c r="G683" s="295"/>
    </row>
    <row r="684">
      <c r="G684" s="295"/>
    </row>
    <row r="685">
      <c r="G685" s="295"/>
    </row>
    <row r="686">
      <c r="G686" s="295"/>
    </row>
    <row r="687">
      <c r="G687" s="295"/>
    </row>
    <row r="688">
      <c r="G688" s="295"/>
    </row>
    <row r="689">
      <c r="G689" s="295"/>
    </row>
    <row r="690">
      <c r="G690" s="295"/>
    </row>
    <row r="691">
      <c r="G691" s="295"/>
    </row>
    <row r="692">
      <c r="G692" s="295"/>
    </row>
    <row r="693">
      <c r="G693" s="295"/>
    </row>
    <row r="694">
      <c r="G694" s="295"/>
    </row>
    <row r="695">
      <c r="G695" s="295"/>
    </row>
    <row r="696">
      <c r="G696" s="295"/>
    </row>
    <row r="697">
      <c r="G697" s="295"/>
    </row>
    <row r="698">
      <c r="G698" s="295"/>
    </row>
    <row r="699">
      <c r="G699" s="295"/>
    </row>
    <row r="700">
      <c r="G700" s="295"/>
    </row>
    <row r="701">
      <c r="G701" s="295"/>
    </row>
    <row r="702">
      <c r="G702" s="295"/>
    </row>
    <row r="703">
      <c r="G703" s="295"/>
    </row>
    <row r="704">
      <c r="G704" s="295"/>
    </row>
    <row r="705">
      <c r="G705" s="295"/>
    </row>
    <row r="706">
      <c r="G706" s="295"/>
    </row>
    <row r="707">
      <c r="G707" s="295"/>
    </row>
    <row r="708">
      <c r="G708" s="295"/>
    </row>
    <row r="709">
      <c r="G709" s="295"/>
    </row>
    <row r="710">
      <c r="G710" s="295"/>
    </row>
    <row r="711">
      <c r="G711" s="295"/>
    </row>
    <row r="712">
      <c r="G712" s="295"/>
    </row>
    <row r="713">
      <c r="G713" s="295"/>
    </row>
    <row r="714">
      <c r="G714" s="295"/>
    </row>
    <row r="715">
      <c r="G715" s="295"/>
    </row>
    <row r="716">
      <c r="G716" s="295"/>
    </row>
    <row r="717">
      <c r="G717" s="295"/>
    </row>
    <row r="718">
      <c r="G718" s="295"/>
    </row>
    <row r="719">
      <c r="G719" s="295"/>
    </row>
    <row r="720">
      <c r="G720" s="295"/>
    </row>
    <row r="721">
      <c r="G721" s="295"/>
    </row>
    <row r="722">
      <c r="G722" s="295"/>
    </row>
    <row r="723">
      <c r="G723" s="295"/>
    </row>
    <row r="724">
      <c r="G724" s="295"/>
    </row>
    <row r="725">
      <c r="G725" s="295"/>
    </row>
    <row r="726">
      <c r="G726" s="295"/>
    </row>
    <row r="727">
      <c r="G727" s="295"/>
    </row>
    <row r="728">
      <c r="G728" s="295"/>
    </row>
    <row r="729">
      <c r="G729" s="295"/>
    </row>
    <row r="730">
      <c r="G730" s="295"/>
    </row>
    <row r="731">
      <c r="G731" s="295"/>
    </row>
    <row r="732">
      <c r="G732" s="295"/>
    </row>
    <row r="733">
      <c r="G733" s="295"/>
    </row>
    <row r="734">
      <c r="G734" s="295"/>
    </row>
    <row r="735">
      <c r="G735" s="295"/>
    </row>
    <row r="736">
      <c r="G736" s="295"/>
    </row>
    <row r="737">
      <c r="G737" s="295"/>
    </row>
    <row r="738">
      <c r="G738" s="295"/>
    </row>
    <row r="739">
      <c r="G739" s="295"/>
    </row>
    <row r="740">
      <c r="G740" s="295"/>
    </row>
    <row r="741">
      <c r="G741" s="295"/>
    </row>
    <row r="742">
      <c r="G742" s="295"/>
    </row>
    <row r="743">
      <c r="G743" s="295"/>
    </row>
    <row r="744">
      <c r="G744" s="295"/>
    </row>
    <row r="745">
      <c r="G745" s="295"/>
    </row>
    <row r="746">
      <c r="G746" s="295"/>
    </row>
    <row r="747">
      <c r="G747" s="295"/>
    </row>
    <row r="748">
      <c r="G748" s="295"/>
    </row>
    <row r="749">
      <c r="G749" s="295"/>
    </row>
    <row r="750">
      <c r="G750" s="295"/>
    </row>
    <row r="751">
      <c r="G751" s="295"/>
    </row>
    <row r="752">
      <c r="G752" s="295"/>
    </row>
    <row r="753">
      <c r="G753" s="295"/>
    </row>
    <row r="754">
      <c r="G754" s="295"/>
    </row>
    <row r="755">
      <c r="G755" s="295"/>
    </row>
    <row r="756">
      <c r="G756" s="295"/>
    </row>
    <row r="757">
      <c r="G757" s="295"/>
    </row>
    <row r="758">
      <c r="G758" s="295"/>
    </row>
    <row r="759">
      <c r="G759" s="295"/>
    </row>
    <row r="760">
      <c r="G760" s="295"/>
    </row>
    <row r="761">
      <c r="G761" s="295"/>
    </row>
    <row r="762">
      <c r="G762" s="295"/>
    </row>
    <row r="763">
      <c r="G763" s="295"/>
    </row>
    <row r="764">
      <c r="G764" s="295"/>
    </row>
    <row r="765">
      <c r="G765" s="295"/>
    </row>
    <row r="766">
      <c r="G766" s="295"/>
    </row>
    <row r="767">
      <c r="G767" s="295"/>
    </row>
    <row r="768">
      <c r="G768" s="295"/>
    </row>
    <row r="769">
      <c r="G769" s="295"/>
    </row>
    <row r="770">
      <c r="G770" s="295"/>
    </row>
    <row r="771">
      <c r="G771" s="295"/>
    </row>
    <row r="772">
      <c r="G772" s="295"/>
    </row>
    <row r="773">
      <c r="G773" s="295"/>
    </row>
    <row r="774">
      <c r="G774" s="295"/>
    </row>
    <row r="775">
      <c r="G775" s="295"/>
    </row>
    <row r="776">
      <c r="G776" s="295"/>
    </row>
    <row r="777">
      <c r="G777" s="295"/>
    </row>
    <row r="778">
      <c r="G778" s="295"/>
    </row>
    <row r="779">
      <c r="G779" s="295"/>
    </row>
    <row r="780">
      <c r="G780" s="295"/>
    </row>
    <row r="781">
      <c r="G781" s="295"/>
    </row>
    <row r="782">
      <c r="G782" s="295"/>
    </row>
    <row r="783">
      <c r="G783" s="295"/>
    </row>
    <row r="784">
      <c r="G784" s="295"/>
    </row>
    <row r="785">
      <c r="G785" s="295"/>
    </row>
    <row r="786">
      <c r="G786" s="295"/>
    </row>
    <row r="787">
      <c r="G787" s="295"/>
    </row>
    <row r="788">
      <c r="G788" s="295"/>
    </row>
    <row r="789">
      <c r="G789" s="295"/>
    </row>
    <row r="790">
      <c r="G790" s="295"/>
    </row>
    <row r="791">
      <c r="G791" s="295"/>
    </row>
    <row r="792">
      <c r="G792" s="295"/>
    </row>
    <row r="793">
      <c r="G793" s="295"/>
    </row>
    <row r="794">
      <c r="G794" s="295"/>
    </row>
    <row r="795">
      <c r="G795" s="295"/>
    </row>
    <row r="796">
      <c r="G796" s="295"/>
    </row>
    <row r="797">
      <c r="G797" s="295"/>
    </row>
    <row r="798">
      <c r="G798" s="295"/>
    </row>
    <row r="799">
      <c r="G799" s="295"/>
    </row>
    <row r="800">
      <c r="G800" s="295"/>
    </row>
    <row r="801">
      <c r="G801" s="295"/>
    </row>
    <row r="802">
      <c r="G802" s="295"/>
    </row>
    <row r="803">
      <c r="G803" s="295"/>
    </row>
    <row r="804">
      <c r="G804" s="295"/>
    </row>
    <row r="805">
      <c r="G805" s="295"/>
    </row>
    <row r="806">
      <c r="G806" s="295"/>
    </row>
    <row r="807">
      <c r="G807" s="295"/>
    </row>
    <row r="808">
      <c r="G808" s="295"/>
    </row>
    <row r="809">
      <c r="G809" s="295"/>
    </row>
    <row r="810">
      <c r="G810" s="295"/>
    </row>
    <row r="811">
      <c r="G811" s="295"/>
    </row>
    <row r="812">
      <c r="G812" s="295"/>
    </row>
    <row r="813">
      <c r="G813" s="295"/>
    </row>
    <row r="814">
      <c r="G814" s="295"/>
    </row>
    <row r="815">
      <c r="G815" s="295"/>
    </row>
    <row r="816">
      <c r="G816" s="295"/>
    </row>
    <row r="817">
      <c r="G817" s="295"/>
    </row>
    <row r="818">
      <c r="G818" s="295"/>
    </row>
    <row r="819">
      <c r="G819" s="295"/>
    </row>
    <row r="820">
      <c r="G820" s="295"/>
    </row>
    <row r="821">
      <c r="G821" s="295"/>
    </row>
    <row r="822">
      <c r="G822" s="295"/>
    </row>
    <row r="823">
      <c r="G823" s="295"/>
    </row>
    <row r="824">
      <c r="G824" s="295"/>
    </row>
    <row r="825">
      <c r="G825" s="295"/>
    </row>
    <row r="826">
      <c r="G826" s="295"/>
    </row>
    <row r="827">
      <c r="G827" s="295"/>
    </row>
    <row r="828">
      <c r="G828" s="295"/>
    </row>
    <row r="829">
      <c r="G829" s="295"/>
    </row>
    <row r="830">
      <c r="G830" s="295"/>
    </row>
    <row r="831">
      <c r="G831" s="295"/>
    </row>
    <row r="832">
      <c r="G832" s="295"/>
    </row>
    <row r="833">
      <c r="G833" s="295"/>
    </row>
    <row r="834">
      <c r="G834" s="295"/>
    </row>
    <row r="835">
      <c r="G835" s="295"/>
    </row>
    <row r="836">
      <c r="G836" s="295"/>
    </row>
    <row r="837">
      <c r="G837" s="295"/>
    </row>
    <row r="838">
      <c r="G838" s="295"/>
    </row>
    <row r="839">
      <c r="G839" s="295"/>
    </row>
    <row r="840">
      <c r="G840" s="295"/>
    </row>
    <row r="841">
      <c r="G841" s="295"/>
    </row>
    <row r="842">
      <c r="G842" s="295"/>
    </row>
    <row r="843">
      <c r="G843" s="295"/>
    </row>
    <row r="844">
      <c r="G844" s="295"/>
    </row>
    <row r="845">
      <c r="G845" s="295"/>
    </row>
    <row r="846">
      <c r="G846" s="295"/>
    </row>
    <row r="847">
      <c r="G847" s="295"/>
    </row>
    <row r="848">
      <c r="G848" s="295"/>
    </row>
    <row r="849">
      <c r="G849" s="295"/>
    </row>
    <row r="850">
      <c r="G850" s="295"/>
    </row>
    <row r="851">
      <c r="G851" s="295"/>
    </row>
    <row r="852">
      <c r="G852" s="295"/>
    </row>
    <row r="853">
      <c r="G853" s="295"/>
    </row>
    <row r="854">
      <c r="G854" s="295"/>
    </row>
    <row r="855">
      <c r="G855" s="295"/>
    </row>
    <row r="856">
      <c r="G856" s="295"/>
    </row>
    <row r="857">
      <c r="G857" s="295"/>
    </row>
    <row r="858">
      <c r="G858" s="295"/>
    </row>
    <row r="859">
      <c r="G859" s="295"/>
    </row>
    <row r="860">
      <c r="G860" s="295"/>
    </row>
    <row r="861">
      <c r="G861" s="295"/>
    </row>
    <row r="862">
      <c r="G862" s="295"/>
    </row>
    <row r="863">
      <c r="G863" s="295"/>
    </row>
    <row r="864">
      <c r="G864" s="295"/>
    </row>
    <row r="865">
      <c r="G865" s="295"/>
    </row>
    <row r="866">
      <c r="G866" s="295"/>
    </row>
    <row r="867">
      <c r="G867" s="295"/>
    </row>
    <row r="868">
      <c r="G868" s="295"/>
    </row>
    <row r="869">
      <c r="G869" s="295"/>
    </row>
    <row r="870">
      <c r="G870" s="295"/>
    </row>
    <row r="871">
      <c r="G871" s="295"/>
    </row>
    <row r="872">
      <c r="G872" s="295"/>
    </row>
    <row r="873">
      <c r="G873" s="295"/>
    </row>
    <row r="874">
      <c r="G874" s="295"/>
    </row>
    <row r="875">
      <c r="G875" s="295"/>
    </row>
    <row r="876">
      <c r="G876" s="295"/>
    </row>
    <row r="877">
      <c r="G877" s="295"/>
    </row>
    <row r="878">
      <c r="G878" s="295"/>
    </row>
    <row r="879">
      <c r="G879" s="295"/>
    </row>
    <row r="880">
      <c r="G880" s="295"/>
    </row>
    <row r="881">
      <c r="G881" s="295"/>
    </row>
    <row r="882">
      <c r="G882" s="295"/>
    </row>
    <row r="883">
      <c r="G883" s="295"/>
    </row>
    <row r="884">
      <c r="G884" s="295"/>
    </row>
    <row r="885">
      <c r="G885" s="295"/>
    </row>
    <row r="886">
      <c r="G886" s="295"/>
    </row>
    <row r="887">
      <c r="G887" s="295"/>
    </row>
    <row r="888">
      <c r="G888" s="295"/>
    </row>
    <row r="889">
      <c r="G889" s="295"/>
    </row>
    <row r="890">
      <c r="G890" s="295"/>
    </row>
    <row r="891">
      <c r="G891" s="295"/>
    </row>
    <row r="892">
      <c r="G892" s="295"/>
    </row>
    <row r="893">
      <c r="G893" s="295"/>
    </row>
    <row r="894">
      <c r="G894" s="295"/>
    </row>
    <row r="895">
      <c r="G895" s="295"/>
    </row>
    <row r="896">
      <c r="G896" s="295"/>
    </row>
    <row r="897">
      <c r="G897" s="295"/>
    </row>
    <row r="898">
      <c r="G898" s="295"/>
    </row>
    <row r="899">
      <c r="G899" s="295"/>
    </row>
    <row r="900">
      <c r="G900" s="295"/>
    </row>
    <row r="901">
      <c r="G901" s="295"/>
    </row>
    <row r="902">
      <c r="G902" s="295"/>
    </row>
    <row r="903">
      <c r="G903" s="295"/>
    </row>
    <row r="904">
      <c r="G904" s="295"/>
    </row>
    <row r="905">
      <c r="G905" s="295"/>
    </row>
    <row r="906">
      <c r="G906" s="295"/>
    </row>
    <row r="907">
      <c r="G907" s="295"/>
    </row>
    <row r="908">
      <c r="G908" s="295"/>
    </row>
    <row r="909">
      <c r="G909" s="295"/>
    </row>
    <row r="910">
      <c r="G910" s="295"/>
    </row>
    <row r="911">
      <c r="G911" s="295"/>
    </row>
    <row r="912">
      <c r="G912" s="295"/>
    </row>
    <row r="913">
      <c r="G913" s="295"/>
    </row>
    <row r="914">
      <c r="G914" s="295"/>
    </row>
    <row r="915">
      <c r="G915" s="295"/>
    </row>
    <row r="916">
      <c r="G916" s="295"/>
    </row>
    <row r="917">
      <c r="G917" s="295"/>
    </row>
    <row r="918">
      <c r="G918" s="295"/>
    </row>
    <row r="919">
      <c r="G919" s="295"/>
    </row>
    <row r="920">
      <c r="G920" s="295"/>
    </row>
    <row r="921">
      <c r="G921" s="295"/>
    </row>
    <row r="922">
      <c r="G922" s="295"/>
    </row>
    <row r="923">
      <c r="G923" s="295"/>
    </row>
    <row r="924">
      <c r="G924" s="295"/>
    </row>
    <row r="925">
      <c r="G925" s="295"/>
    </row>
    <row r="926">
      <c r="G926" s="295"/>
    </row>
    <row r="927">
      <c r="G927" s="295"/>
    </row>
    <row r="928">
      <c r="G928" s="295"/>
    </row>
    <row r="929">
      <c r="G929" s="295"/>
    </row>
    <row r="930">
      <c r="G930" s="295"/>
    </row>
    <row r="931">
      <c r="G931" s="295"/>
    </row>
    <row r="932">
      <c r="G932" s="295"/>
    </row>
    <row r="933">
      <c r="G933" s="295"/>
    </row>
    <row r="934">
      <c r="G934" s="295"/>
    </row>
    <row r="935">
      <c r="G935" s="295"/>
    </row>
    <row r="936">
      <c r="G936" s="295"/>
    </row>
    <row r="937">
      <c r="G937" s="295"/>
    </row>
    <row r="938">
      <c r="G938" s="295"/>
    </row>
    <row r="939">
      <c r="G939" s="295"/>
    </row>
    <row r="940">
      <c r="G940" s="295"/>
    </row>
    <row r="941">
      <c r="G941" s="295"/>
    </row>
    <row r="942">
      <c r="G942" s="295"/>
    </row>
    <row r="943">
      <c r="G943" s="295"/>
    </row>
    <row r="944">
      <c r="G944" s="295"/>
    </row>
    <row r="945">
      <c r="G945" s="295"/>
    </row>
    <row r="946">
      <c r="G946" s="295"/>
    </row>
    <row r="947">
      <c r="G947" s="295"/>
    </row>
    <row r="948">
      <c r="G948" s="295"/>
    </row>
    <row r="949">
      <c r="G949" s="295"/>
    </row>
    <row r="950">
      <c r="G950" s="295"/>
    </row>
    <row r="951">
      <c r="G951" s="295"/>
    </row>
    <row r="952">
      <c r="G952" s="295"/>
    </row>
    <row r="953">
      <c r="G953" s="295"/>
    </row>
    <row r="954">
      <c r="G954" s="295"/>
    </row>
    <row r="955">
      <c r="G955" s="295"/>
    </row>
    <row r="956">
      <c r="G956" s="295"/>
    </row>
    <row r="957">
      <c r="G957" s="295"/>
    </row>
    <row r="958">
      <c r="G958" s="295"/>
    </row>
    <row r="959">
      <c r="G959" s="295"/>
    </row>
    <row r="960">
      <c r="G960" s="295"/>
    </row>
    <row r="961">
      <c r="G961" s="295"/>
    </row>
    <row r="962">
      <c r="G962" s="295"/>
    </row>
    <row r="963">
      <c r="G963" s="295"/>
    </row>
    <row r="964">
      <c r="G964" s="295"/>
    </row>
    <row r="965">
      <c r="G965" s="295"/>
    </row>
    <row r="966">
      <c r="G966" s="295"/>
    </row>
    <row r="967">
      <c r="G967" s="295"/>
    </row>
    <row r="968">
      <c r="G968" s="295"/>
    </row>
    <row r="969">
      <c r="G969" s="295"/>
    </row>
    <row r="970">
      <c r="G970" s="295"/>
    </row>
  </sheetData>
  <autoFilter ref="$L$1:$L$970"/>
  <customSheetViews>
    <customSheetView guid="{1E3877F7-CBA4-4580-BB70-F92ECCD4DE9E}" filter="1" showAutoFilter="1">
      <autoFilter ref="$A$1:$O$2">
        <sortState ref="A1:O2">
          <sortCondition ref="L1:L2"/>
        </sortState>
      </autoFilter>
    </customSheetView>
  </customSheetViews>
  <conditionalFormatting sqref="B1 B3:B970">
    <cfRule type="cellIs" dxfId="0" priority="1" operator="between">
      <formula>50</formula>
      <formula>200</formula>
    </cfRule>
  </conditionalFormatting>
  <conditionalFormatting sqref="B1 B3:B970">
    <cfRule type="cellIs" dxfId="1" priority="2" operator="between">
      <formula>201</formula>
      <formula>400</formula>
    </cfRule>
  </conditionalFormatting>
  <conditionalFormatting sqref="B3:B965">
    <cfRule type="cellIs" dxfId="2" priority="3" operator="between">
      <formula>401</formula>
      <formula>650</formula>
    </cfRule>
  </conditionalFormatting>
  <conditionalFormatting sqref="B3:B965">
    <cfRule type="cellIs" dxfId="3" priority="4" operator="between">
      <formula>651</formula>
      <formula>900</formula>
    </cfRule>
  </conditionalFormatting>
  <conditionalFormatting sqref="B3:B965">
    <cfRule type="cellIs" dxfId="4" priority="5" operator="greaterThan">
      <formula>900</formula>
    </cfRule>
  </conditionalFormatting>
  <conditionalFormatting sqref="F1:F970">
    <cfRule type="colorScale" priority="6">
      <colorScale>
        <cfvo type="min"/>
        <cfvo type="formula" val="150"/>
        <color rgb="FFEAD1DC"/>
        <color rgb="FFA64D79"/>
      </colorScale>
    </cfRule>
  </conditionalFormatting>
  <conditionalFormatting sqref="H3:H8">
    <cfRule type="cellIs" dxfId="11" priority="7" operator="between">
      <formula>0.24</formula>
      <formula>0.45</formula>
    </cfRule>
  </conditionalFormatting>
  <conditionalFormatting sqref="H3:H8">
    <cfRule type="cellIs" dxfId="12" priority="8" operator="between">
      <formula>0.45</formula>
      <formula>0.99</formula>
    </cfRule>
  </conditionalFormatting>
  <conditionalFormatting sqref="H3:H8">
    <cfRule type="cellIs" dxfId="13" priority="9" operator="greaterThan">
      <formula>0.99</formula>
    </cfRule>
  </conditionalFormatting>
  <hyperlinks>
    <hyperlink r:id="rId1" ref="N1"/>
  </hyperlinks>
  <drawing r:id="rId2"/>
</worksheet>
</file>