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15C07E42-6076-41B6-8603-AD622A2FEF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5" i="1" l="1"/>
  <c r="C3" i="1" s="1"/>
  <c r="D6" i="1" l="1"/>
  <c r="B6" i="1" l="1"/>
  <c r="C6" i="1"/>
  <c r="E6" i="1"/>
  <c r="G6" i="1"/>
  <c r="J9" i="1" l="1"/>
  <c r="E26" i="1"/>
  <c r="G9" i="1"/>
  <c r="E25" i="1"/>
  <c r="H25" i="1"/>
  <c r="B16" i="1"/>
  <c r="B21" i="1"/>
  <c r="F9" i="1"/>
  <c r="C11" i="1" l="1"/>
  <c r="C10" i="1"/>
  <c r="J8" i="1"/>
  <c r="E16" i="1"/>
  <c r="B10" i="1" s="1"/>
  <c r="B22" i="1"/>
  <c r="H22" i="1"/>
  <c r="H21" i="1" s="1"/>
  <c r="P5" i="1" l="1"/>
  <c r="Q5" i="1" s="1"/>
  <c r="R5" i="1" s="1"/>
  <c r="P6" i="1" s="1"/>
  <c r="Q6" i="1" s="1"/>
  <c r="R6" i="1" s="1"/>
  <c r="P7" i="1" s="1"/>
  <c r="Q7" i="1" l="1"/>
  <c r="R7" i="1" s="1"/>
  <c r="P8" i="1" s="1"/>
  <c r="Q8" i="1" l="1"/>
  <c r="R8" i="1" s="1"/>
  <c r="P9" i="1" s="1"/>
  <c r="Q9" i="1" s="1"/>
  <c r="R9" i="1" s="1"/>
  <c r="P10" i="1" l="1"/>
  <c r="Q10" i="1" s="1"/>
  <c r="R10" i="1" s="1"/>
  <c r="B9" i="1" s="1"/>
  <c r="B11" i="1" l="1"/>
  <c r="E9" i="1"/>
  <c r="E17" i="1"/>
  <c r="E21" i="1"/>
  <c r="B17" i="1"/>
  <c r="M18" i="1" l="1"/>
  <c r="B27" i="1"/>
  <c r="L18" i="1"/>
  <c r="H26" i="1"/>
  <c r="E22" i="1"/>
  <c r="E18" i="1"/>
  <c r="B25" i="1"/>
  <c r="R15" i="1"/>
  <c r="E31" i="1" l="1"/>
  <c r="H31" i="1" s="1"/>
  <c r="E32" i="1" s="1"/>
  <c r="H32" i="1" s="1"/>
  <c r="N18" i="1"/>
  <c r="O18" i="1" s="1"/>
  <c r="P18" i="1" s="1"/>
  <c r="Q18" i="1" s="1"/>
  <c r="L19" i="1" s="1"/>
  <c r="R19" i="1" s="1"/>
  <c r="E33" i="1" l="1"/>
  <c r="H33" i="1" s="1"/>
  <c r="H34" i="1" s="1"/>
  <c r="B33" i="1"/>
  <c r="M19" i="1"/>
  <c r="N19" i="1" s="1"/>
  <c r="O19" i="1" s="1"/>
  <c r="P19" i="1" s="1"/>
  <c r="E34" i="1" l="1"/>
  <c r="Q19" i="1"/>
  <c r="L20" i="1" s="1"/>
  <c r="R20" i="1" s="1"/>
  <c r="M20" i="1" l="1"/>
  <c r="N20" i="1" s="1"/>
  <c r="O20" i="1" s="1"/>
  <c r="P20" i="1" s="1"/>
  <c r="Q20" i="1" s="1"/>
  <c r="L21" i="1" s="1"/>
  <c r="R21" i="1" l="1"/>
  <c r="M21" i="1"/>
  <c r="N21" i="1" s="1"/>
  <c r="O21" i="1" s="1"/>
  <c r="P21" i="1" l="1"/>
  <c r="Q21" i="1" s="1"/>
  <c r="L22" i="1" s="1"/>
  <c r="R22" i="1" l="1"/>
  <c r="M22" i="1"/>
  <c r="N22" i="1" s="1"/>
  <c r="O22" i="1" s="1"/>
  <c r="P22" i="1" l="1"/>
  <c r="Q22" i="1" s="1"/>
  <c r="L23" i="1" s="1"/>
  <c r="R23" i="1" l="1"/>
  <c r="M23" i="1"/>
  <c r="N23" i="1" s="1"/>
  <c r="O23" i="1" s="1"/>
  <c r="P23" i="1" l="1"/>
  <c r="Q23" i="1" s="1"/>
  <c r="L24" i="1" s="1"/>
  <c r="R24" i="1" l="1"/>
  <c r="M24" i="1"/>
  <c r="N24" i="1" s="1"/>
  <c r="O24" i="1" s="1"/>
  <c r="P24" i="1" l="1"/>
  <c r="Q24" i="1" s="1"/>
  <c r="L25" i="1" s="1"/>
  <c r="R25" i="1" l="1"/>
  <c r="M25" i="1"/>
  <c r="N25" i="1" s="1"/>
  <c r="O25" i="1" s="1"/>
  <c r="P25" i="1" l="1"/>
  <c r="Q25" i="1" s="1"/>
  <c r="L26" i="1" s="1"/>
  <c r="R26" i="1" l="1"/>
  <c r="M26" i="1"/>
  <c r="N26" i="1" s="1"/>
  <c r="O26" i="1" s="1"/>
  <c r="P26" i="1" l="1"/>
  <c r="Q26" i="1" s="1"/>
  <c r="L27" i="1" s="1"/>
  <c r="R27" i="1" l="1"/>
  <c r="B26" i="1" s="1"/>
  <c r="M27" i="1"/>
  <c r="N27" i="1" s="1"/>
  <c r="O27" i="1" s="1"/>
  <c r="P27" i="1" l="1"/>
  <c r="Q27" i="1" s="1"/>
</calcChain>
</file>

<file path=xl/sharedStrings.xml><?xml version="1.0" encoding="utf-8"?>
<sst xmlns="http://schemas.openxmlformats.org/spreadsheetml/2006/main" count="84" uniqueCount="70">
  <si>
    <t>kp</t>
  </si>
  <si>
    <t>py</t>
  </si>
  <si>
    <t>fy0</t>
  </si>
  <si>
    <t>alpha_y0</t>
  </si>
  <si>
    <t>fy</t>
  </si>
  <si>
    <t>alpha_y</t>
  </si>
  <si>
    <t>f0</t>
  </si>
  <si>
    <t>R*</t>
  </si>
  <si>
    <t>E*</t>
  </si>
  <si>
    <t>Adhesion</t>
  </si>
  <si>
    <t>alpha_0</t>
  </si>
  <si>
    <t>Yield</t>
  </si>
  <si>
    <t>kemin</t>
  </si>
  <si>
    <t>VS</t>
  </si>
  <si>
    <t>ke/kc</t>
  </si>
  <si>
    <t>VY0</t>
  </si>
  <si>
    <t>mass</t>
  </si>
  <si>
    <t>density</t>
  </si>
  <si>
    <t>fce</t>
  </si>
  <si>
    <t>alpha_y_theory</t>
  </si>
  <si>
    <t>VY*VY</t>
  </si>
  <si>
    <t>SI-unit</t>
  </si>
  <si>
    <t>Mpa</t>
  </si>
  <si>
    <t>10^3 kg/m3</t>
  </si>
  <si>
    <t>µm</t>
  </si>
  <si>
    <t>MPa</t>
  </si>
  <si>
    <t>J/m2</t>
  </si>
  <si>
    <t>input</t>
  </si>
  <si>
    <t>alpha_0_JKR</t>
  </si>
  <si>
    <t>VS_JKR</t>
  </si>
  <si>
    <t>Г</t>
  </si>
  <si>
    <r>
      <rPr>
        <sz val="11"/>
        <color theme="1"/>
        <rFont val="等线"/>
        <charset val="134"/>
      </rPr>
      <t>π</t>
    </r>
    <r>
      <rPr>
        <sz val="11"/>
        <color theme="1"/>
        <rFont val="Calibri"/>
        <family val="2"/>
        <scheme val="minor"/>
      </rPr>
      <t>R*py</t>
    </r>
  </si>
  <si>
    <t>fmax</t>
  </si>
  <si>
    <t>alpha_max</t>
  </si>
  <si>
    <t>ke</t>
  </si>
  <si>
    <t>A</t>
  </si>
  <si>
    <t>fcp/fce</t>
  </si>
  <si>
    <t>fmax_relax</t>
  </si>
  <si>
    <t>VYS</t>
  </si>
  <si>
    <t>No. it</t>
  </si>
  <si>
    <t>alpha_p/alpha_0</t>
  </si>
  <si>
    <t>Critical velocity</t>
  </si>
  <si>
    <t>Defalut:</t>
  </si>
  <si>
    <t>Specify:</t>
  </si>
  <si>
    <t>ke0</t>
  </si>
  <si>
    <t>E1</t>
  </si>
  <si>
    <t>E2</t>
  </si>
  <si>
    <t>E*/py</t>
  </si>
  <si>
    <r>
      <rPr>
        <sz val="11"/>
        <color theme="1"/>
        <rFont val="等线"/>
        <charset val="134"/>
      </rPr>
      <t>α</t>
    </r>
    <r>
      <rPr>
        <sz val="11"/>
        <color theme="1"/>
        <rFont val="Calibri"/>
        <family val="2"/>
        <scheme val="minor"/>
      </rPr>
      <t>y_relax</t>
    </r>
  </si>
  <si>
    <t>αy</t>
  </si>
  <si>
    <t>α_max0</t>
  </si>
  <si>
    <t>relax</t>
  </si>
  <si>
    <t>E*/py_c</t>
  </si>
  <si>
    <t>Bo</t>
  </si>
  <si>
    <t>calculate basic parameters</t>
  </si>
  <si>
    <t>Vys</t>
  </si>
  <si>
    <t>alpha_fe</t>
  </si>
  <si>
    <t>alpha_fe_JKR</t>
  </si>
  <si>
    <t>fcp</t>
  </si>
  <si>
    <t>calculate impact test</t>
  </si>
  <si>
    <t>res_coeff</t>
  </si>
  <si>
    <t xml:space="preserve">Vi (&gt;VYS) </t>
  </si>
  <si>
    <t>CY</t>
  </si>
  <si>
    <t>number</t>
  </si>
  <si>
    <t>Ratio:</t>
  </si>
  <si>
    <t>alpha_fp</t>
  </si>
  <si>
    <t>f_fp</t>
  </si>
  <si>
    <t>detach:</t>
  </si>
  <si>
    <t>Example: calculate kemin based on experiment data</t>
  </si>
  <si>
    <t>Example: calculate plastic adhesive sticking velocity (VYS) in an iterative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</si>
</sst>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E+00"/>
    <numFmt numFmtId="167" formatCode="0E+00"/>
    <numFmt numFmtId="168" formatCode="0.000E+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等线"/>
      <charset val="134"/>
    </font>
    <font>
      <sz val="12"/>
      <color theme="1"/>
      <name val="Calibri"/>
      <family val="2"/>
      <scheme val="minor"/>
    </font>
    <font>
      <b/>
      <i/>
      <sz val="11"/>
      <color theme="1"/>
      <name val="等线"/>
      <charset val="134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0.3999755851924192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1" fillId="5" borderId="0" xfId="0" applyFont="1" applyFill="1" applyBorder="1" applyAlignment="1" applyProtection="1">
      <alignment horizontal="right"/>
      <protection locked="0"/>
    </xf>
    <xf numFmtId="0" fontId="0" fillId="0" borderId="4" xfId="0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1" fillId="5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7" fillId="4" borderId="7" xfId="0" applyFont="1" applyFill="1" applyBorder="1" applyAlignment="1" applyProtection="1">
      <alignment horizontal="left"/>
      <protection locked="0"/>
    </xf>
    <xf numFmtId="1" fontId="7" fillId="4" borderId="7" xfId="0" applyNumberFormat="1" applyFont="1" applyFill="1" applyBorder="1" applyAlignment="1" applyProtection="1">
      <alignment horizontal="left"/>
      <protection locked="0"/>
    </xf>
    <xf numFmtId="0" fontId="7" fillId="4" borderId="8" xfId="0" applyFont="1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11" fontId="1" fillId="2" borderId="0" xfId="0" applyNumberFormat="1" applyFont="1" applyFill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11" fontId="0" fillId="0" borderId="0" xfId="0" applyNumberFormat="1" applyBorder="1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5" fillId="2" borderId="0" xfId="0" applyFont="1" applyFill="1" applyAlignment="1" applyProtection="1">
      <alignment horizontal="right"/>
      <protection locked="0"/>
    </xf>
    <xf numFmtId="0" fontId="0" fillId="0" borderId="0" xfId="0" applyFont="1" applyBorder="1" applyAlignment="1" applyProtection="1">
      <alignment horizontal="right"/>
      <protection locked="0"/>
    </xf>
    <xf numFmtId="11" fontId="9" fillId="2" borderId="0" xfId="0" applyNumberFormat="1" applyFont="1" applyFill="1" applyProtection="1">
      <protection locked="0"/>
    </xf>
    <xf numFmtId="0" fontId="9" fillId="2" borderId="0" xfId="0" applyFont="1" applyFill="1" applyProtection="1">
      <protection locked="0"/>
    </xf>
    <xf numFmtId="1" fontId="9" fillId="2" borderId="0" xfId="0" applyNumberFormat="1" applyFont="1" applyFill="1" applyProtection="1">
      <protection locked="0"/>
    </xf>
    <xf numFmtId="11" fontId="0" fillId="2" borderId="0" xfId="0" applyNumberFormat="1" applyFont="1" applyFill="1" applyAlignment="1" applyProtection="1">
      <alignment horizontal="right"/>
      <protection locked="0"/>
    </xf>
    <xf numFmtId="11" fontId="0" fillId="2" borderId="0" xfId="0" applyNumberFormat="1" applyFont="1" applyFill="1" applyProtection="1">
      <protection locked="0"/>
    </xf>
    <xf numFmtId="1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0" fontId="2" fillId="0" borderId="0" xfId="0" applyFont="1" applyFill="1" applyProtection="1">
      <protection locked="0"/>
    </xf>
    <xf numFmtId="11" fontId="1" fillId="0" borderId="0" xfId="0" applyNumberFormat="1" applyFont="1" applyFill="1" applyProtection="1">
      <protection locked="0"/>
    </xf>
    <xf numFmtId="2" fontId="1" fillId="0" borderId="0" xfId="0" applyNumberFormat="1" applyFont="1" applyFill="1" applyProtection="1">
      <protection locked="0"/>
    </xf>
    <xf numFmtId="0" fontId="0" fillId="0" borderId="5" xfId="0" applyBorder="1" applyProtection="1">
      <protection locked="0"/>
    </xf>
    <xf numFmtId="0" fontId="6" fillId="0" borderId="0" xfId="0" applyFont="1" applyBorder="1" applyProtection="1">
      <protection locked="0"/>
    </xf>
    <xf numFmtId="0" fontId="0" fillId="4" borderId="0" xfId="0" applyFill="1" applyBorder="1" applyAlignment="1" applyProtection="1">
      <alignment horizontal="right"/>
      <protection locked="0"/>
    </xf>
    <xf numFmtId="0" fontId="0" fillId="4" borderId="0" xfId="0" applyFill="1" applyBorder="1" applyProtection="1">
      <protection locked="0"/>
    </xf>
    <xf numFmtId="0" fontId="6" fillId="4" borderId="0" xfId="0" applyFont="1" applyFill="1" applyBorder="1" applyAlignment="1" applyProtection="1">
      <alignment horizontal="right"/>
      <protection locked="0"/>
    </xf>
    <xf numFmtId="0" fontId="0" fillId="0" borderId="4" xfId="0" applyFill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0" fillId="0" borderId="5" xfId="0" applyFill="1" applyBorder="1" applyAlignment="1" applyProtection="1">
      <alignment horizontal="right"/>
      <protection locked="0"/>
    </xf>
    <xf numFmtId="167" fontId="0" fillId="0" borderId="0" xfId="0" applyNumberFormat="1" applyBorder="1" applyProtection="1">
      <protection locked="0"/>
    </xf>
    <xf numFmtId="11" fontId="0" fillId="0" borderId="0" xfId="0" applyNumberFormat="1" applyProtection="1">
      <protection locked="0"/>
    </xf>
    <xf numFmtId="11" fontId="2" fillId="0" borderId="0" xfId="0" applyNumberFormat="1" applyFont="1" applyBorder="1" applyProtection="1">
      <protection locked="0"/>
    </xf>
    <xf numFmtId="11" fontId="0" fillId="0" borderId="0" xfId="0" applyNumberFormat="1" applyBorder="1" applyProtection="1"/>
    <xf numFmtId="0" fontId="0" fillId="0" borderId="0" xfId="0" applyBorder="1" applyProtection="1"/>
    <xf numFmtId="0" fontId="0" fillId="0" borderId="5" xfId="0" applyBorder="1" applyProtection="1"/>
    <xf numFmtId="0" fontId="6" fillId="0" borderId="4" xfId="0" applyFont="1" applyBorder="1" applyProtection="1"/>
    <xf numFmtId="11" fontId="0" fillId="0" borderId="0" xfId="0" applyNumberFormat="1" applyFont="1" applyBorder="1" applyProtection="1"/>
    <xf numFmtId="0" fontId="6" fillId="0" borderId="0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6" fillId="0" borderId="4" xfId="0" applyFont="1" applyFill="1" applyBorder="1" applyProtection="1"/>
    <xf numFmtId="1" fontId="0" fillId="0" borderId="0" xfId="0" applyNumberFormat="1" applyBorder="1" applyProtection="1"/>
    <xf numFmtId="0" fontId="0" fillId="0" borderId="4" xfId="0" applyFill="1" applyBorder="1" applyProtection="1"/>
    <xf numFmtId="11" fontId="6" fillId="0" borderId="0" xfId="0" applyNumberFormat="1" applyFont="1" applyBorder="1" applyProtection="1"/>
    <xf numFmtId="0" fontId="0" fillId="0" borderId="0" xfId="0" applyFont="1" applyFill="1" applyBorder="1" applyProtection="1"/>
    <xf numFmtId="0" fontId="0" fillId="0" borderId="6" xfId="0" applyFill="1" applyBorder="1" applyProtection="1"/>
    <xf numFmtId="11" fontId="0" fillId="0" borderId="7" xfId="0" applyNumberFormat="1" applyBorder="1" applyProtection="1"/>
    <xf numFmtId="2" fontId="11" fillId="2" borderId="0" xfId="0" applyNumberFormat="1" applyFont="1" applyFill="1" applyProtection="1"/>
    <xf numFmtId="166" fontId="0" fillId="2" borderId="0" xfId="0" applyNumberFormat="1" applyFont="1" applyFill="1" applyProtection="1"/>
    <xf numFmtId="1" fontId="2" fillId="2" borderId="0" xfId="0" applyNumberFormat="1" applyFont="1" applyFill="1" applyProtection="1"/>
    <xf numFmtId="0" fontId="0" fillId="0" borderId="4" xfId="0" applyFill="1" applyBorder="1" applyAlignment="1" applyProtection="1">
      <alignment horizontal="right"/>
    </xf>
    <xf numFmtId="11" fontId="0" fillId="0" borderId="0" xfId="0" applyNumberFormat="1" applyBorder="1" applyAlignment="1" applyProtection="1">
      <alignment horizontal="right"/>
    </xf>
    <xf numFmtId="11" fontId="8" fillId="0" borderId="0" xfId="0" applyNumberFormat="1" applyFont="1" applyBorder="1" applyAlignment="1" applyProtection="1">
      <alignment horizontal="right"/>
    </xf>
    <xf numFmtId="2" fontId="0" fillId="0" borderId="0" xfId="0" applyNumberFormat="1" applyBorder="1" applyAlignment="1" applyProtection="1">
      <alignment horizontal="right"/>
    </xf>
    <xf numFmtId="2" fontId="8" fillId="0" borderId="0" xfId="0" applyNumberFormat="1" applyFont="1" applyBorder="1" applyAlignment="1" applyProtection="1">
      <alignment horizontal="right"/>
    </xf>
    <xf numFmtId="2" fontId="0" fillId="0" borderId="5" xfId="0" applyNumberFormat="1" applyFill="1" applyBorder="1" applyAlignment="1" applyProtection="1">
      <alignment horizontal="right"/>
    </xf>
    <xf numFmtId="0" fontId="0" fillId="0" borderId="6" xfId="0" applyFill="1" applyBorder="1" applyAlignment="1" applyProtection="1">
      <alignment horizontal="right"/>
    </xf>
    <xf numFmtId="11" fontId="0" fillId="0" borderId="7" xfId="0" applyNumberFormat="1" applyBorder="1" applyAlignment="1" applyProtection="1">
      <alignment horizontal="right"/>
    </xf>
    <xf numFmtId="11" fontId="8" fillId="0" borderId="7" xfId="0" applyNumberFormat="1" applyFont="1" applyBorder="1" applyAlignment="1" applyProtection="1">
      <alignment horizontal="right"/>
    </xf>
    <xf numFmtId="2" fontId="0" fillId="0" borderId="7" xfId="0" applyNumberFormat="1" applyBorder="1" applyAlignment="1" applyProtection="1">
      <alignment horizontal="right"/>
    </xf>
    <xf numFmtId="2" fontId="8" fillId="0" borderId="7" xfId="0" applyNumberFormat="1" applyFont="1" applyBorder="1" applyAlignment="1" applyProtection="1">
      <alignment horizontal="right"/>
    </xf>
    <xf numFmtId="2" fontId="11" fillId="0" borderId="8" xfId="0" applyNumberFormat="1" applyFont="1" applyFill="1" applyBorder="1" applyAlignment="1" applyProtection="1">
      <alignment horizontal="right"/>
    </xf>
    <xf numFmtId="1" fontId="0" fillId="0" borderId="5" xfId="0" applyNumberFormat="1" applyBorder="1" applyProtection="1"/>
    <xf numFmtId="0" fontId="0" fillId="0" borderId="4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0" fontId="2" fillId="0" borderId="0" xfId="0" applyFont="1" applyBorder="1" applyProtection="1"/>
    <xf numFmtId="1" fontId="12" fillId="0" borderId="0" xfId="0" applyNumberFormat="1" applyFont="1" applyBorder="1" applyProtection="1"/>
    <xf numFmtId="0" fontId="6" fillId="4" borderId="4" xfId="0" applyFont="1" applyFill="1" applyBorder="1" applyAlignment="1" applyProtection="1">
      <alignment horizontal="right"/>
      <protection locked="0"/>
    </xf>
    <xf numFmtId="0" fontId="0" fillId="0" borderId="6" xfId="0" applyBorder="1" applyProtection="1"/>
    <xf numFmtId="1" fontId="11" fillId="0" borderId="8" xfId="0" applyNumberFormat="1" applyFont="1" applyBorder="1" applyProtection="1"/>
    <xf numFmtId="1" fontId="0" fillId="0" borderId="0" xfId="0" applyNumberFormat="1" applyBorder="1" applyAlignment="1" applyProtection="1">
      <alignment horizontal="right"/>
    </xf>
    <xf numFmtId="1" fontId="0" fillId="0" borderId="7" xfId="0" applyNumberFormat="1" applyBorder="1" applyAlignment="1" applyProtection="1">
      <alignment horizontal="right"/>
    </xf>
    <xf numFmtId="164" fontId="0" fillId="0" borderId="5" xfId="0" applyNumberFormat="1" applyBorder="1" applyProtection="1"/>
    <xf numFmtId="164" fontId="0" fillId="0" borderId="0" xfId="0" applyNumberFormat="1" applyBorder="1" applyProtection="1"/>
    <xf numFmtId="11" fontId="0" fillId="0" borderId="5" xfId="0" applyNumberFormat="1" applyBorder="1" applyProtection="1"/>
    <xf numFmtId="164" fontId="0" fillId="0" borderId="7" xfId="0" applyNumberFormat="1" applyBorder="1" applyProtection="1"/>
    <xf numFmtId="2" fontId="12" fillId="0" borderId="0" xfId="0" applyNumberFormat="1" applyFont="1" applyBorder="1" applyProtection="1"/>
    <xf numFmtId="165" fontId="9" fillId="0" borderId="0" xfId="0" applyNumberFormat="1" applyFont="1" applyBorder="1" applyProtection="1">
      <protection locked="0"/>
    </xf>
    <xf numFmtId="11" fontId="0" fillId="0" borderId="5" xfId="0" applyNumberFormat="1" applyBorder="1" applyProtection="1">
      <protection locked="0"/>
    </xf>
    <xf numFmtId="0" fontId="0" fillId="0" borderId="7" xfId="0" applyBorder="1" applyProtection="1">
      <protection locked="0"/>
    </xf>
    <xf numFmtId="2" fontId="0" fillId="0" borderId="5" xfId="0" applyNumberFormat="1" applyBorder="1" applyProtection="1">
      <protection locked="0"/>
    </xf>
    <xf numFmtId="0" fontId="1" fillId="5" borderId="4" xfId="0" applyFont="1" applyFill="1" applyBorder="1" applyAlignment="1" applyProtection="1">
      <alignment horizontal="right"/>
      <protection locked="0"/>
    </xf>
    <xf numFmtId="0" fontId="1" fillId="5" borderId="0" xfId="0" applyFont="1" applyFill="1" applyBorder="1" applyAlignment="1" applyProtection="1">
      <alignment horizontal="left"/>
      <protection locked="0"/>
    </xf>
    <xf numFmtId="165" fontId="10" fillId="2" borderId="0" xfId="0" applyNumberFormat="1" applyFont="1" applyFill="1" applyAlignment="1" applyProtection="1">
      <alignment horizontal="left"/>
      <protection locked="0"/>
    </xf>
    <xf numFmtId="1" fontId="1" fillId="2" borderId="0" xfId="0" applyNumberFormat="1" applyFont="1" applyFill="1" applyBorder="1" applyAlignment="1" applyProtection="1">
      <alignment horizontal="left"/>
      <protection locked="0"/>
    </xf>
    <xf numFmtId="168" fontId="1" fillId="2" borderId="5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0" borderId="11" xfId="0" applyBorder="1" applyAlignment="1" applyProtection="1">
      <alignment horizontal="right"/>
      <protection locked="0"/>
    </xf>
    <xf numFmtId="11" fontId="0" fillId="0" borderId="12" xfId="0" applyNumberFormat="1" applyBorder="1" applyProtection="1">
      <protection locked="0"/>
    </xf>
    <xf numFmtId="0" fontId="0" fillId="0" borderId="13" xfId="0" applyBorder="1" applyAlignment="1" applyProtection="1">
      <alignment horizontal="right"/>
      <protection locked="0"/>
    </xf>
    <xf numFmtId="2" fontId="0" fillId="0" borderId="14" xfId="0" applyNumberFormat="1" applyBorder="1" applyProtection="1">
      <protection locked="0"/>
    </xf>
    <xf numFmtId="2" fontId="11" fillId="0" borderId="0" xfId="0" applyNumberFormat="1" applyFont="1" applyFill="1" applyProtection="1">
      <protection locked="0"/>
    </xf>
    <xf numFmtId="165" fontId="0" fillId="5" borderId="0" xfId="0" applyNumberFormat="1" applyFont="1" applyFill="1" applyProtection="1">
      <protection locked="0"/>
    </xf>
    <xf numFmtId="11" fontId="1" fillId="5" borderId="0" xfId="0" applyNumberFormat="1" applyFont="1" applyFill="1" applyProtection="1">
      <protection locked="0"/>
    </xf>
    <xf numFmtId="2" fontId="1" fillId="5" borderId="0" xfId="0" applyNumberFormat="1" applyFont="1" applyFill="1" applyProtection="1">
      <protection locked="0"/>
    </xf>
    <xf numFmtId="2" fontId="11" fillId="5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Border="1" applyProtection="1">
      <protection locked="0"/>
    </xf>
    <xf numFmtId="164" fontId="12" fillId="0" borderId="0" xfId="0" applyNumberFormat="1" applyFont="1" applyBorder="1" applyProtection="1"/>
    <xf numFmtId="0" fontId="2" fillId="3" borderId="4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14" fillId="0" borderId="0" xfId="0" applyFont="1" applyBorder="1" applyProtection="1">
      <protection locked="0"/>
    </xf>
    <xf numFmtId="11" fontId="14" fillId="0" borderId="5" xfId="0" applyNumberFormat="1" applyFont="1" applyBorder="1" applyProtection="1">
      <protection locked="0"/>
    </xf>
    <xf numFmtId="0" fontId="14" fillId="0" borderId="7" xfId="0" applyFont="1" applyBorder="1" applyProtection="1">
      <protection locked="0"/>
    </xf>
    <xf numFmtId="11" fontId="14" fillId="0" borderId="8" xfId="0" applyNumberFormat="1" applyFont="1" applyBorder="1" applyProtection="1">
      <protection locked="0"/>
    </xf>
    <xf numFmtId="11" fontId="14" fillId="0" borderId="7" xfId="0" applyNumberFormat="1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Normal="100" workbookViewId="0">
      <selection activeCell="D21" sqref="D21"/>
    </sheetView>
  </sheetViews>
  <sheetFormatPr defaultColWidth="9.109375" defaultRowHeight="14.4" x14ac:dyDescent="0.3"/>
  <cols>
    <col min="1" max="1" width="9.109375" style="4"/>
    <col min="2" max="2" width="12" style="4" bestFit="1" customWidth="1"/>
    <col min="3" max="3" width="9.88671875" style="4" bestFit="1" customWidth="1"/>
    <col min="4" max="4" width="10.6640625" style="4" customWidth="1"/>
    <col min="5" max="5" width="12.88671875" style="4" bestFit="1" customWidth="1"/>
    <col min="6" max="6" width="9.109375" style="4" customWidth="1"/>
    <col min="7" max="7" width="11.109375" style="4" customWidth="1"/>
    <col min="8" max="8" width="12.5546875" style="4" customWidth="1"/>
    <col min="9" max="9" width="8.44140625" style="4" customWidth="1"/>
    <col min="10" max="10" width="9.109375" style="4" customWidth="1"/>
    <col min="11" max="11" width="5.44140625" style="4" customWidth="1"/>
    <col min="12" max="12" width="9.44140625" style="4" customWidth="1"/>
    <col min="13" max="13" width="10" style="4" customWidth="1"/>
    <col min="14" max="14" width="9.33203125" style="4" customWidth="1"/>
    <col min="15" max="15" width="7.44140625" style="4" customWidth="1"/>
    <col min="16" max="16" width="9.5546875" style="4" customWidth="1"/>
    <col min="17" max="17" width="10" style="4" customWidth="1"/>
    <col min="18" max="18" width="17.21875" style="4" customWidth="1"/>
    <col min="19" max="16384" width="9.109375" style="4"/>
  </cols>
  <sheetData>
    <row r="1" spans="1:18" ht="15.6" x14ac:dyDescent="0.3">
      <c r="A1" s="129" t="s">
        <v>27</v>
      </c>
      <c r="B1" s="1" t="s">
        <v>24</v>
      </c>
      <c r="C1" s="2" t="s">
        <v>25</v>
      </c>
      <c r="D1" s="2" t="s">
        <v>26</v>
      </c>
      <c r="E1" s="2" t="s">
        <v>22</v>
      </c>
      <c r="F1" s="2"/>
      <c r="G1" s="3" t="s">
        <v>23</v>
      </c>
      <c r="I1" s="5" t="s">
        <v>45</v>
      </c>
      <c r="J1" s="97">
        <v>1200</v>
      </c>
      <c r="O1" s="124" t="s">
        <v>68</v>
      </c>
      <c r="P1" s="125"/>
      <c r="Q1" s="125"/>
      <c r="R1" s="126"/>
    </row>
    <row r="2" spans="1:18" ht="15" customHeight="1" x14ac:dyDescent="0.3">
      <c r="A2" s="130"/>
      <c r="B2" s="7" t="s">
        <v>7</v>
      </c>
      <c r="C2" s="7" t="s">
        <v>8</v>
      </c>
      <c r="D2" s="101" t="s">
        <v>30</v>
      </c>
      <c r="E2" s="7" t="s">
        <v>1</v>
      </c>
      <c r="F2" s="7"/>
      <c r="G2" s="8" t="s">
        <v>17</v>
      </c>
      <c r="I2" s="9"/>
      <c r="J2" s="97">
        <v>0.3</v>
      </c>
      <c r="O2" s="82" t="s">
        <v>51</v>
      </c>
      <c r="P2" s="38">
        <v>0.5</v>
      </c>
      <c r="Q2" s="7" t="s">
        <v>44</v>
      </c>
      <c r="R2" s="8" t="s">
        <v>50</v>
      </c>
    </row>
    <row r="3" spans="1:18" ht="15.75" customHeight="1" thickBot="1" x14ac:dyDescent="0.35">
      <c r="A3" s="131"/>
      <c r="B3" s="11">
        <v>2.4500000000000002</v>
      </c>
      <c r="C3" s="12">
        <f>J5</f>
        <v>1309.9483298158793</v>
      </c>
      <c r="D3" s="11">
        <v>0.2</v>
      </c>
      <c r="E3" s="11">
        <v>35.299999999999997</v>
      </c>
      <c r="F3" s="11"/>
      <c r="G3" s="13">
        <v>1.35</v>
      </c>
      <c r="I3" s="5" t="s">
        <v>46</v>
      </c>
      <c r="J3" s="97">
        <f>180*1000</f>
        <v>180000</v>
      </c>
      <c r="O3" s="6"/>
      <c r="P3" s="10"/>
      <c r="Q3" s="99">
        <v>1274</v>
      </c>
      <c r="R3" s="100">
        <v>2.1050000000000001E-7</v>
      </c>
    </row>
    <row r="4" spans="1:18" x14ac:dyDescent="0.3">
      <c r="B4" s="17"/>
      <c r="C4" s="17"/>
      <c r="D4" s="18"/>
      <c r="E4" s="17"/>
      <c r="F4" s="17"/>
      <c r="G4" s="17"/>
      <c r="I4" s="9"/>
      <c r="J4" s="97">
        <v>0.3</v>
      </c>
      <c r="L4" s="19"/>
      <c r="O4" s="14" t="s">
        <v>39</v>
      </c>
      <c r="P4" s="15" t="s">
        <v>49</v>
      </c>
      <c r="Q4" s="15" t="s">
        <v>48</v>
      </c>
      <c r="R4" s="16" t="s">
        <v>12</v>
      </c>
    </row>
    <row r="5" spans="1:18" x14ac:dyDescent="0.3">
      <c r="A5" s="21" t="s">
        <v>21</v>
      </c>
      <c r="B5" s="22" t="s">
        <v>7</v>
      </c>
      <c r="C5" s="22" t="s">
        <v>8</v>
      </c>
      <c r="D5" s="23" t="s">
        <v>30</v>
      </c>
      <c r="E5" s="22" t="s">
        <v>1</v>
      </c>
      <c r="F5" s="22"/>
      <c r="G5" s="22" t="s">
        <v>17</v>
      </c>
      <c r="I5" s="24" t="s">
        <v>8</v>
      </c>
      <c r="J5" s="92">
        <f>1/((1-J2*J2)/J1+(1-J4*J4)/J3)</f>
        <v>1309.9483298158793</v>
      </c>
      <c r="O5" s="52">
        <v>1</v>
      </c>
      <c r="P5" s="46">
        <f>E16</f>
        <v>4.3898220762549594E-9</v>
      </c>
      <c r="Q5" s="46">
        <f>P5</f>
        <v>4.3898220762549594E-9</v>
      </c>
      <c r="R5" s="76">
        <f t="shared" ref="R5:R10" si="0">$Q$3*SQRT(Q5/$R$3)</f>
        <v>183.97839974732028</v>
      </c>
    </row>
    <row r="6" spans="1:18" x14ac:dyDescent="0.3">
      <c r="B6" s="25">
        <f>B3*0.000001</f>
        <v>2.4500000000000003E-6</v>
      </c>
      <c r="C6" s="25">
        <f>C3*1000000</f>
        <v>1309948329.8158793</v>
      </c>
      <c r="D6" s="26">
        <f>D3</f>
        <v>0.2</v>
      </c>
      <c r="E6" s="25">
        <f>E3*1000000</f>
        <v>35300000</v>
      </c>
      <c r="F6" s="25"/>
      <c r="G6" s="27">
        <f>G3*1000</f>
        <v>1350</v>
      </c>
      <c r="K6" s="19"/>
      <c r="O6" s="52">
        <v>2</v>
      </c>
      <c r="P6" s="46">
        <f>$E$16*SQRT(8/15*$F$9/R5)+$B$22/R5</f>
        <v>1.5052143632231831E-8</v>
      </c>
      <c r="Q6" s="46">
        <f>$P$2*P6-($P$2-1)*Q5</f>
        <v>9.7209828542433953E-9</v>
      </c>
      <c r="R6" s="76">
        <f t="shared" si="0"/>
        <v>273.77794951308846</v>
      </c>
    </row>
    <row r="7" spans="1:18" x14ac:dyDescent="0.3">
      <c r="B7" s="17"/>
      <c r="C7" s="17"/>
      <c r="D7" s="18"/>
      <c r="E7" s="17"/>
      <c r="F7" s="17"/>
      <c r="G7" s="17"/>
      <c r="I7" s="132" t="s">
        <v>63</v>
      </c>
      <c r="J7" s="133"/>
      <c r="O7" s="52">
        <v>3</v>
      </c>
      <c r="P7" s="46">
        <f>$E$16*SQRT(8/15*$F$9/R6)+$B$22/R6</f>
        <v>1.0690664984391028E-8</v>
      </c>
      <c r="Q7" s="46">
        <f>$P$2*P7-($P$2-1)*Q6</f>
        <v>1.0205823919317212E-8</v>
      </c>
      <c r="R7" s="76">
        <f t="shared" si="0"/>
        <v>280.52231452871916</v>
      </c>
    </row>
    <row r="8" spans="1:18" x14ac:dyDescent="0.3">
      <c r="A8" s="21" t="s">
        <v>43</v>
      </c>
      <c r="B8" s="22" t="s">
        <v>12</v>
      </c>
      <c r="C8" s="22" t="s">
        <v>0</v>
      </c>
      <c r="D8" s="22"/>
      <c r="E8" s="22" t="s">
        <v>14</v>
      </c>
      <c r="F8" s="22" t="s">
        <v>31</v>
      </c>
      <c r="G8" s="28" t="s">
        <v>47</v>
      </c>
      <c r="I8" s="102" t="s">
        <v>53</v>
      </c>
      <c r="J8" s="103">
        <f>B21/E25/9.8</f>
        <v>2833286.5841046954</v>
      </c>
      <c r="O8" s="77">
        <v>4</v>
      </c>
      <c r="P8" s="46">
        <f>$E$16*SQRT(8/15*$F$9/R7)+$B$22/R7</f>
        <v>1.0471796219536194E-8</v>
      </c>
      <c r="Q8" s="46">
        <f>$P$2*P8-($P$2-1)*Q7</f>
        <v>1.0338810069426703E-8</v>
      </c>
      <c r="R8" s="76">
        <f t="shared" si="0"/>
        <v>282.34406069410954</v>
      </c>
    </row>
    <row r="9" spans="1:18" x14ac:dyDescent="0.3">
      <c r="B9" s="98">
        <f>R10</f>
        <v>283.00727590388738</v>
      </c>
      <c r="C9" s="98">
        <v>217</v>
      </c>
      <c r="D9" s="29"/>
      <c r="E9" s="61">
        <f>(0.92*B9/(POWER(C6*B6,2/3)*POWER(D6,1/3))-0.3)</f>
        <v>1.7462652541672565</v>
      </c>
      <c r="F9" s="62">
        <f>PI()*B6*E6</f>
        <v>271.70064064571329</v>
      </c>
      <c r="G9" s="63">
        <f>C6/E6</f>
        <v>37.10901784180961</v>
      </c>
      <c r="I9" s="104" t="s">
        <v>62</v>
      </c>
      <c r="J9" s="105">
        <f>POWER(E6,3)*B6/(C6*C6*D6)</f>
        <v>0.31401606993426451</v>
      </c>
      <c r="K9" s="31"/>
      <c r="O9" s="52">
        <v>5</v>
      </c>
      <c r="P9" s="46">
        <f t="shared" ref="P9" si="1">$E$16*SQRT(8/15*$F$9/R8)+$B$22/R8</f>
        <v>1.041439198665587E-8</v>
      </c>
      <c r="Q9" s="46">
        <f>$P$2*P9-($P$2-1)*Q8</f>
        <v>1.0376601028041287E-8</v>
      </c>
      <c r="R9" s="76">
        <f t="shared" si="0"/>
        <v>282.85960938816686</v>
      </c>
    </row>
    <row r="10" spans="1:18" ht="15" thickBot="1" x14ac:dyDescent="0.35">
      <c r="A10" s="32" t="s">
        <v>42</v>
      </c>
      <c r="B10" s="107">
        <f>2*$C$6*SQRT($B$6*$E$16)</f>
        <v>271.70064064571329</v>
      </c>
      <c r="C10" s="107">
        <f>$F$9</f>
        <v>271.70064064571329</v>
      </c>
      <c r="D10" s="108"/>
      <c r="E10" s="109"/>
      <c r="F10" s="108"/>
      <c r="G10" s="108"/>
      <c r="O10" s="83">
        <v>6</v>
      </c>
      <c r="P10" s="60">
        <f>$E$16*SQRT(8/15*$F$9/R9)+$B$22/R9</f>
        <v>1.0398275051896398E-8</v>
      </c>
      <c r="Q10" s="60">
        <f>$P$2*P10-($P$2-1)*Q9</f>
        <v>1.0387438039968842E-8</v>
      </c>
      <c r="R10" s="84">
        <f t="shared" si="0"/>
        <v>283.00727590388738</v>
      </c>
    </row>
    <row r="11" spans="1:18" ht="15.6" x14ac:dyDescent="0.3">
      <c r="A11" s="32" t="s">
        <v>64</v>
      </c>
      <c r="B11" s="110">
        <f>B9/$F$9</f>
        <v>1.0416143121021104</v>
      </c>
      <c r="C11" s="110">
        <f>C9/$F$9</f>
        <v>0.79867312599737028</v>
      </c>
      <c r="D11" s="108"/>
      <c r="E11" s="109"/>
      <c r="F11" s="108"/>
      <c r="G11" s="108"/>
      <c r="O11" s="80"/>
      <c r="P11" s="46"/>
      <c r="Q11" s="46"/>
      <c r="R11" s="81"/>
    </row>
    <row r="12" spans="1:18" ht="15.6" x14ac:dyDescent="0.3">
      <c r="A12" s="32"/>
      <c r="B12" s="106"/>
      <c r="C12" s="106"/>
      <c r="D12" s="33"/>
      <c r="E12" s="34"/>
      <c r="F12" s="33"/>
      <c r="G12" s="33"/>
      <c r="O12" s="80"/>
      <c r="P12" s="46"/>
      <c r="Q12" s="46"/>
      <c r="R12" s="81"/>
    </row>
    <row r="13" spans="1:18" ht="15" thickBot="1" x14ac:dyDescent="0.35"/>
    <row r="14" spans="1:18" x14ac:dyDescent="0.3">
      <c r="A14" s="121" t="s">
        <v>54</v>
      </c>
      <c r="B14" s="122"/>
      <c r="C14" s="122"/>
      <c r="D14" s="122"/>
      <c r="E14" s="122"/>
      <c r="F14" s="122"/>
      <c r="G14" s="122"/>
      <c r="H14" s="123"/>
      <c r="I14" s="10"/>
      <c r="K14" s="124" t="s">
        <v>69</v>
      </c>
      <c r="L14" s="125"/>
      <c r="M14" s="125"/>
      <c r="N14" s="125"/>
      <c r="O14" s="125"/>
      <c r="P14" s="125"/>
      <c r="Q14" s="125"/>
      <c r="R14" s="126"/>
    </row>
    <row r="15" spans="1:18" x14ac:dyDescent="0.3">
      <c r="A15" s="127" t="s">
        <v>11</v>
      </c>
      <c r="B15" s="128"/>
      <c r="C15" s="46"/>
      <c r="D15" s="46"/>
      <c r="E15" s="47"/>
      <c r="F15" s="47"/>
      <c r="G15" s="47"/>
      <c r="H15" s="48"/>
      <c r="I15" s="10"/>
      <c r="K15" s="6"/>
      <c r="L15" s="36"/>
      <c r="O15" s="39" t="s">
        <v>51</v>
      </c>
      <c r="P15" s="38">
        <v>2</v>
      </c>
      <c r="Q15" s="37" t="s">
        <v>35</v>
      </c>
      <c r="R15" s="38">
        <f>16/27/(56/162*E9+17/162)</f>
        <v>0.83630355955740932</v>
      </c>
    </row>
    <row r="16" spans="1:18" x14ac:dyDescent="0.3">
      <c r="A16" s="49" t="s">
        <v>2</v>
      </c>
      <c r="B16" s="50">
        <f>1/6*POWER(PI(),3)*POWER(E6,3)*POWER(B6/C6,2)</f>
        <v>7.9514498029277844E-7</v>
      </c>
      <c r="C16" s="50"/>
      <c r="D16" s="51" t="s">
        <v>3</v>
      </c>
      <c r="E16" s="46">
        <f>B16/(2/3*F9)</f>
        <v>4.3898220762549594E-9</v>
      </c>
      <c r="F16" s="47"/>
      <c r="G16" s="47"/>
      <c r="H16" s="48"/>
      <c r="I16" s="10"/>
      <c r="K16" s="6"/>
      <c r="L16" s="10"/>
      <c r="M16" s="10"/>
      <c r="N16" s="10"/>
      <c r="O16" s="10"/>
      <c r="P16" s="10"/>
      <c r="Q16" s="10"/>
      <c r="R16" s="35"/>
    </row>
    <row r="17" spans="1:18" x14ac:dyDescent="0.3">
      <c r="A17" s="52" t="s">
        <v>4</v>
      </c>
      <c r="B17" s="50">
        <f>B16*SQRT(6/5*B9/F9)</f>
        <v>8.8897677295295039E-7</v>
      </c>
      <c r="C17" s="50"/>
      <c r="D17" s="47" t="s">
        <v>19</v>
      </c>
      <c r="E17" s="46">
        <f>E16*SQRT(8/15*F9/B9)</f>
        <v>3.1411799223665809E-9</v>
      </c>
      <c r="F17" s="47"/>
      <c r="G17" s="47"/>
      <c r="H17" s="48"/>
      <c r="I17" s="10"/>
      <c r="K17" s="40" t="s">
        <v>39</v>
      </c>
      <c r="L17" s="24" t="s">
        <v>32</v>
      </c>
      <c r="M17" s="41" t="s">
        <v>37</v>
      </c>
      <c r="N17" s="24" t="s">
        <v>33</v>
      </c>
      <c r="O17" s="24" t="s">
        <v>34</v>
      </c>
      <c r="P17" s="41" t="s">
        <v>40</v>
      </c>
      <c r="Q17" s="24" t="s">
        <v>36</v>
      </c>
      <c r="R17" s="42" t="s">
        <v>55</v>
      </c>
    </row>
    <row r="18" spans="1:18" x14ac:dyDescent="0.3">
      <c r="A18" s="52"/>
      <c r="B18" s="47"/>
      <c r="C18" s="47"/>
      <c r="D18" s="47" t="s">
        <v>5</v>
      </c>
      <c r="E18" s="46">
        <f>E21+E17</f>
        <v>1.0393669081134315E-8</v>
      </c>
      <c r="F18" s="47"/>
      <c r="G18" s="47"/>
      <c r="H18" s="48"/>
      <c r="I18" s="10"/>
      <c r="K18" s="64">
        <v>1</v>
      </c>
      <c r="L18" s="65">
        <f>B17</f>
        <v>8.8897677295295039E-7</v>
      </c>
      <c r="M18" s="66">
        <f>B17</f>
        <v>8.8897677295295039E-7</v>
      </c>
      <c r="N18" s="65">
        <f>MAX(($E$18+(M18-$B$17)/$C$9),$E$18)</f>
        <v>1.0393669081134315E-8</v>
      </c>
      <c r="O18" s="85">
        <f t="shared" ref="O18:O27" si="2">SQRT(N18/$E$18)*$B$9</f>
        <v>283.00727590388738</v>
      </c>
      <c r="P18" s="68">
        <f t="shared" ref="P18:P27" si="3">((1-$C$9/O18)*(N18-$E$18)+(1-$B$9/O18)*($E$18-$E$21)+$E$21)/$E$21</f>
        <v>1</v>
      </c>
      <c r="Q18" s="67">
        <f t="shared" ref="Q18:Q27" si="4">0.5*(-$R$15+SQRT($R$15*$R$15+4*O18/$B$9*(P18*$R$15+1)))</f>
        <v>1</v>
      </c>
      <c r="R18" s="69"/>
    </row>
    <row r="19" spans="1:18" x14ac:dyDescent="0.3">
      <c r="A19" s="52"/>
      <c r="B19" s="47"/>
      <c r="C19" s="47"/>
      <c r="D19" s="47"/>
      <c r="E19" s="47"/>
      <c r="F19" s="47"/>
      <c r="G19" s="47"/>
      <c r="H19" s="48"/>
      <c r="I19" s="10"/>
      <c r="K19" s="64">
        <v>2</v>
      </c>
      <c r="L19" s="65">
        <f t="shared" ref="L19:L27" si="5">(Q18*$B$21*SQRT(1+56/81*$E$9))</f>
        <v>3.4305784252159606E-6</v>
      </c>
      <c r="M19" s="66">
        <f t="shared" ref="M19:M27" si="6">$P$15*L19-($P$15-1)*M18</f>
        <v>5.9721800774789707E-6</v>
      </c>
      <c r="N19" s="65">
        <f>MAX(($E$18+(M19-$B$17)/$C$9),$E$18)</f>
        <v>3.3818569101991546E-8</v>
      </c>
      <c r="O19" s="85">
        <f t="shared" si="2"/>
        <v>510.49415327477982</v>
      </c>
      <c r="P19" s="68">
        <f t="shared" si="3"/>
        <v>3.0499524947758148</v>
      </c>
      <c r="Q19" s="67">
        <f t="shared" si="4"/>
        <v>2.1469309033572301</v>
      </c>
      <c r="R19" s="69">
        <f t="shared" ref="R19:R27" si="7">MAX(SQRT((L19*L19-$B$17*$B$17)/$E$25/$C$9+$B$27),$B$25)</f>
        <v>0.68040214335979676</v>
      </c>
    </row>
    <row r="20" spans="1:18" x14ac:dyDescent="0.3">
      <c r="A20" s="127" t="s">
        <v>9</v>
      </c>
      <c r="B20" s="128"/>
      <c r="C20" s="47"/>
      <c r="D20" s="47"/>
      <c r="E20" s="47"/>
      <c r="F20" s="47"/>
      <c r="G20" s="47"/>
      <c r="H20" s="48"/>
      <c r="I20" s="10"/>
      <c r="K20" s="64">
        <v>3</v>
      </c>
      <c r="L20" s="65">
        <f t="shared" si="5"/>
        <v>7.365214837486726E-6</v>
      </c>
      <c r="M20" s="66">
        <f t="shared" si="6"/>
        <v>8.7582495974944806E-6</v>
      </c>
      <c r="N20" s="65">
        <f t="shared" ref="N20:N27" si="8">MAX(($E$18+(M20-$B$17)/$C$9),$E$18)</f>
        <v>4.6657599148145978E-8</v>
      </c>
      <c r="O20" s="85">
        <f t="shared" si="2"/>
        <v>599.61757288087233</v>
      </c>
      <c r="P20" s="68">
        <f t="shared" si="3"/>
        <v>4.4193387929333419</v>
      </c>
      <c r="Q20" s="67">
        <f t="shared" si="4"/>
        <v>2.7637092620826706</v>
      </c>
      <c r="R20" s="69">
        <f t="shared" si="7"/>
        <v>1.6783316631336491</v>
      </c>
    </row>
    <row r="21" spans="1:18" x14ac:dyDescent="0.3">
      <c r="A21" s="49" t="s">
        <v>18</v>
      </c>
      <c r="B21" s="46">
        <f>1.5*PI()*B6*D6</f>
        <v>2.3090706003884986E-6</v>
      </c>
      <c r="C21" s="47"/>
      <c r="D21" s="53" t="s">
        <v>10</v>
      </c>
      <c r="E21" s="50">
        <f>B22/B9</f>
        <v>7.2524891587677338E-9</v>
      </c>
      <c r="F21" s="47"/>
      <c r="G21" s="51" t="s">
        <v>28</v>
      </c>
      <c r="H21" s="89">
        <f>POWER(4/3,2/3)*ABS(H22)</f>
        <v>7.5051535928182502E-9</v>
      </c>
      <c r="I21" s="10"/>
      <c r="K21" s="64">
        <v>4</v>
      </c>
      <c r="L21" s="65">
        <f t="shared" si="5"/>
        <v>9.4811213680703327E-6</v>
      </c>
      <c r="M21" s="66">
        <f t="shared" si="6"/>
        <v>1.0203993138646185E-5</v>
      </c>
      <c r="N21" s="65">
        <f t="shared" si="8"/>
        <v>5.3320011780181485E-8</v>
      </c>
      <c r="O21" s="85">
        <f t="shared" si="2"/>
        <v>641.00036481044094</v>
      </c>
      <c r="P21" s="68">
        <f t="shared" si="3"/>
        <v>5.1570094033009726</v>
      </c>
      <c r="Q21" s="67">
        <f t="shared" si="4"/>
        <v>3.0758704870325531</v>
      </c>
      <c r="R21" s="69">
        <f t="shared" si="7"/>
        <v>2.1890739895142421</v>
      </c>
    </row>
    <row r="22" spans="1:18" x14ac:dyDescent="0.3">
      <c r="A22" s="54" t="s">
        <v>6</v>
      </c>
      <c r="B22" s="46">
        <f>8/9*B21</f>
        <v>2.0525072003453321E-6</v>
      </c>
      <c r="C22" s="46"/>
      <c r="D22" s="46" t="s">
        <v>56</v>
      </c>
      <c r="E22" s="46">
        <f>E21-B21/B9-4/9*B21/(B9/E9)</f>
        <v>-7.2389460569363715E-9</v>
      </c>
      <c r="F22" s="47"/>
      <c r="G22" s="51" t="s">
        <v>57</v>
      </c>
      <c r="H22" s="89">
        <f>-POWER(3*B21*B21/16/B6/C6/C6,1/3)</f>
        <v>-6.1953677888164974E-9</v>
      </c>
      <c r="I22" s="10"/>
      <c r="K22" s="64">
        <v>5</v>
      </c>
      <c r="L22" s="65">
        <f t="shared" si="5"/>
        <v>1.0552014931572385E-5</v>
      </c>
      <c r="M22" s="66">
        <f t="shared" si="6"/>
        <v>1.0900036724498585E-5</v>
      </c>
      <c r="N22" s="65">
        <f t="shared" si="8"/>
        <v>5.6527585908533553E-8</v>
      </c>
      <c r="O22" s="85">
        <f t="shared" si="2"/>
        <v>659.9991522232225</v>
      </c>
      <c r="P22" s="68">
        <f t="shared" si="3"/>
        <v>5.517051685330669</v>
      </c>
      <c r="Q22" s="67">
        <f t="shared" si="4"/>
        <v>3.2242450964886191</v>
      </c>
      <c r="R22" s="69">
        <f t="shared" si="7"/>
        <v>2.4455800150660933</v>
      </c>
    </row>
    <row r="23" spans="1:18" x14ac:dyDescent="0.3">
      <c r="A23" s="52"/>
      <c r="B23" s="55"/>
      <c r="C23" s="46"/>
      <c r="D23" s="46"/>
      <c r="E23" s="47"/>
      <c r="F23" s="47"/>
      <c r="G23" s="47"/>
      <c r="H23" s="48"/>
      <c r="I23" s="10"/>
      <c r="K23" s="64">
        <v>6</v>
      </c>
      <c r="L23" s="65">
        <f t="shared" si="5"/>
        <v>1.106102566562221E-5</v>
      </c>
      <c r="M23" s="66">
        <f t="shared" si="6"/>
        <v>1.1222014606745835E-5</v>
      </c>
      <c r="N23" s="65">
        <f t="shared" si="8"/>
        <v>5.8011354951147606E-8</v>
      </c>
      <c r="O23" s="85">
        <f t="shared" si="2"/>
        <v>668.60506609626191</v>
      </c>
      <c r="P23" s="68">
        <f t="shared" si="3"/>
        <v>5.6845496659951582</v>
      </c>
      <c r="Q23" s="67">
        <f t="shared" si="4"/>
        <v>3.2924688041292987</v>
      </c>
      <c r="R23" s="69">
        <f t="shared" si="7"/>
        <v>2.5671942186642784</v>
      </c>
    </row>
    <row r="24" spans="1:18" x14ac:dyDescent="0.3">
      <c r="A24" s="127" t="s">
        <v>41</v>
      </c>
      <c r="B24" s="128"/>
      <c r="C24" s="47"/>
      <c r="D24" s="47"/>
      <c r="E24" s="47"/>
      <c r="F24" s="47"/>
      <c r="G24" s="47"/>
      <c r="H24" s="48"/>
      <c r="I24" s="10"/>
      <c r="K24" s="64">
        <v>7</v>
      </c>
      <c r="L24" s="65">
        <f t="shared" si="5"/>
        <v>1.1295072445142566E-5</v>
      </c>
      <c r="M24" s="66">
        <f t="shared" si="6"/>
        <v>1.1368130283539298E-5</v>
      </c>
      <c r="N24" s="65">
        <f t="shared" si="8"/>
        <v>5.8684699083836375E-8</v>
      </c>
      <c r="O24" s="85">
        <f t="shared" si="2"/>
        <v>672.47415725886924</v>
      </c>
      <c r="P24" s="68">
        <f t="shared" si="3"/>
        <v>5.760748564968484</v>
      </c>
      <c r="Q24" s="67">
        <f t="shared" si="4"/>
        <v>3.3233442795988068</v>
      </c>
      <c r="R24" s="69">
        <f t="shared" si="7"/>
        <v>2.6230579388996098</v>
      </c>
    </row>
    <row r="25" spans="1:18" x14ac:dyDescent="0.3">
      <c r="A25" s="56" t="s">
        <v>13</v>
      </c>
      <c r="B25" s="88">
        <f>SQRT(B21*B21/E25/B9*(56/81*E9+17/81))</f>
        <v>0.5666165171278178</v>
      </c>
      <c r="C25" s="47"/>
      <c r="D25" s="51" t="s">
        <v>16</v>
      </c>
      <c r="E25" s="46">
        <f>4/3*PI()*POWER(B6,3)*G6</f>
        <v>8.3161177672991771E-14</v>
      </c>
      <c r="F25" s="47"/>
      <c r="G25" s="51" t="s">
        <v>29</v>
      </c>
      <c r="H25" s="87">
        <f>1.84*POWER((POWER((D6/B6),5)/G6/G6/G6/C6/C6),(1/6))</f>
        <v>0.56726520167577676</v>
      </c>
      <c r="I25" s="10"/>
      <c r="K25" s="64">
        <v>8</v>
      </c>
      <c r="L25" s="65">
        <f t="shared" si="5"/>
        <v>1.1400993185156546E-5</v>
      </c>
      <c r="M25" s="66">
        <f t="shared" si="6"/>
        <v>1.1433856086773794E-5</v>
      </c>
      <c r="N25" s="65">
        <f t="shared" si="8"/>
        <v>5.8987582969709633E-8</v>
      </c>
      <c r="O25" s="85">
        <f t="shared" si="2"/>
        <v>674.2073130421818</v>
      </c>
      <c r="P25" s="68">
        <f t="shared" si="3"/>
        <v>5.7950615603213818</v>
      </c>
      <c r="Q25" s="67">
        <f t="shared" si="4"/>
        <v>3.3372155181363317</v>
      </c>
      <c r="R25" s="69">
        <f t="shared" si="7"/>
        <v>2.6483291648295268</v>
      </c>
    </row>
    <row r="26" spans="1:18" ht="15.6" x14ac:dyDescent="0.3">
      <c r="A26" s="56" t="s">
        <v>38</v>
      </c>
      <c r="B26" s="91">
        <f>R27</f>
        <v>2.6647630365049335</v>
      </c>
      <c r="C26" s="46"/>
      <c r="D26" s="57" t="s">
        <v>52</v>
      </c>
      <c r="E26" s="55">
        <f>1.1*POWER(C6*B6/D6,1/3)</f>
        <v>27.745300735222582</v>
      </c>
      <c r="F26" s="47"/>
      <c r="G26" s="58" t="s">
        <v>15</v>
      </c>
      <c r="H26" s="87">
        <f>SQRT(B17*B17/E25/B9)</f>
        <v>0.18324464751314445</v>
      </c>
      <c r="I26" s="43"/>
      <c r="K26" s="64">
        <v>9</v>
      </c>
      <c r="L26" s="65">
        <f t="shared" si="5"/>
        <v>1.1448579556814403E-5</v>
      </c>
      <c r="M26" s="66">
        <f t="shared" si="6"/>
        <v>1.1463303026855011E-5</v>
      </c>
      <c r="N26" s="65">
        <f t="shared" si="8"/>
        <v>5.9123283154415695E-8</v>
      </c>
      <c r="O26" s="85">
        <f t="shared" si="2"/>
        <v>674.98237022214209</v>
      </c>
      <c r="P26" s="68">
        <f t="shared" si="3"/>
        <v>5.8104421134318835</v>
      </c>
      <c r="Q26" s="67">
        <f t="shared" si="4"/>
        <v>3.3434267605857255</v>
      </c>
      <c r="R26" s="69">
        <f t="shared" si="7"/>
        <v>2.6596805432684159</v>
      </c>
    </row>
    <row r="27" spans="1:18" ht="15" thickBot="1" x14ac:dyDescent="0.35">
      <c r="A27" s="59" t="s">
        <v>20</v>
      </c>
      <c r="B27" s="90">
        <f>(B17*B17-B22*B22) /E25/B9</f>
        <v>-0.1454206225373687</v>
      </c>
      <c r="C27" s="60"/>
      <c r="D27" s="60"/>
      <c r="E27" s="78"/>
      <c r="F27" s="78"/>
      <c r="G27" s="78"/>
      <c r="H27" s="79"/>
      <c r="I27" s="10"/>
      <c r="K27" s="70">
        <v>10</v>
      </c>
      <c r="L27" s="71">
        <f t="shared" si="5"/>
        <v>1.1469887711155079E-5</v>
      </c>
      <c r="M27" s="72">
        <f t="shared" si="6"/>
        <v>1.1476472395455147E-5</v>
      </c>
      <c r="N27" s="71">
        <f t="shared" si="8"/>
        <v>5.9183971488978538E-8</v>
      </c>
      <c r="O27" s="86">
        <f t="shared" si="2"/>
        <v>675.32870627740988</v>
      </c>
      <c r="P27" s="74">
        <f t="shared" si="3"/>
        <v>5.8173221358240434</v>
      </c>
      <c r="Q27" s="73">
        <f t="shared" si="4"/>
        <v>3.3462038855805463</v>
      </c>
      <c r="R27" s="75">
        <f t="shared" si="7"/>
        <v>2.6647630365049335</v>
      </c>
    </row>
    <row r="28" spans="1:18" x14ac:dyDescent="0.3">
      <c r="A28" s="10"/>
      <c r="B28" s="30"/>
      <c r="C28" s="20"/>
      <c r="D28" s="20"/>
      <c r="L28" s="44"/>
      <c r="M28" s="44"/>
      <c r="N28" s="44"/>
      <c r="O28" s="31"/>
      <c r="P28" s="31"/>
      <c r="R28" s="31"/>
    </row>
    <row r="29" spans="1:18" ht="15" thickBot="1" x14ac:dyDescent="0.35">
      <c r="C29" s="45"/>
      <c r="D29" s="45"/>
      <c r="L29" s="44"/>
      <c r="M29" s="44"/>
      <c r="N29" s="44"/>
      <c r="O29" s="31"/>
      <c r="P29" s="31"/>
      <c r="R29" s="31"/>
    </row>
    <row r="30" spans="1:18" x14ac:dyDescent="0.3">
      <c r="A30" s="121" t="s">
        <v>59</v>
      </c>
      <c r="B30" s="122"/>
      <c r="C30" s="122"/>
      <c r="D30" s="122"/>
      <c r="E30" s="122"/>
      <c r="F30" s="122"/>
      <c r="G30" s="122"/>
      <c r="H30" s="123"/>
      <c r="L30" s="44"/>
      <c r="M30" s="44"/>
      <c r="N30" s="44"/>
      <c r="O30" s="31"/>
      <c r="P30" s="31"/>
      <c r="R30" s="31"/>
    </row>
    <row r="31" spans="1:18" x14ac:dyDescent="0.3">
      <c r="A31" s="96" t="s">
        <v>61</v>
      </c>
      <c r="B31" s="97">
        <v>5</v>
      </c>
      <c r="C31" s="20"/>
      <c r="D31" s="20" t="s">
        <v>32</v>
      </c>
      <c r="E31" s="20">
        <f>SQRT($E$25*$C$9*(B31*B31-$B$27)+$B$17*$B$17)</f>
        <v>2.1320504815279072E-5</v>
      </c>
      <c r="F31" s="10"/>
      <c r="G31" s="10" t="s">
        <v>33</v>
      </c>
      <c r="H31" s="93">
        <f>MAX(($E$18+(E31-$B$17)/$C$9),$E$18)</f>
        <v>1.0454817618862797E-7</v>
      </c>
      <c r="L31" s="44"/>
      <c r="M31" s="44"/>
      <c r="N31" s="44"/>
      <c r="O31" s="31"/>
      <c r="P31" s="31"/>
      <c r="R31" s="31"/>
    </row>
    <row r="32" spans="1:18" x14ac:dyDescent="0.3">
      <c r="A32" s="6"/>
      <c r="B32" s="10"/>
      <c r="C32" s="10"/>
      <c r="D32" s="10" t="s">
        <v>34</v>
      </c>
      <c r="E32" s="20">
        <f>SQRT(H31/$E$18)*$B$9</f>
        <v>897.57632505432775</v>
      </c>
      <c r="F32" s="10"/>
      <c r="G32" s="41" t="s">
        <v>40</v>
      </c>
      <c r="H32" s="95">
        <f>((1-$C$9/E32)*(H31-$E$18)+(1-$B$9/E32)*($E$18-$E$21)+$E$21)/$E$21</f>
        <v>11.140279886559719</v>
      </c>
      <c r="L32" s="44"/>
      <c r="M32" s="44"/>
      <c r="N32" s="44"/>
      <c r="O32" s="31"/>
      <c r="P32" s="31"/>
      <c r="R32" s="31"/>
    </row>
    <row r="33" spans="1:18" ht="15.6" x14ac:dyDescent="0.3">
      <c r="A33" s="113" t="s">
        <v>60</v>
      </c>
      <c r="B33" s="112">
        <f>SQRT((C9/B9*(1-B27/B31/B31)+H26*H26/B31/B31-B25*B25/B31/B31*E33*E33*(1+2/3*R15))*B9/E32)</f>
        <v>0.25550271389085394</v>
      </c>
      <c r="C33" s="10"/>
      <c r="D33" s="10" t="s">
        <v>36</v>
      </c>
      <c r="E33" s="111">
        <f>0.5*(-$R$15+SQRT($R$15*$R$15+4*E32/$B$9*(H32*$R$15+1)))</f>
        <v>5.3172477727758416</v>
      </c>
      <c r="F33" s="10"/>
      <c r="G33" s="115" t="s">
        <v>58</v>
      </c>
      <c r="H33" s="116">
        <f>-E33*$B$21</f>
        <v>-1.2277900507097919E-5</v>
      </c>
      <c r="L33" s="44"/>
      <c r="M33" s="44"/>
      <c r="N33" s="44"/>
      <c r="O33" s="31"/>
      <c r="P33" s="31"/>
      <c r="R33" s="31"/>
    </row>
    <row r="34" spans="1:18" ht="15" thickBot="1" x14ac:dyDescent="0.35">
      <c r="A34" s="114"/>
      <c r="B34" s="94"/>
      <c r="C34" s="120" t="s">
        <v>67</v>
      </c>
      <c r="D34" s="117" t="s">
        <v>65</v>
      </c>
      <c r="E34" s="119">
        <f>H32*$E$21-ABS(H33)/E32-4/9*ABS(H33)/(E32/$E$9)</f>
        <v>5.6499333585673466E-8</v>
      </c>
      <c r="F34" s="94"/>
      <c r="G34" s="117" t="s">
        <v>66</v>
      </c>
      <c r="H34" s="118">
        <f>H33*5/9</f>
        <v>-6.8210558372766219E-6</v>
      </c>
      <c r="L34" s="44"/>
      <c r="M34" s="44"/>
      <c r="N34" s="44"/>
      <c r="O34" s="31"/>
      <c r="P34" s="31"/>
      <c r="R34" s="31"/>
    </row>
    <row r="35" spans="1:18" x14ac:dyDescent="0.3">
      <c r="L35" s="44"/>
      <c r="M35" s="44"/>
      <c r="N35" s="44"/>
      <c r="O35" s="31"/>
      <c r="P35" s="31"/>
      <c r="R35" s="31"/>
    </row>
    <row r="36" spans="1:18" x14ac:dyDescent="0.3">
      <c r="L36" s="44"/>
      <c r="M36" s="44"/>
      <c r="N36" s="44"/>
      <c r="O36" s="31"/>
      <c r="P36" s="31"/>
      <c r="R36" s="31"/>
    </row>
    <row r="37" spans="1:18" x14ac:dyDescent="0.3">
      <c r="L37" s="44"/>
      <c r="M37" s="44"/>
      <c r="N37" s="44"/>
      <c r="O37" s="31"/>
      <c r="P37" s="31"/>
      <c r="R37" s="31"/>
    </row>
    <row r="38" spans="1:18" x14ac:dyDescent="0.3">
      <c r="L38" s="44"/>
      <c r="M38" s="44"/>
      <c r="N38" s="44"/>
      <c r="O38" s="31"/>
      <c r="P38" s="31"/>
      <c r="R38" s="31"/>
    </row>
    <row r="39" spans="1:18" x14ac:dyDescent="0.3">
      <c r="L39" s="44"/>
      <c r="M39" s="44"/>
      <c r="N39" s="44"/>
      <c r="O39" s="31"/>
      <c r="P39" s="31"/>
      <c r="R39" s="31"/>
    </row>
    <row r="40" spans="1:18" x14ac:dyDescent="0.3">
      <c r="L40" s="44"/>
      <c r="M40" s="44"/>
      <c r="N40" s="44"/>
      <c r="O40" s="31"/>
      <c r="P40" s="31"/>
      <c r="R40" s="31"/>
    </row>
  </sheetData>
  <mergeCells count="9">
    <mergeCell ref="A30:H30"/>
    <mergeCell ref="K14:R14"/>
    <mergeCell ref="O1:R1"/>
    <mergeCell ref="A14:H14"/>
    <mergeCell ref="A24:B24"/>
    <mergeCell ref="A20:B20"/>
    <mergeCell ref="A15:B15"/>
    <mergeCell ref="A1:A3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2022-02-06T14:38:02Z</dcterms:modified>
</cp:coreProperties>
</file>