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da\Desktop\Data Analyst Projects\"/>
    </mc:Choice>
  </mc:AlternateContent>
  <xr:revisionPtr revIDLastSave="0" documentId="13_ncr:1_{20053852-F259-42B7-B053-052124D1A12A}" xr6:coauthVersionLast="47" xr6:coauthVersionMax="47" xr10:uidLastSave="{00000000-0000-0000-0000-000000000000}"/>
  <bookViews>
    <workbookView xWindow="-108" yWindow="-108" windowWidth="23256" windowHeight="12456" tabRatio="581" activeTab="4" xr2:uid="{00000000-000D-0000-FFFF-FFFF00000000}"/>
  </bookViews>
  <sheets>
    <sheet name="First_Submission" sheetId="11" r:id="rId1"/>
    <sheet name="Cost-Supply" sheetId="3" r:id="rId2"/>
    <sheet name="Price-Demand" sheetId="7" r:id="rId3"/>
    <sheet name="Model" sheetId="8" r:id="rId4"/>
    <sheet name="Delivarable" sheetId="12" r:id="rId5"/>
  </sheets>
  <definedNames>
    <definedName name="solver_adj" localSheetId="3">Model!#REF!</definedName>
    <definedName name="solver_cvg" localSheetId="3">0.0001</definedName>
    <definedName name="solver_drv" localSheetId="3">1</definedName>
    <definedName name="solver_est" localSheetId="3">1</definedName>
    <definedName name="solver_itr" localSheetId="3">100</definedName>
    <definedName name="solver_lhs1" localSheetId="3">Model!#REF!</definedName>
    <definedName name="solver_lin" localSheetId="3">2</definedName>
    <definedName name="solver_neg" localSheetId="3">2</definedName>
    <definedName name="solver_num" localSheetId="3">1</definedName>
    <definedName name="solver_nwt" localSheetId="3">1</definedName>
    <definedName name="solver_opt" localSheetId="3">Model!$I$9</definedName>
    <definedName name="solver_pre" localSheetId="3">0.000001</definedName>
    <definedName name="solver_rel1" localSheetId="3">1</definedName>
    <definedName name="solver_rhs1" localSheetId="3">Model!$D$6</definedName>
    <definedName name="solver_scl" localSheetId="3">2</definedName>
    <definedName name="solver_sho" localSheetId="3">2</definedName>
    <definedName name="solver_tim" localSheetId="3">100</definedName>
    <definedName name="solver_tol" localSheetId="3">0.05</definedName>
    <definedName name="solver_typ" localSheetId="3">1</definedName>
    <definedName name="solver_val" localSheetId="3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2" l="1"/>
  <c r="K13" i="12"/>
  <c r="J12" i="12"/>
  <c r="K12" i="12" s="1"/>
  <c r="K8" i="12"/>
  <c r="J8" i="12"/>
  <c r="F8" i="8"/>
  <c r="G14" i="8" s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1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23" i="8"/>
  <c r="C22" i="8"/>
  <c r="C14" i="8"/>
  <c r="C15" i="8"/>
  <c r="C16" i="8"/>
  <c r="C17" i="8"/>
  <c r="C18" i="8"/>
  <c r="C19" i="8"/>
  <c r="C20" i="8"/>
  <c r="C21" i="8"/>
  <c r="C13" i="8"/>
  <c r="I12" i="7"/>
  <c r="C9" i="7"/>
  <c r="C10" i="7"/>
  <c r="M23" i="3"/>
  <c r="M21" i="3"/>
  <c r="M20" i="3"/>
  <c r="M19" i="3"/>
  <c r="M18" i="3"/>
  <c r="M17" i="3"/>
  <c r="L15" i="3"/>
  <c r="L14" i="3"/>
  <c r="M6" i="3"/>
  <c r="M7" i="3"/>
  <c r="C11" i="11"/>
  <c r="C10" i="11"/>
  <c r="F11" i="11"/>
  <c r="F9" i="11"/>
  <c r="M16" i="3"/>
  <c r="F9" i="8" l="1"/>
  <c r="G11" i="12" s="1"/>
  <c r="G30" i="8"/>
  <c r="G13" i="8"/>
  <c r="G21" i="8"/>
  <c r="G36" i="8"/>
  <c r="G20" i="8"/>
  <c r="G27" i="8"/>
  <c r="G34" i="8"/>
  <c r="G18" i="8"/>
  <c r="G17" i="8"/>
  <c r="G32" i="8"/>
  <c r="G24" i="8"/>
  <c r="G16" i="8"/>
  <c r="G22" i="8"/>
  <c r="G29" i="8"/>
  <c r="G28" i="8"/>
  <c r="G35" i="8"/>
  <c r="G19" i="8"/>
  <c r="G26" i="8"/>
  <c r="G33" i="8"/>
  <c r="G25" i="8"/>
  <c r="G31" i="8"/>
  <c r="G23" i="8"/>
  <c r="G15" i="8"/>
  <c r="L13" i="3"/>
  <c r="L7" i="3"/>
  <c r="K7" i="3"/>
  <c r="K6" i="3" s="1"/>
  <c r="K12" i="3" s="1"/>
  <c r="E27" i="8" l="1" a="1"/>
  <c r="E27" i="8" s="1"/>
  <c r="F27" i="8" s="1"/>
  <c r="H27" i="8" s="1"/>
  <c r="I27" i="8" s="1"/>
  <c r="E18" i="8" a="1"/>
  <c r="E18" i="8" s="1"/>
  <c r="F18" i="8" s="1"/>
  <c r="H18" i="8" s="1"/>
  <c r="I18" i="8" s="1"/>
  <c r="E29" i="8" a="1"/>
  <c r="E29" i="8" s="1"/>
  <c r="F29" i="8" s="1"/>
  <c r="E23" i="8" a="1"/>
  <c r="E23" i="8" s="1"/>
  <c r="F23" i="8" s="1"/>
  <c r="H23" i="8" s="1"/>
  <c r="I23" i="8" s="1"/>
  <c r="E28" i="8" a="1"/>
  <c r="E28" i="8" s="1"/>
  <c r="E24" i="8" a="1"/>
  <c r="E24" i="8" s="1"/>
  <c r="F24" i="8" s="1"/>
  <c r="H24" i="8" s="1"/>
  <c r="I24" i="8" s="1"/>
  <c r="E16" i="8" a="1"/>
  <c r="E16" i="8" s="1"/>
  <c r="F16" i="8" s="1"/>
  <c r="H16" i="8" s="1"/>
  <c r="I16" i="8" s="1"/>
  <c r="E13" i="8" a="1"/>
  <c r="E13" i="8" s="1"/>
  <c r="F13" i="8" s="1"/>
  <c r="H13" i="8" s="1"/>
  <c r="I13" i="8" s="1"/>
  <c r="E25" i="8" a="1"/>
  <c r="E25" i="8" s="1"/>
  <c r="F25" i="8" s="1"/>
  <c r="H25" i="8" s="1"/>
  <c r="I25" i="8" s="1"/>
  <c r="E34" i="8" a="1"/>
  <c r="E34" i="8" s="1"/>
  <c r="F34" i="8" s="1"/>
  <c r="H34" i="8" s="1"/>
  <c r="I34" i="8" s="1"/>
  <c r="E17" i="8" a="1"/>
  <c r="E17" i="8" s="1"/>
  <c r="E21" i="8" a="1"/>
  <c r="E21" i="8" s="1"/>
  <c r="F21" i="8" s="1"/>
  <c r="H21" i="8" s="1"/>
  <c r="I21" i="8" s="1"/>
  <c r="E22" i="8" a="1"/>
  <c r="E22" i="8" s="1"/>
  <c r="F22" i="8" s="1"/>
  <c r="H22" i="8" s="1"/>
  <c r="I22" i="8" s="1"/>
  <c r="E26" i="8" a="1"/>
  <c r="E26" i="8" s="1"/>
  <c r="F26" i="8" s="1"/>
  <c r="H26" i="8" s="1"/>
  <c r="I26" i="8" s="1"/>
  <c r="E14" i="8" a="1"/>
  <c r="E14" i="8" s="1"/>
  <c r="F14" i="8" s="1"/>
  <c r="H14" i="8" s="1"/>
  <c r="I14" i="8" s="1"/>
  <c r="E20" i="8" a="1"/>
  <c r="E20" i="8" s="1"/>
  <c r="E19" i="8" a="1"/>
  <c r="E19" i="8" s="1"/>
  <c r="F19" i="8" s="1"/>
  <c r="H19" i="8" s="1"/>
  <c r="I19" i="8" s="1"/>
  <c r="E36" i="8" a="1"/>
  <c r="E36" i="8" s="1"/>
  <c r="F36" i="8" s="1"/>
  <c r="H36" i="8" s="1"/>
  <c r="I36" i="8" s="1"/>
  <c r="E33" i="8" a="1"/>
  <c r="E33" i="8" s="1"/>
  <c r="F33" i="8" s="1"/>
  <c r="H33" i="8" s="1"/>
  <c r="I33" i="8" s="1"/>
  <c r="E30" i="8" a="1"/>
  <c r="E30" i="8" s="1"/>
  <c r="F30" i="8" s="1"/>
  <c r="H30" i="8" s="1"/>
  <c r="I30" i="8" s="1"/>
  <c r="E31" i="8" a="1"/>
  <c r="E31" i="8" s="1"/>
  <c r="F31" i="8" s="1"/>
  <c r="H31" i="8" s="1"/>
  <c r="I31" i="8" s="1"/>
  <c r="E15" i="8" a="1"/>
  <c r="E15" i="8" s="1"/>
  <c r="F15" i="8" s="1"/>
  <c r="H15" i="8" s="1"/>
  <c r="I15" i="8" s="1"/>
  <c r="E35" i="8" a="1"/>
  <c r="E35" i="8" s="1"/>
  <c r="F35" i="8" s="1"/>
  <c r="H35" i="8" s="1"/>
  <c r="I35" i="8" s="1"/>
  <c r="E32" i="8" a="1"/>
  <c r="E32" i="8" s="1"/>
  <c r="F32" i="8" s="1"/>
  <c r="H32" i="8" s="1"/>
  <c r="I32" i="8" s="1"/>
  <c r="H29" i="8"/>
  <c r="I29" i="8" s="1"/>
  <c r="F20" i="8"/>
  <c r="H20" i="8" s="1"/>
  <c r="I20" i="8" s="1"/>
  <c r="F17" i="8"/>
  <c r="H17" i="8" s="1"/>
  <c r="I17" i="8" s="1"/>
  <c r="L6" i="3"/>
  <c r="G12" i="12" l="1"/>
  <c r="J14" i="12" s="1"/>
  <c r="K14" i="12" s="1"/>
  <c r="K15" i="12" s="1"/>
  <c r="K20" i="12" s="1"/>
  <c r="K21" i="12" s="1"/>
  <c r="F28" i="8"/>
  <c r="H28" i="8" s="1"/>
  <c r="I28" i="8" s="1"/>
  <c r="J15" i="12" l="1"/>
  <c r="J20" i="12" s="1"/>
  <c r="J2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<sst xmlns="http://schemas.openxmlformats.org/spreadsheetml/2006/main" count="76" uniqueCount="53">
  <si>
    <t xml:space="preserve">  </t>
  </si>
  <si>
    <t>Intercept</t>
  </si>
  <si>
    <t>Slope</t>
  </si>
  <si>
    <t>Order Quantity</t>
  </si>
  <si>
    <t>Warehouse</t>
  </si>
  <si>
    <t>Total Revenue</t>
  </si>
  <si>
    <t>Profit</t>
  </si>
  <si>
    <t>Total Cost</t>
  </si>
  <si>
    <t>Selling Price</t>
  </si>
  <si>
    <t>Demand</t>
  </si>
  <si>
    <t>Profit Margin</t>
  </si>
  <si>
    <t>Panel Cost/Unit</t>
  </si>
  <si>
    <t>Total Cost/Unit</t>
  </si>
  <si>
    <t>Order Quantity Modelling</t>
  </si>
  <si>
    <t>Price</t>
  </si>
  <si>
    <t>Relationship between Order Quantity and Cost of OLED Panel</t>
  </si>
  <si>
    <t>Quantity</t>
  </si>
  <si>
    <t>Per Unit Cost</t>
  </si>
  <si>
    <t>cost/unit</t>
  </si>
  <si>
    <t>Quote from Samsung</t>
  </si>
  <si>
    <t>Price/Unit</t>
  </si>
  <si>
    <t>Line 1</t>
  </si>
  <si>
    <t>Line 2</t>
  </si>
  <si>
    <t>Line 3</t>
  </si>
  <si>
    <t>Warehouse ₹/day</t>
  </si>
  <si>
    <t>Other Costs</t>
  </si>
  <si>
    <t>Capacity</t>
  </si>
  <si>
    <t>Internal</t>
  </si>
  <si>
    <t>Total</t>
  </si>
  <si>
    <t>Other Cost Components</t>
  </si>
  <si>
    <t>Warehouse Storage Days</t>
  </si>
  <si>
    <t>Selling Price &amp; Demand</t>
  </si>
  <si>
    <t>Price &amp; Demand Relationship</t>
  </si>
  <si>
    <t>y= mx+c</t>
  </si>
  <si>
    <t>c</t>
  </si>
  <si>
    <t>m=</t>
  </si>
  <si>
    <t>Model Inputs</t>
  </si>
  <si>
    <t>Order Quantity and Profit Model</t>
  </si>
  <si>
    <t>Warehouse Utilization</t>
  </si>
  <si>
    <t>Costs</t>
  </si>
  <si>
    <t>Cost of other Components</t>
  </si>
  <si>
    <t>Warehouse Rs/day</t>
  </si>
  <si>
    <t>Storage Capacity</t>
  </si>
  <si>
    <t xml:space="preserve">Internal </t>
  </si>
  <si>
    <t>Intermediate Variavles</t>
  </si>
  <si>
    <t>Model Output( Revenue, cost and Profit Margin)</t>
  </si>
  <si>
    <t>Revenue</t>
  </si>
  <si>
    <t>Per unit</t>
  </si>
  <si>
    <t>Panels</t>
  </si>
  <si>
    <t>Other Components</t>
  </si>
  <si>
    <t>Warehouse Storage</t>
  </si>
  <si>
    <t>Total Costs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</si>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</sst>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₹&quot;\ #,##0;&quot;₹&quot;\ \-#,##0"/>
    <numFmt numFmtId="6" formatCode="&quot;₹&quot;\ #,##0;[Red]&quot;₹&quot;\ \-#,##0"/>
    <numFmt numFmtId="8" formatCode="&quot;₹&quot;\ #,##0.00;[Red]&quot;₹&quot;\ \-#,##0.00"/>
    <numFmt numFmtId="164" formatCode="&quot;$&quot;#,##0_);[Red]\(&quot;$&quot;#,##0\)"/>
    <numFmt numFmtId="165" formatCode="#,##0.0"/>
    <numFmt numFmtId="166" formatCode="#,##0.0000"/>
    <numFmt numFmtId="167" formatCode="0.0000"/>
    <numFmt numFmtId="168" formatCode="0.000"/>
    <numFmt numFmtId="169" formatCode="#,##0.0000_ ;[Red]\-#,##0.0000\ "/>
    <numFmt numFmtId="170" formatCode="&quot;₹&quot;\ #,##0.0000;[Red]&quot;₹&quot;\ \-#,##0.0000"/>
    <numFmt numFmtId="171" formatCode="#,##0.00_ ;[Red]\-#,##0.00\ "/>
    <numFmt numFmtId="172" formatCode="_ [$₹-4009]\ * #,##0_ ;_ [$₹-4009]\ * \-#,##0_ ;_ [$₹-4009]\ * &quot;-&quot;??_ ;_ @_ "/>
    <numFmt numFmtId="173" formatCode="_ &quot;₹&quot;\ * #,##0_ ;_ &quot;₹&quot;\ * \-#,##0_ ;_ &quot;₹&quot;\ * &quot;-&quot;??_ ;_ @_ "/>
    <numFmt numFmtId="174" formatCode="&quot;₹&quot;\ #,##0"/>
  </numFmts>
  <fonts count="15">
    <font>
      <sz val="11"/>
      <color theme="1" tint="0.24994659260841701"/>
      <name val="Nunito"/>
    </font>
    <font>
      <sz val="10"/>
      <color rgb="FF000000"/>
      <name val="Arial"/>
      <family val="2"/>
      <scheme val="minor"/>
    </font>
    <font>
      <sz val="11"/>
      <color rgb="FF3F3F76"/>
      <name val="Nunito"/>
      <family val="2"/>
    </font>
    <font>
      <b/>
      <sz val="18"/>
      <color theme="1" tint="0.24994659260841701"/>
      <name val="Nunito"/>
    </font>
    <font>
      <b/>
      <sz val="11"/>
      <color theme="1" tint="0.24994659260841701"/>
      <name val="Nunito"/>
    </font>
    <font>
      <b/>
      <sz val="18"/>
      <color theme="1"/>
      <name val="Nunito"/>
    </font>
    <font>
      <sz val="11"/>
      <color theme="1"/>
      <name val="Nunito"/>
    </font>
    <font>
      <sz val="11"/>
      <color rgb="FF333333"/>
      <name val="Nunito"/>
    </font>
    <font>
      <sz val="11"/>
      <color rgb="FF000000"/>
      <name val="Nunito"/>
    </font>
    <font>
      <sz val="11"/>
      <color rgb="FFFFFFFF"/>
      <name val="Nunito"/>
    </font>
    <font>
      <b/>
      <sz val="11"/>
      <color rgb="FF000000"/>
      <name val="Nunito"/>
    </font>
    <font>
      <sz val="11"/>
      <color theme="1" tint="0.249977111117893"/>
      <name val="Nunito"/>
    </font>
    <font>
      <b/>
      <sz val="18"/>
      <color theme="1" tint="0.249977111117893"/>
      <name val="Nunito"/>
    </font>
    <font>
      <b/>
      <sz val="11"/>
      <color theme="1" tint="0.249977111117893"/>
      <name val="Nunito"/>
    </font>
    <font>
      <sz val="11"/>
      <color theme="1" tint="0.24994659260841701"/>
      <name val="Nunito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0" xfId="0" applyFont="1"/>
    <xf numFmtId="0" fontId="4" fillId="0" borderId="0" xfId="0" applyFont="1"/>
    <xf numFmtId="6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/>
    <xf numFmtId="164" fontId="11" fillId="0" borderId="2" xfId="0" applyNumberFormat="1" applyFont="1" applyBorder="1" applyAlignment="1">
      <alignment horizontal="right"/>
    </xf>
    <xf numFmtId="6" fontId="11" fillId="0" borderId="2" xfId="0" applyNumberFormat="1" applyFont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1" fillId="0" borderId="2" xfId="0" applyFont="1" applyBorder="1"/>
    <xf numFmtId="3" fontId="11" fillId="0" borderId="2" xfId="0" applyNumberFormat="1" applyFont="1" applyBorder="1"/>
    <xf numFmtId="6" fontId="11" fillId="0" borderId="2" xfId="0" applyNumberFormat="1" applyFont="1" applyBorder="1"/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6" fontId="0" fillId="0" borderId="0" xfId="0" applyNumberFormat="1"/>
    <xf numFmtId="10" fontId="0" fillId="0" borderId="2" xfId="0" applyNumberFormat="1" applyBorder="1"/>
    <xf numFmtId="6" fontId="2" fillId="2" borderId="1" xfId="1" applyNumberFormat="1" applyAlignment="1">
      <alignment horizontal="center" vertical="center"/>
    </xf>
    <xf numFmtId="3" fontId="0" fillId="0" borderId="0" xfId="0" applyNumberFormat="1"/>
    <xf numFmtId="165" fontId="6" fillId="0" borderId="0" xfId="0" applyNumberFormat="1" applyFont="1" applyAlignment="1">
      <alignment horizontal="center"/>
    </xf>
    <xf numFmtId="6" fontId="8" fillId="0" borderId="0" xfId="0" applyNumberFormat="1" applyFont="1"/>
    <xf numFmtId="8" fontId="8" fillId="0" borderId="0" xfId="0" applyNumberFormat="1" applyFont="1"/>
    <xf numFmtId="3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68" fontId="8" fillId="0" borderId="0" xfId="0" applyNumberFormat="1" applyFont="1"/>
    <xf numFmtId="168" fontId="0" fillId="0" borderId="2" xfId="0" applyNumberForma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8" fontId="0" fillId="0" borderId="0" xfId="0" applyNumberFormat="1"/>
    <xf numFmtId="169" fontId="11" fillId="0" borderId="2" xfId="0" applyNumberFormat="1" applyFont="1" applyBorder="1" applyAlignment="1">
      <alignment horizontal="center"/>
    </xf>
    <xf numFmtId="169" fontId="6" fillId="3" borderId="0" xfId="0" applyNumberFormat="1" applyFont="1" applyFill="1" applyAlignment="1">
      <alignment horizontal="center"/>
    </xf>
    <xf numFmtId="170" fontId="11" fillId="0" borderId="0" xfId="0" applyNumberFormat="1" applyFont="1" applyAlignment="1">
      <alignment horizontal="center"/>
    </xf>
    <xf numFmtId="169" fontId="11" fillId="0" borderId="2" xfId="0" applyNumberFormat="1" applyFont="1" applyBorder="1"/>
    <xf numFmtId="170" fontId="0" fillId="0" borderId="0" xfId="0" applyNumberFormat="1"/>
    <xf numFmtId="171" fontId="11" fillId="0" borderId="2" xfId="0" applyNumberFormat="1" applyFont="1" applyBorder="1"/>
    <xf numFmtId="1" fontId="0" fillId="0" borderId="2" xfId="0" applyNumberFormat="1" applyBorder="1" applyAlignment="1">
      <alignment horizontal="center" vertical="center"/>
    </xf>
    <xf numFmtId="172" fontId="0" fillId="0" borderId="0" xfId="0" applyNumberFormat="1"/>
    <xf numFmtId="172" fontId="0" fillId="0" borderId="2" xfId="0" applyNumberFormat="1" applyBorder="1" applyAlignment="1">
      <alignment horizontal="center" vertical="center"/>
    </xf>
    <xf numFmtId="172" fontId="0" fillId="0" borderId="2" xfId="0" applyNumberFormat="1" applyBorder="1"/>
    <xf numFmtId="172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1" fontId="0" fillId="0" borderId="4" xfId="0" applyNumberFormat="1" applyBorder="1"/>
    <xf numFmtId="0" fontId="0" fillId="0" borderId="6" xfId="0" applyBorder="1"/>
    <xf numFmtId="0" fontId="0" fillId="0" borderId="8" xfId="0" applyBorder="1"/>
    <xf numFmtId="173" fontId="0" fillId="0" borderId="4" xfId="0" applyNumberFormat="1" applyBorder="1" applyAlignment="1">
      <alignment horizontal="center" vertical="center"/>
    </xf>
    <xf numFmtId="9" fontId="0" fillId="0" borderId="8" xfId="2" applyFont="1" applyBorder="1"/>
    <xf numFmtId="173" fontId="0" fillId="0" borderId="8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73" fontId="0" fillId="0" borderId="10" xfId="0" applyNumberFormat="1" applyBorder="1" applyAlignment="1">
      <alignment horizontal="center"/>
    </xf>
    <xf numFmtId="5" fontId="0" fillId="0" borderId="0" xfId="0" applyNumberFormat="1"/>
    <xf numFmtId="174" fontId="0" fillId="0" borderId="0" xfId="0" applyNumberFormat="1" applyAlignment="1">
      <alignment horizont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3" xfId="0" applyFill="1" applyBorder="1"/>
    <xf numFmtId="0" fontId="0" fillId="8" borderId="7" xfId="0" applyFill="1" applyBorder="1"/>
    <xf numFmtId="0" fontId="0" fillId="9" borderId="0" xfId="0" applyFill="1"/>
    <xf numFmtId="10" fontId="0" fillId="6" borderId="0" xfId="2" applyNumberFormat="1" applyFont="1" applyFill="1" applyAlignment="1">
      <alignment horizontal="center"/>
    </xf>
    <xf numFmtId="10" fontId="0" fillId="6" borderId="0" xfId="2" applyNumberFormat="1" applyFont="1" applyFill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3">
    <cellStyle name="Input" xfId="1" builtinId="20"/>
    <cellStyle name="Normal" xfId="0" builtinId="0" customBuiltin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'Cost-Supply'!$B$8:$B$11</c:f>
              <c:numCache>
                <c:formatCode>#,##0</c:formatCode>
                <c:ptCount val="4"/>
                <c:pt idx="0">
                  <c:v>1</c:v>
                </c:pt>
                <c:pt idx="1">
                  <c:v>5000</c:v>
                </c:pt>
                <c:pt idx="2">
                  <c:v>20000</c:v>
                </c:pt>
                <c:pt idx="3">
                  <c:v>50000</c:v>
                </c:pt>
              </c:numCache>
            </c:numRef>
          </c:xVal>
          <c:yVal>
            <c:numRef>
              <c:f>'Cost-Supply'!$C$8:$C$11</c:f>
              <c:numCache>
                <c:formatCode>"₹"#,##0_);[Red]\("₹"#,##0\)</c:formatCode>
                <c:ptCount val="4"/>
                <c:pt idx="0">
                  <c:v>1450</c:v>
                </c:pt>
                <c:pt idx="1">
                  <c:v>1425</c:v>
                </c:pt>
                <c:pt idx="2">
                  <c:v>1250</c:v>
                </c:pt>
                <c:pt idx="3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9BB-85FB-EA97C9FAE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474575"/>
        <c:axId val="1404075935"/>
      </c:scatterChart>
      <c:valAx>
        <c:axId val="147447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75935"/>
        <c:crosses val="autoZero"/>
        <c:crossBetween val="midCat"/>
      </c:valAx>
      <c:valAx>
        <c:axId val="14040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_);[Red]\(&quot;₹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47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68580</xdr:rowOff>
    </xdr:from>
    <xdr:to>
      <xdr:col>5</xdr:col>
      <xdr:colOff>213552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6BD60-414A-9EF7-0074-2771A521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7EE-86AF-481B-918B-1CD0C3E4CCA6}">
  <sheetPr codeName="Sheet1"/>
  <dimension ref="A1:Z996"/>
  <sheetViews>
    <sheetView showGridLines="0" topLeftCell="A3" zoomScale="127" zoomScaleNormal="85" workbookViewId="0">
      <selection activeCell="C12" sqref="C12"/>
    </sheetView>
  </sheetViews>
  <sheetFormatPr defaultColWidth="12.69921875" defaultRowHeight="13.8"/>
  <cols>
    <col min="1" max="1" width="0.8984375" customWidth="1"/>
    <col min="2" max="2" width="12.296875" customWidth="1"/>
    <col min="3" max="3" width="16.69921875" style="53" customWidth="1"/>
    <col min="4" max="4" width="23.09765625" customWidth="1"/>
    <col min="5" max="5" width="10.69921875" customWidth="1"/>
    <col min="6" max="6" width="11.19921875" bestFit="1" customWidth="1"/>
    <col min="7" max="7" width="8.3984375" customWidth="1"/>
    <col min="8" max="11" width="12.69921875" customWidth="1"/>
    <col min="12" max="13" width="0.8984375" customWidth="1"/>
    <col min="14" max="17" width="8.8984375" customWidth="1"/>
    <col min="18" max="18" width="14.3984375" customWidth="1"/>
    <col min="19" max="26" width="8.8984375" customWidth="1"/>
  </cols>
  <sheetData>
    <row r="1" spans="1:26">
      <c r="A1" s="8"/>
      <c r="C1" s="48"/>
      <c r="D1" s="8"/>
      <c r="E1" s="8"/>
      <c r="F1" s="8"/>
      <c r="G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2.8">
      <c r="A2" s="14"/>
      <c r="B2" s="7" t="s">
        <v>15</v>
      </c>
      <c r="C2" s="4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10" customFormat="1">
      <c r="A3" s="8"/>
      <c r="B3" s="8"/>
      <c r="C3" s="4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10" customFormat="1">
      <c r="A4" s="8"/>
      <c r="C4" s="50"/>
      <c r="F4" s="9"/>
      <c r="G4" s="9"/>
      <c r="H4" s="9"/>
      <c r="I4" s="9"/>
      <c r="J4" s="9"/>
      <c r="K4" s="9"/>
      <c r="L4" s="8"/>
      <c r="M4" s="8"/>
      <c r="N4" s="11"/>
      <c r="O4" s="8"/>
    </row>
    <row r="5" spans="1:26" s="10" customFormat="1">
      <c r="A5" s="8"/>
      <c r="B5" s="36" t="s">
        <v>16</v>
      </c>
      <c r="C5" s="51" t="s">
        <v>17</v>
      </c>
      <c r="F5" s="9"/>
      <c r="G5" s="9"/>
      <c r="J5"/>
      <c r="K5"/>
      <c r="L5" s="8"/>
      <c r="M5" s="8"/>
      <c r="N5" s="11"/>
      <c r="O5" s="8"/>
    </row>
    <row r="6" spans="1:26" s="10" customFormat="1">
      <c r="A6" s="8"/>
      <c r="B6" s="44">
        <v>1</v>
      </c>
      <c r="C6" s="52">
        <v>1750</v>
      </c>
      <c r="E6" s="10" t="s">
        <v>33</v>
      </c>
      <c r="F6" s="9"/>
      <c r="G6" s="9"/>
      <c r="J6"/>
      <c r="K6"/>
      <c r="L6" s="8"/>
      <c r="M6" s="8"/>
      <c r="N6" s="11"/>
      <c r="O6" s="8"/>
    </row>
    <row r="7" spans="1:26" s="10" customFormat="1">
      <c r="A7" s="8"/>
      <c r="B7" s="45">
        <v>1000</v>
      </c>
      <c r="C7" s="52">
        <v>1575</v>
      </c>
      <c r="F7" s="9"/>
      <c r="G7" s="9"/>
      <c r="H7" s="9"/>
      <c r="I7" s="9"/>
      <c r="J7" s="9"/>
      <c r="K7" s="9"/>
      <c r="L7" s="8"/>
      <c r="M7" s="8"/>
      <c r="N7" s="8"/>
      <c r="O7" s="8"/>
    </row>
    <row r="8" spans="1:26" s="10" customFormat="1">
      <c r="A8" s="8"/>
      <c r="C8" s="50"/>
      <c r="F8" s="8"/>
      <c r="G8" s="8"/>
      <c r="H8" s="8"/>
      <c r="I8" s="8"/>
      <c r="J8" s="8"/>
      <c r="K8" s="8"/>
      <c r="L8" s="8"/>
      <c r="M8" s="8"/>
      <c r="N8" s="8"/>
      <c r="O8" s="8"/>
    </row>
    <row r="9" spans="1:26" s="10" customFormat="1">
      <c r="A9" s="8"/>
      <c r="B9"/>
      <c r="C9" s="53"/>
      <c r="D9"/>
      <c r="E9" t="s">
        <v>35</v>
      </c>
      <c r="F9" s="48">
        <f>(C6-C7)/(B6-B7)</f>
        <v>-0.17517517517517517</v>
      </c>
      <c r="G9" s="8"/>
      <c r="H9" s="8"/>
      <c r="I9" s="8"/>
      <c r="J9" s="8"/>
      <c r="K9" s="8"/>
      <c r="L9" s="8"/>
      <c r="M9" s="8"/>
      <c r="N9" s="8"/>
      <c r="O9" s="8"/>
    </row>
    <row r="10" spans="1:26" s="10" customFormat="1">
      <c r="A10" s="8"/>
      <c r="B10" s="46" t="s">
        <v>1</v>
      </c>
      <c r="C10" s="52">
        <f>F11</f>
        <v>1750.1751751751751</v>
      </c>
      <c r="D10"/>
      <c r="E10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6" s="10" customFormat="1">
      <c r="A11" s="8"/>
      <c r="B11" s="46" t="s">
        <v>2</v>
      </c>
      <c r="C11" s="52">
        <f>F9</f>
        <v>-0.17517517517517517</v>
      </c>
      <c r="D11"/>
      <c r="E11" t="s">
        <v>34</v>
      </c>
      <c r="F11" s="47">
        <f>C6-F9</f>
        <v>1750.1751751751751</v>
      </c>
      <c r="G11" s="8"/>
      <c r="H11" s="8"/>
      <c r="I11" s="8"/>
      <c r="J11" s="8"/>
      <c r="K11" s="8"/>
      <c r="L11" s="8"/>
      <c r="M11" s="8"/>
      <c r="N11" s="8"/>
      <c r="O11" s="8"/>
    </row>
    <row r="12" spans="1:26" s="10" customFormat="1">
      <c r="A12" s="8"/>
      <c r="B12"/>
      <c r="C12" s="53"/>
      <c r="D12"/>
      <c r="E12"/>
      <c r="F12" s="41"/>
      <c r="G12" s="8"/>
      <c r="H12" s="8"/>
      <c r="I12" s="8"/>
      <c r="J12" s="8"/>
      <c r="K12" s="8"/>
      <c r="L12" s="8"/>
      <c r="M12" s="8"/>
      <c r="N12" s="8"/>
      <c r="O12" s="8"/>
    </row>
    <row r="13" spans="1:26" s="10" customFormat="1">
      <c r="A13" s="8"/>
      <c r="B13"/>
      <c r="C13" s="53"/>
      <c r="D13"/>
      <c r="E13"/>
      <c r="F13" s="41"/>
      <c r="G13" s="8"/>
      <c r="H13" s="8"/>
      <c r="I13" s="8"/>
      <c r="J13" s="8"/>
      <c r="K13" s="8"/>
      <c r="L13" s="8"/>
      <c r="M13" s="8"/>
      <c r="N13" s="8"/>
      <c r="O13" s="8"/>
      <c r="V13" s="15"/>
    </row>
    <row r="14" spans="1:26" s="10" customFormat="1">
      <c r="A14" s="8"/>
      <c r="B14"/>
      <c r="C14" s="53"/>
      <c r="D14"/>
      <c r="E14"/>
      <c r="F14" s="41"/>
      <c r="G14" s="8"/>
      <c r="H14" s="8"/>
      <c r="I14" s="8"/>
      <c r="J14" s="8"/>
      <c r="K14" s="8"/>
      <c r="L14" s="8"/>
      <c r="M14" s="8"/>
      <c r="N14" s="8"/>
      <c r="O14" s="8"/>
    </row>
    <row r="15" spans="1:26" s="10" customFormat="1">
      <c r="A15" s="8"/>
      <c r="C15" s="50"/>
      <c r="D15"/>
      <c r="E15"/>
      <c r="F15" s="41"/>
      <c r="G15" s="8"/>
      <c r="H15" s="8"/>
      <c r="I15" s="8"/>
      <c r="J15" s="8"/>
      <c r="K15" s="8"/>
      <c r="L15" s="8"/>
      <c r="M15" s="8"/>
      <c r="N15" s="8"/>
      <c r="O15" s="8" t="s">
        <v>0</v>
      </c>
    </row>
    <row r="16" spans="1:26" s="10" customFormat="1">
      <c r="A16" s="8"/>
      <c r="C16" s="50"/>
      <c r="D16"/>
      <c r="E16"/>
      <c r="F16" s="41"/>
      <c r="G16" s="8"/>
      <c r="H16" s="8"/>
      <c r="I16" s="8"/>
      <c r="J16" s="8"/>
      <c r="K16" s="8"/>
      <c r="L16" s="8"/>
      <c r="M16" s="8"/>
      <c r="N16" s="8"/>
      <c r="O16" s="8"/>
    </row>
    <row r="17" spans="1:26" s="10" customFormat="1">
      <c r="A17" s="8"/>
      <c r="B17"/>
      <c r="C17" s="53"/>
      <c r="D17"/>
      <c r="E17"/>
      <c r="F17" s="41"/>
      <c r="G17" s="8"/>
      <c r="H17" s="8"/>
      <c r="I17" s="8"/>
      <c r="J17" s="8"/>
      <c r="K17" s="8"/>
      <c r="L17" s="8"/>
      <c r="M17" s="8"/>
      <c r="N17" s="8"/>
      <c r="O17" s="8"/>
    </row>
    <row r="18" spans="1:26" s="10" customFormat="1">
      <c r="A18" s="8"/>
      <c r="B18"/>
      <c r="C18" s="53"/>
      <c r="D18"/>
      <c r="E18"/>
      <c r="F18" s="41"/>
      <c r="G18" s="8"/>
      <c r="H18" s="8"/>
      <c r="I18" s="8"/>
      <c r="J18" s="8"/>
      <c r="K18" s="8"/>
      <c r="L18" s="8"/>
      <c r="M18" s="8"/>
      <c r="N18" s="8"/>
      <c r="O18" s="8"/>
    </row>
    <row r="19" spans="1:26" s="10" customFormat="1">
      <c r="A19" s="8"/>
      <c r="B19"/>
      <c r="C19" s="53"/>
      <c r="D19"/>
      <c r="E19"/>
      <c r="F19" s="41"/>
      <c r="G19" s="8"/>
      <c r="H19" s="8"/>
      <c r="I19" s="8"/>
      <c r="J19" s="8"/>
      <c r="K19" s="8"/>
      <c r="L19" s="8"/>
      <c r="M19" s="8"/>
      <c r="N19" s="8"/>
      <c r="O19" s="8"/>
      <c r="R19" s="42"/>
    </row>
    <row r="20" spans="1:26" s="10" customFormat="1">
      <c r="A20" s="8"/>
      <c r="B20"/>
      <c r="C20" s="53"/>
      <c r="D20"/>
      <c r="E20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26" s="10" customFormat="1">
      <c r="A21" s="8"/>
      <c r="B21"/>
      <c r="C21" s="53"/>
      <c r="D21"/>
      <c r="E21"/>
      <c r="F21" s="8"/>
      <c r="G21" s="8"/>
      <c r="H21" s="8"/>
      <c r="I21" s="8"/>
      <c r="J21" s="8"/>
      <c r="K21" s="8"/>
      <c r="L21" s="8"/>
      <c r="M21" s="8"/>
      <c r="N21" s="8"/>
      <c r="O21" s="8"/>
      <c r="R21" s="43"/>
      <c r="S21" s="42"/>
    </row>
    <row r="22" spans="1:26" s="10" customFormat="1">
      <c r="A22" s="8"/>
      <c r="B22"/>
      <c r="C22" s="53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26" s="10" customFormat="1">
      <c r="A23" s="8"/>
      <c r="B23"/>
      <c r="C23" s="53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26" s="10" customFormat="1">
      <c r="A24" s="8"/>
      <c r="B24"/>
      <c r="C24" s="53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26" s="10" customFormat="1">
      <c r="A25" s="8"/>
      <c r="C25" s="5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26" s="10" customFormat="1">
      <c r="A26" s="8"/>
      <c r="B26" s="12"/>
      <c r="C26" s="48"/>
      <c r="D26" s="13"/>
      <c r="E26" s="13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26" s="10" customFormat="1">
      <c r="A27" s="8"/>
      <c r="B27" s="12"/>
      <c r="C27" s="4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26" s="10" customFormat="1">
      <c r="A28" s="8"/>
      <c r="B28" s="8"/>
      <c r="C28" s="4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4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4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4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4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4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4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11"/>
      <c r="C35" s="4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4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4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4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4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4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4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4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4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4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4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4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4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4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4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4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4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4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4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4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4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4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4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4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4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4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4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4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4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4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4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4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4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4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4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4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4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4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4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4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4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4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4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4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4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4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4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4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4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4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4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4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4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4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4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4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4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4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4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4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4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4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4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4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4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4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4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4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4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4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4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4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4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4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4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4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4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4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4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4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4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4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4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4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4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4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4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4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4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4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4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4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4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4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4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4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4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4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4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4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4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4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4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4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4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4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4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4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4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4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4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4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4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4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4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4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4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4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4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4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4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4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4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4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4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4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4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4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4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4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4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4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4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4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4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4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4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4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4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4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4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4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4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4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4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4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4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4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4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4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4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4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4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4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4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4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4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4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4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4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4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4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4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4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4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4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4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4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4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4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4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4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4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4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4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4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4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4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4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4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4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4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4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4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4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4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4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4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4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4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4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4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4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4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4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4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4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4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4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4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4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4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4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4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4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4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4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4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4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4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4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4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4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4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4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4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4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4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4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4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4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4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4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4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4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4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4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4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4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4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4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4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4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4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4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4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4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4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4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4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4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4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4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4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4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4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4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4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4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4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4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4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4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4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4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4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4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4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4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4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4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4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4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4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4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4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4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4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4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4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4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4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4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4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4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4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4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4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4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4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4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4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4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4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4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4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4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4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4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4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4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4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4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4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4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4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4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4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4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4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4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4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4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4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4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4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4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4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4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4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4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4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4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4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4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4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4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4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4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4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4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4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4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4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4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4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4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4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4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4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4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4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4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4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4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4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4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4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4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4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4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4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4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4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4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4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4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4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4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4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4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4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4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4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4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4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4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4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4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4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4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4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4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4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4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4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4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4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4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4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4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4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4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4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4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4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4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4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4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4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4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4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4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4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4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4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4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4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4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4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4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4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4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4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4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4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4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4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4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4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4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4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4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4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4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4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4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4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4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4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4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4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4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4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4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4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4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4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4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4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4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4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4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4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4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4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4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4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4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4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4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4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4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4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4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4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4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4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4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4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4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4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4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4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4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4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4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4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4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4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4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4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4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4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4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4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4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4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4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4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4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4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4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4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4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4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4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4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4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4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4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4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4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4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4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4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4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4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4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4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4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4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4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4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4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4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4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4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4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4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4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4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4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4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4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4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4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4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4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4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4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4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4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4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4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4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4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4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4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4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4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4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4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4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4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4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4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4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4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4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4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4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4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4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4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4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4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4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4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4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4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4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4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4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4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4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4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4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4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4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4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4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4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4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4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4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4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4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4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4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4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4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4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4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4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4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4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4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4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4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4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4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4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4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4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4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4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4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4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4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4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4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4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4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4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4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4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4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4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4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4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4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4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4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4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4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4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4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4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4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4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4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4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4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4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4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4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4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4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4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4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4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4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4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4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4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4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4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4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4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4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4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4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4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4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4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4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4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4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4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4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4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4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4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4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4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4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4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4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4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4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4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4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4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4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4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4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4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4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4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4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4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4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4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4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4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4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4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4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4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4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4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4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4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4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4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4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4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4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4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4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4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4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4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4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4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4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4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4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4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4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4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4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4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4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4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4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4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4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4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4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4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4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4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4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4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4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4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4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4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4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4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4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4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4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4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4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4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4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4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4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4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4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4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4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4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4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4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4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4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4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4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4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4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4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4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4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4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4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4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4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4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4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4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4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4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4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4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4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4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4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4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4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4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4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4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4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4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4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4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4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4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4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4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4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4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4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4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4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4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4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4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4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4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4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4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4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4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4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4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4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4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4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4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4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4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4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4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4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4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4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4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4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4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4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4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4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4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4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4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4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4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4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4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4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4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4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4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4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4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4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4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4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4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4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4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4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4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4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4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4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4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4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4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4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4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4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4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4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4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4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4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4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4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4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4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4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4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4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4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4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4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4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4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4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4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4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4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4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4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4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4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4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4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4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4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4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4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4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4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4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4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4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4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4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4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4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4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4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4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4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4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4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4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4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4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4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4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4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4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4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4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4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4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4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4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4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4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4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4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4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4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4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4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4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4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4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4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4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4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4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4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4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4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4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4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4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4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4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4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4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4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4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4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4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4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4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4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4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4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4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4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4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4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4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4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4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4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4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4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4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4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4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4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4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4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4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4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4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4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4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4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4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4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4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4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4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4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4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4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4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4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4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4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4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4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4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4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4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4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4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4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4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4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4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4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4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4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4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4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4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4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4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4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4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4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4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4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4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4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4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4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3" manualBreakCount="3">
    <brk id="22" man="1"/>
    <brk id="12" man="1"/>
    <brk id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Z996"/>
  <sheetViews>
    <sheetView showGridLines="0" zoomScaleNormal="100" workbookViewId="0">
      <selection activeCell="M7" sqref="M7"/>
    </sheetView>
  </sheetViews>
  <sheetFormatPr defaultColWidth="12.69921875" defaultRowHeight="13.8"/>
  <cols>
    <col min="1" max="1" width="0.8984375" style="17" customWidth="1"/>
    <col min="2" max="2" width="17.296875" style="17" customWidth="1"/>
    <col min="3" max="5" width="16.69921875" style="17" customWidth="1"/>
    <col min="6" max="9" width="15.69921875" style="17" customWidth="1"/>
    <col min="10" max="10" width="14.59765625" style="17" bestFit="1" customWidth="1"/>
    <col min="11" max="11" width="12.09765625" style="17" bestFit="1" customWidth="1"/>
    <col min="12" max="12" width="11.296875" style="17" customWidth="1"/>
    <col min="13" max="13" width="12.296875" style="17" customWidth="1"/>
    <col min="14" max="20" width="8.8984375" style="17" customWidth="1"/>
    <col min="21" max="21" width="15.3984375" style="17" customWidth="1"/>
    <col min="22" max="22" width="13.3984375" style="17" customWidth="1"/>
    <col min="23" max="26" width="8.8984375" style="17" customWidth="1"/>
    <col min="27" max="16384" width="12.69921875" style="17"/>
  </cols>
  <sheetData>
    <row r="1" spans="1:26">
      <c r="A1" s="16"/>
      <c r="C1" s="16"/>
      <c r="D1" s="16"/>
      <c r="E1" s="16"/>
      <c r="F1" s="16"/>
      <c r="G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2.8">
      <c r="A2" s="16"/>
      <c r="B2" s="18" t="s">
        <v>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/>
      <c r="B3" s="16"/>
      <c r="C3" s="16"/>
      <c r="D3" s="16"/>
      <c r="E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6"/>
      <c r="J4" s="16"/>
      <c r="K4" s="16"/>
      <c r="L4" s="16"/>
      <c r="M4" s="16"/>
      <c r="N4" s="19"/>
      <c r="O4" s="16"/>
    </row>
    <row r="5" spans="1:26">
      <c r="A5" s="16"/>
      <c r="B5" s="20" t="s">
        <v>19</v>
      </c>
      <c r="J5" s="16"/>
      <c r="K5" s="16" t="s">
        <v>21</v>
      </c>
      <c r="L5" s="16" t="s">
        <v>22</v>
      </c>
      <c r="M5" s="16" t="s">
        <v>23</v>
      </c>
      <c r="N5" s="19"/>
      <c r="O5" s="16"/>
    </row>
    <row r="6" spans="1:26">
      <c r="A6" s="16"/>
      <c r="J6" s="21" t="s">
        <v>1</v>
      </c>
      <c r="K6" s="54">
        <f>1450-K7</f>
        <v>1450.0050010002001</v>
      </c>
      <c r="L6" s="22">
        <f>L13-L7*J13</f>
        <v>1483.3333333333333</v>
      </c>
      <c r="M6" s="22">
        <f>M16-M7*J16</f>
        <v>1783.3333333333335</v>
      </c>
      <c r="N6" s="19"/>
      <c r="O6" s="16"/>
    </row>
    <row r="7" spans="1:26">
      <c r="A7" s="16"/>
      <c r="B7" s="24" t="s">
        <v>3</v>
      </c>
      <c r="C7" s="24" t="s">
        <v>18</v>
      </c>
      <c r="J7" s="21" t="s">
        <v>2</v>
      </c>
      <c r="K7" s="55">
        <f>(K11-K13)/(J11-J13)</f>
        <v>-5.0010002000400082E-3</v>
      </c>
      <c r="L7" s="23">
        <f>(L13-L16)/(J13-J16)</f>
        <v>-1.1666666666666667E-2</v>
      </c>
      <c r="M7" s="23">
        <f>(M16-M22)/(J16-J22)</f>
        <v>-2.6666666666666668E-2</v>
      </c>
      <c r="N7" s="16"/>
      <c r="O7" s="16"/>
    </row>
    <row r="8" spans="1:26">
      <c r="A8" s="16"/>
      <c r="B8" s="25">
        <v>1</v>
      </c>
      <c r="C8" s="22">
        <v>1450</v>
      </c>
      <c r="N8" s="16"/>
      <c r="O8" s="16"/>
    </row>
    <row r="9" spans="1:26">
      <c r="A9" s="16"/>
      <c r="B9" s="25">
        <v>5000</v>
      </c>
      <c r="C9" s="22">
        <v>1425</v>
      </c>
      <c r="N9" s="16"/>
      <c r="O9" s="16"/>
    </row>
    <row r="10" spans="1:26">
      <c r="A10" s="16"/>
      <c r="B10" s="25">
        <v>20000</v>
      </c>
      <c r="C10" s="22">
        <v>1250</v>
      </c>
      <c r="J10" s="26" t="s">
        <v>3</v>
      </c>
      <c r="K10" s="26" t="s">
        <v>20</v>
      </c>
      <c r="L10" s="26" t="s">
        <v>20</v>
      </c>
      <c r="M10" s="26" t="s">
        <v>20</v>
      </c>
      <c r="N10" s="16"/>
      <c r="O10" s="16"/>
    </row>
    <row r="11" spans="1:26">
      <c r="A11" s="16"/>
      <c r="B11" s="25">
        <v>50000</v>
      </c>
      <c r="C11" s="22">
        <v>450</v>
      </c>
      <c r="J11" s="27">
        <v>1</v>
      </c>
      <c r="K11" s="28">
        <v>1450</v>
      </c>
      <c r="L11" s="28"/>
      <c r="M11" s="28"/>
      <c r="N11" s="16"/>
      <c r="O11" s="16"/>
    </row>
    <row r="12" spans="1:26">
      <c r="A12" s="16"/>
      <c r="J12" s="27">
        <v>1000</v>
      </c>
      <c r="K12" s="28">
        <f>K7*J12+K6</f>
        <v>1445.0040008001602</v>
      </c>
      <c r="L12" s="28"/>
      <c r="M12" s="28"/>
      <c r="N12" s="16"/>
      <c r="O12" s="16"/>
    </row>
    <row r="13" spans="1:26">
      <c r="A13" s="16"/>
      <c r="J13" s="27">
        <v>5000</v>
      </c>
      <c r="K13" s="28">
        <v>1425</v>
      </c>
      <c r="L13" s="28">
        <f>K13</f>
        <v>1425</v>
      </c>
      <c r="M13" s="28"/>
      <c r="N13" s="16"/>
      <c r="O13" s="16"/>
    </row>
    <row r="14" spans="1:26">
      <c r="A14" s="16"/>
      <c r="J14" s="27">
        <v>10000</v>
      </c>
      <c r="K14" s="28"/>
      <c r="L14" s="28">
        <f>L7*J14+L6</f>
        <v>1366.6666666666665</v>
      </c>
      <c r="M14" s="28"/>
      <c r="N14" s="16"/>
      <c r="O14" s="16"/>
    </row>
    <row r="15" spans="1:26">
      <c r="A15" s="16"/>
      <c r="J15" s="27">
        <v>15000</v>
      </c>
      <c r="K15" s="28"/>
      <c r="L15" s="28">
        <f>L7*J15+L6</f>
        <v>1308.3333333333333</v>
      </c>
      <c r="M15" s="28"/>
      <c r="N15" s="16"/>
      <c r="O15" s="16" t="s">
        <v>0</v>
      </c>
    </row>
    <row r="16" spans="1:26">
      <c r="A16" s="16"/>
      <c r="J16" s="27">
        <v>20000</v>
      </c>
      <c r="K16" s="28"/>
      <c r="L16" s="28">
        <v>1250</v>
      </c>
      <c r="M16" s="28">
        <f>L16</f>
        <v>1250</v>
      </c>
      <c r="N16" s="16"/>
      <c r="O16" s="16"/>
    </row>
    <row r="17" spans="1:26">
      <c r="A17" s="16"/>
      <c r="J17" s="27">
        <v>25000</v>
      </c>
      <c r="K17" s="28"/>
      <c r="L17" s="28"/>
      <c r="M17" s="28">
        <f>M7*J17+M6</f>
        <v>1116.6666666666667</v>
      </c>
      <c r="N17" s="16"/>
      <c r="O17" s="16"/>
    </row>
    <row r="18" spans="1:26">
      <c r="A18" s="16"/>
      <c r="J18" s="27">
        <v>30000</v>
      </c>
      <c r="K18" s="28"/>
      <c r="L18" s="28"/>
      <c r="M18" s="28">
        <f>M7*J18+M6</f>
        <v>983.33333333333348</v>
      </c>
      <c r="N18" s="16"/>
      <c r="O18" s="16"/>
    </row>
    <row r="19" spans="1:26">
      <c r="A19" s="16"/>
      <c r="J19" s="27">
        <v>35000</v>
      </c>
      <c r="K19" s="28"/>
      <c r="L19" s="28"/>
      <c r="M19" s="28">
        <f>M7*J19+M6</f>
        <v>850.00000000000011</v>
      </c>
      <c r="N19" s="16"/>
      <c r="O19" s="16"/>
      <c r="U19" s="16"/>
      <c r="V19" s="16"/>
    </row>
    <row r="20" spans="1:26">
      <c r="A20" s="16"/>
      <c r="J20" s="27">
        <v>40000</v>
      </c>
      <c r="K20" s="28"/>
      <c r="L20" s="28"/>
      <c r="M20" s="28">
        <f>M7*J20+M6</f>
        <v>716.66666666666674</v>
      </c>
      <c r="N20" s="16"/>
      <c r="O20" s="16"/>
      <c r="U20" s="16"/>
      <c r="V20" s="16"/>
    </row>
    <row r="21" spans="1:26">
      <c r="A21" s="16"/>
      <c r="J21" s="27">
        <v>45000</v>
      </c>
      <c r="K21" s="28"/>
      <c r="L21" s="28"/>
      <c r="M21" s="28">
        <f>M7*J21+M6</f>
        <v>583.33333333333348</v>
      </c>
      <c r="N21" s="16"/>
      <c r="O21" s="16"/>
      <c r="U21" s="16"/>
      <c r="V21" s="16"/>
    </row>
    <row r="22" spans="1:26">
      <c r="A22" s="16"/>
      <c r="J22" s="27">
        <v>50000</v>
      </c>
      <c r="K22" s="28"/>
      <c r="L22" s="28"/>
      <c r="M22" s="28">
        <v>450</v>
      </c>
      <c r="N22" s="16"/>
      <c r="O22" s="16"/>
      <c r="U22" s="16"/>
      <c r="V22" s="16"/>
    </row>
    <row r="23" spans="1:26">
      <c r="A23" s="16"/>
      <c r="B23" s="29"/>
      <c r="C23" s="30"/>
      <c r="D23" s="30"/>
      <c r="E23" s="30"/>
      <c r="F23" s="16"/>
      <c r="G23" s="16"/>
      <c r="H23" s="16"/>
      <c r="I23" s="16"/>
      <c r="J23" s="27">
        <v>55000</v>
      </c>
      <c r="K23" s="28"/>
      <c r="L23" s="28"/>
      <c r="M23" s="28">
        <f>M7*J23+M6</f>
        <v>316.66666666666674</v>
      </c>
      <c r="N23" s="16"/>
      <c r="O23" s="16"/>
      <c r="U23" s="16"/>
      <c r="V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U24" s="16"/>
      <c r="V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56"/>
      <c r="L25" s="16"/>
      <c r="M25" s="16"/>
      <c r="N25" s="16"/>
      <c r="O25" s="16"/>
      <c r="U25" s="16"/>
      <c r="V25" s="16"/>
    </row>
    <row r="26" spans="1:26">
      <c r="A26" s="16"/>
      <c r="B26" s="29"/>
      <c r="C26" s="30"/>
      <c r="D26" s="30"/>
      <c r="E26" s="30"/>
      <c r="F26" s="16"/>
      <c r="G26" s="16"/>
      <c r="H26" s="16"/>
      <c r="I26" s="16"/>
      <c r="J26" s="56"/>
      <c r="K26" s="16"/>
      <c r="L26" s="16"/>
      <c r="M26" s="16"/>
      <c r="N26" s="16"/>
      <c r="O26" s="16"/>
      <c r="U26" s="16"/>
      <c r="V26" s="16"/>
    </row>
    <row r="27" spans="1:26">
      <c r="A27" s="16"/>
      <c r="B27" s="29"/>
      <c r="C27" s="16"/>
      <c r="D27" s="16"/>
      <c r="E27" s="16"/>
      <c r="F27" s="16"/>
      <c r="G27" s="16"/>
      <c r="H27" s="16"/>
      <c r="I27" s="16"/>
      <c r="J27" s="16"/>
      <c r="L27" s="16"/>
      <c r="M27" s="16"/>
      <c r="N27" s="16"/>
      <c r="O27" s="16"/>
      <c r="U27" s="16"/>
      <c r="V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W996" s="16"/>
      <c r="X996" s="16"/>
      <c r="Y996" s="16"/>
      <c r="Z996" s="16"/>
    </row>
  </sheetData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3" manualBreakCount="3">
    <brk id="22" man="1"/>
    <brk id="12" man="1"/>
    <brk id="3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C6B-52D7-4BEB-AB68-58BECA6D84B6}">
  <sheetPr codeName="Sheet3"/>
  <dimension ref="B2:L13"/>
  <sheetViews>
    <sheetView showGridLines="0" workbookViewId="0">
      <selection activeCell="I13" sqref="I13"/>
    </sheetView>
  </sheetViews>
  <sheetFormatPr defaultRowHeight="13.8"/>
  <cols>
    <col min="1" max="1" width="2.19921875" customWidth="1"/>
    <col min="2" max="2" width="13.3984375" customWidth="1"/>
    <col min="3" max="3" width="11.3984375" bestFit="1" customWidth="1"/>
    <col min="5" max="5" width="10.59765625" bestFit="1" customWidth="1"/>
  </cols>
  <sheetData>
    <row r="2" spans="2:12" ht="22.8">
      <c r="B2" s="3" t="s">
        <v>32</v>
      </c>
    </row>
    <row r="4" spans="2:12">
      <c r="B4" s="26" t="s">
        <v>8</v>
      </c>
      <c r="C4" s="26" t="s">
        <v>9</v>
      </c>
    </row>
    <row r="5" spans="2:12">
      <c r="B5" s="28">
        <v>8000</v>
      </c>
      <c r="C5" s="27">
        <v>175</v>
      </c>
    </row>
    <row r="6" spans="2:12">
      <c r="B6" s="28">
        <v>5000</v>
      </c>
      <c r="C6" s="27">
        <v>10500</v>
      </c>
    </row>
    <row r="9" spans="2:12">
      <c r="B9" s="26" t="s">
        <v>1</v>
      </c>
      <c r="C9" s="59">
        <f>C5-C10*B5</f>
        <v>27708.333333333336</v>
      </c>
      <c r="L9" s="1"/>
    </row>
    <row r="10" spans="2:12">
      <c r="B10" s="26" t="s">
        <v>2</v>
      </c>
      <c r="C10" s="57">
        <f>(C5-C6)/(B5-B6)</f>
        <v>-3.4416666666666669</v>
      </c>
      <c r="L10" s="1"/>
    </row>
    <row r="11" spans="2:12">
      <c r="B11" s="37"/>
      <c r="C11" s="40"/>
    </row>
    <row r="12" spans="2:12">
      <c r="I12">
        <f>_xlfn.FORECAST.LINEAR(6000,C5:C6,B5:B6)</f>
        <v>7058.3333333333358</v>
      </c>
    </row>
    <row r="13" spans="2:12">
      <c r="E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AF8A-639F-46DF-B3C6-14505EB100D4}">
  <sheetPr codeName="Sheet4">
    <tabColor rgb="FFFFFF99"/>
  </sheetPr>
  <dimension ref="B2:J36"/>
  <sheetViews>
    <sheetView showGridLines="0" topLeftCell="A9" zoomScale="110" zoomScaleNormal="110" workbookViewId="0">
      <selection activeCell="M13" sqref="M13"/>
    </sheetView>
  </sheetViews>
  <sheetFormatPr defaultColWidth="12.69921875" defaultRowHeight="13.8"/>
  <cols>
    <col min="1" max="1" width="0.8984375" customWidth="1"/>
    <col min="2" max="2" width="16.09765625" customWidth="1"/>
    <col min="3" max="3" width="15.09765625" style="61" customWidth="1"/>
    <col min="4" max="4" width="14.3984375" customWidth="1"/>
    <col min="5" max="5" width="14.59765625" customWidth="1"/>
    <col min="6" max="6" width="12.296875" customWidth="1"/>
    <col min="7" max="7" width="13.69921875" bestFit="1" customWidth="1"/>
    <col min="8" max="8" width="12.59765625" bestFit="1" customWidth="1"/>
    <col min="9" max="9" width="14.796875" customWidth="1"/>
    <col min="10" max="10" width="9.09765625" customWidth="1"/>
    <col min="11" max="11" width="10.8984375" customWidth="1"/>
    <col min="12" max="21" width="8.8984375" customWidth="1"/>
    <col min="22" max="22" width="11.3984375" customWidth="1"/>
    <col min="23" max="27" width="8.8984375" customWidth="1"/>
  </cols>
  <sheetData>
    <row r="2" spans="2:10" ht="22.8">
      <c r="B2" s="3" t="s">
        <v>13</v>
      </c>
    </row>
    <row r="4" spans="2:10" s="31" customFormat="1">
      <c r="B4" s="34"/>
      <c r="C4" s="62" t="s">
        <v>27</v>
      </c>
      <c r="D4" s="34" t="s">
        <v>4</v>
      </c>
      <c r="E4" s="34" t="s">
        <v>28</v>
      </c>
    </row>
    <row r="5" spans="2:10" ht="21" customHeight="1">
      <c r="B5" s="34" t="s">
        <v>26</v>
      </c>
      <c r="C5" s="63">
        <v>2000</v>
      </c>
      <c r="D5" s="2">
        <v>10000</v>
      </c>
      <c r="E5" s="2">
        <v>12000</v>
      </c>
    </row>
    <row r="7" spans="2:10">
      <c r="B7" s="4" t="s">
        <v>25</v>
      </c>
      <c r="E7" s="4" t="s">
        <v>31</v>
      </c>
    </row>
    <row r="8" spans="2:10" s="31" customFormat="1" ht="29.25" customHeight="1">
      <c r="B8" s="34" t="s">
        <v>24</v>
      </c>
      <c r="C8" s="62">
        <v>12000</v>
      </c>
      <c r="E8" s="34" t="s">
        <v>14</v>
      </c>
      <c r="F8" s="39">
        <f>Delivarable!C7</f>
        <v>7700</v>
      </c>
    </row>
    <row r="9" spans="2:10" s="31" customFormat="1" ht="27.6">
      <c r="B9" s="35" t="s">
        <v>29</v>
      </c>
      <c r="C9" s="62">
        <v>6000</v>
      </c>
      <c r="E9" s="34" t="s">
        <v>9</v>
      </c>
      <c r="F9" s="60">
        <f>_xlfn.FORECAST.LINEAR(F8,'Price-Demand'!C5:C6,'Price-Demand'!B5:B6)</f>
        <v>1207.5</v>
      </c>
      <c r="H9"/>
    </row>
    <row r="12" spans="2:10" s="31" customFormat="1" ht="27.6">
      <c r="B12" s="32" t="s">
        <v>3</v>
      </c>
      <c r="C12" s="64" t="s">
        <v>11</v>
      </c>
      <c r="D12" s="32" t="s">
        <v>12</v>
      </c>
      <c r="E12" s="33" t="s">
        <v>30</v>
      </c>
      <c r="F12" s="32" t="s">
        <v>7</v>
      </c>
      <c r="G12" s="32" t="s">
        <v>5</v>
      </c>
      <c r="H12" s="32" t="s">
        <v>6</v>
      </c>
      <c r="I12" s="32" t="s">
        <v>10</v>
      </c>
      <c r="J12"/>
    </row>
    <row r="13" spans="2:10" ht="20.25" customHeight="1">
      <c r="B13" s="6">
        <v>500</v>
      </c>
      <c r="C13" s="63">
        <f>_xlfn.FORECAST.LINEAR(B13,'Cost-Supply'!$C$8:$C$9,'Cost-Supply'!$B$8:$B$9)</f>
        <v>1447.5045009001801</v>
      </c>
      <c r="D13" s="63">
        <f>6000+C13</f>
        <v>7447.5045009001806</v>
      </c>
      <c r="E13" s="2" cm="1">
        <f t="array" ref="E13">CEILING((_xlfn.IFS(B13&lt;=2000,0,B13&gt;2000,B13-2000))/$F$9,1)</f>
        <v>0</v>
      </c>
      <c r="F13" s="5">
        <f>D13*B13+E13*$C$8</f>
        <v>3723752.2504500905</v>
      </c>
      <c r="G13" s="5">
        <f>$F$8*B13</f>
        <v>3850000</v>
      </c>
      <c r="H13" s="5">
        <f>G13-F13</f>
        <v>126247.74954990949</v>
      </c>
      <c r="I13" s="38">
        <f>H13/G13</f>
        <v>3.2791623259716754E-2</v>
      </c>
    </row>
    <row r="14" spans="2:10" ht="20.25" customHeight="1">
      <c r="B14" s="6">
        <v>1000</v>
      </c>
      <c r="C14" s="63">
        <f>_xlfn.FORECAST.LINEAR(B14,'Cost-Supply'!$C$8:$C$9,'Cost-Supply'!$B$8:$B$9)</f>
        <v>1445.0040008001602</v>
      </c>
      <c r="D14" s="63">
        <f t="shared" ref="D14:D36" si="0">6000+C14</f>
        <v>7445.0040008001597</v>
      </c>
      <c r="E14" s="2" cm="1">
        <f t="array" ref="E14">CEILING((_xlfn.IFS(B14&lt;=2000,0,B14&gt;2000,B14-2000))/$F$9,1)</f>
        <v>0</v>
      </c>
      <c r="F14" s="5">
        <f t="shared" ref="F14:F36" si="1">D14*B14+E14*$C$8</f>
        <v>7445004.0008001598</v>
      </c>
      <c r="G14" s="5">
        <f t="shared" ref="G14:G36" si="2">$F$8*B14</f>
        <v>7700000</v>
      </c>
      <c r="H14" s="5">
        <f t="shared" ref="H14:H36" si="3">G14-F14</f>
        <v>254995.99919984024</v>
      </c>
      <c r="I14" s="38">
        <f t="shared" ref="I14:I36" si="4">H14/G14</f>
        <v>3.3116363532446784E-2</v>
      </c>
    </row>
    <row r="15" spans="2:10" ht="20.25" customHeight="1">
      <c r="B15" s="6">
        <v>1500</v>
      </c>
      <c r="C15" s="63">
        <f>_xlfn.FORECAST.LINEAR(B15,'Cost-Supply'!$C$8:$C$9,'Cost-Supply'!$B$8:$B$9)</f>
        <v>1442.50350070014</v>
      </c>
      <c r="D15" s="63">
        <f t="shared" si="0"/>
        <v>7442.5035007001397</v>
      </c>
      <c r="E15" s="2" cm="1">
        <f t="array" ref="E15">CEILING((_xlfn.IFS(B15&lt;=2000,0,B15&gt;2000,B15-2000))/$F$9,1)</f>
        <v>0</v>
      </c>
      <c r="F15" s="5">
        <f t="shared" si="1"/>
        <v>11163755.25105021</v>
      </c>
      <c r="G15" s="5">
        <f t="shared" si="2"/>
        <v>11550000</v>
      </c>
      <c r="H15" s="5">
        <f t="shared" si="3"/>
        <v>386244.74894979037</v>
      </c>
      <c r="I15" s="38">
        <f t="shared" si="4"/>
        <v>3.3441103805176654E-2</v>
      </c>
    </row>
    <row r="16" spans="2:10" ht="20.25" customHeight="1">
      <c r="B16" s="6">
        <v>2000</v>
      </c>
      <c r="C16" s="63">
        <f>_xlfn.FORECAST.LINEAR(B16,'Cost-Supply'!$C$8:$C$9,'Cost-Supply'!$B$8:$B$9)</f>
        <v>1440.00300060012</v>
      </c>
      <c r="D16" s="63">
        <f t="shared" si="0"/>
        <v>7440.0030006001198</v>
      </c>
      <c r="E16" s="2" cm="1">
        <f t="array" ref="E16">CEILING((_xlfn.IFS(B16&lt;=2000,0,B16&gt;2000,B16-2000))/$F$9,1)</f>
        <v>0</v>
      </c>
      <c r="F16" s="5">
        <f t="shared" si="1"/>
        <v>14880006.00120024</v>
      </c>
      <c r="G16" s="5">
        <f t="shared" si="2"/>
        <v>15400000</v>
      </c>
      <c r="H16" s="5">
        <f t="shared" si="3"/>
        <v>519993.99879975989</v>
      </c>
      <c r="I16" s="38">
        <f t="shared" si="4"/>
        <v>3.376584407790649E-2</v>
      </c>
    </row>
    <row r="17" spans="2:9" ht="20.25" customHeight="1">
      <c r="B17" s="6">
        <v>2500</v>
      </c>
      <c r="C17" s="63">
        <f>_xlfn.FORECAST.LINEAR(B17,'Cost-Supply'!$C$8:$C$9,'Cost-Supply'!$B$8:$B$9)</f>
        <v>1437.5025005001</v>
      </c>
      <c r="D17" s="63">
        <f t="shared" si="0"/>
        <v>7437.5025005000998</v>
      </c>
      <c r="E17" s="2" cm="1">
        <f t="array" ref="E17">CEILING((_xlfn.IFS(B17&lt;=2000,0,B17&gt;2000,B17-2000))/$F$9,1)</f>
        <v>1</v>
      </c>
      <c r="F17" s="5">
        <f t="shared" si="1"/>
        <v>18605756.251250248</v>
      </c>
      <c r="G17" s="5">
        <f t="shared" si="2"/>
        <v>19250000</v>
      </c>
      <c r="H17" s="5">
        <f t="shared" si="3"/>
        <v>644243.7487497516</v>
      </c>
      <c r="I17" s="38">
        <f t="shared" si="4"/>
        <v>3.3467207727259821E-2</v>
      </c>
    </row>
    <row r="18" spans="2:9" ht="20.25" customHeight="1">
      <c r="B18" s="6">
        <v>3000</v>
      </c>
      <c r="C18" s="63">
        <f>_xlfn.FORECAST.LINEAR(B18,'Cost-Supply'!$C$8:$C$9,'Cost-Supply'!$B$8:$B$9)</f>
        <v>1435.0020004000801</v>
      </c>
      <c r="D18" s="63">
        <f t="shared" si="0"/>
        <v>7435.0020004000799</v>
      </c>
      <c r="E18" s="2" cm="1">
        <f t="array" ref="E18">CEILING((_xlfn.IFS(B18&lt;=2000,0,B18&gt;2000,B18-2000))/$F$9,1)</f>
        <v>1</v>
      </c>
      <c r="F18" s="5">
        <f t="shared" si="1"/>
        <v>22317006.00120024</v>
      </c>
      <c r="G18" s="5">
        <f t="shared" si="2"/>
        <v>23100000</v>
      </c>
      <c r="H18" s="5">
        <f t="shared" si="3"/>
        <v>782993.99879975989</v>
      </c>
      <c r="I18" s="38">
        <f t="shared" si="4"/>
        <v>3.3895844103885707E-2</v>
      </c>
    </row>
    <row r="19" spans="2:9" ht="20.25" customHeight="1">
      <c r="B19" s="6">
        <v>3500</v>
      </c>
      <c r="C19" s="63">
        <f>_xlfn.FORECAST.LINEAR(B19,'Cost-Supply'!$C$8:$C$9,'Cost-Supply'!$B$8:$B$9)</f>
        <v>1432.5015003000601</v>
      </c>
      <c r="D19" s="63">
        <f t="shared" si="0"/>
        <v>7432.5015003000599</v>
      </c>
      <c r="E19" s="2" cm="1">
        <f t="array" ref="E19">CEILING((_xlfn.IFS(B19&lt;=2000,0,B19&gt;2000,B19-2000))/$F$9,1)</f>
        <v>2</v>
      </c>
      <c r="F19" s="5">
        <f t="shared" si="1"/>
        <v>26037755.251050208</v>
      </c>
      <c r="G19" s="5">
        <f t="shared" si="2"/>
        <v>26950000</v>
      </c>
      <c r="H19" s="5">
        <f t="shared" si="3"/>
        <v>912244.74894979224</v>
      </c>
      <c r="I19" s="38">
        <f t="shared" si="4"/>
        <v>3.3849526862701013E-2</v>
      </c>
    </row>
    <row r="20" spans="2:9" ht="20.25" customHeight="1">
      <c r="B20" s="6">
        <v>4000</v>
      </c>
      <c r="C20" s="63">
        <f>_xlfn.FORECAST.LINEAR(B20,'Cost-Supply'!$C$8:$C$9,'Cost-Supply'!$B$8:$B$9)</f>
        <v>1430.0010002000402</v>
      </c>
      <c r="D20" s="63">
        <f t="shared" si="0"/>
        <v>7430.0010002000399</v>
      </c>
      <c r="E20" s="2" cm="1">
        <f t="array" ref="E20">CEILING((_xlfn.IFS(B20&lt;=2000,0,B20&gt;2000,B20-2000))/$F$9,1)</f>
        <v>2</v>
      </c>
      <c r="F20" s="5">
        <f t="shared" si="1"/>
        <v>29744004.000800159</v>
      </c>
      <c r="G20" s="5">
        <f t="shared" si="2"/>
        <v>30800000</v>
      </c>
      <c r="H20" s="5">
        <f t="shared" si="3"/>
        <v>1055995.9991998412</v>
      </c>
      <c r="I20" s="38">
        <f t="shared" si="4"/>
        <v>3.4285584389605231E-2</v>
      </c>
    </row>
    <row r="21" spans="2:9">
      <c r="B21" s="6">
        <v>4500</v>
      </c>
      <c r="C21" s="63">
        <f>_xlfn.FORECAST.LINEAR(B21,'Cost-Supply'!$C$8:$C$9,'Cost-Supply'!$B$8:$B$9)</f>
        <v>1427.50050010002</v>
      </c>
      <c r="D21" s="63">
        <f t="shared" si="0"/>
        <v>7427.50050010002</v>
      </c>
      <c r="E21" s="2" cm="1">
        <f t="array" ref="E21">CEILING((_xlfn.IFS(B21&lt;=2000,0,B21&gt;2000,B21-2000))/$F$9,1)</f>
        <v>3</v>
      </c>
      <c r="F21" s="5">
        <f t="shared" si="1"/>
        <v>33459752.25045009</v>
      </c>
      <c r="G21" s="5">
        <f t="shared" si="2"/>
        <v>34650000</v>
      </c>
      <c r="H21" s="5">
        <f t="shared" si="3"/>
        <v>1190247.7495499104</v>
      </c>
      <c r="I21" s="38">
        <f t="shared" si="4"/>
        <v>3.4350584402594815E-2</v>
      </c>
    </row>
    <row r="22" spans="2:9">
      <c r="B22" s="6">
        <v>5000</v>
      </c>
      <c r="C22" s="63">
        <f>_xlfn.FORECAST.LINEAR(B22,'Cost-Supply'!$C$8:$C$9,'Cost-Supply'!$B$8:$B$9)</f>
        <v>1425</v>
      </c>
      <c r="D22" s="63">
        <f t="shared" si="0"/>
        <v>7425</v>
      </c>
      <c r="E22" s="2" cm="1">
        <f t="array" ref="E22">CEILING((_xlfn.IFS(B22&lt;=2000,0,B22&gt;2000,B22-2000))/$F$9,1)</f>
        <v>3</v>
      </c>
      <c r="F22" s="5">
        <f t="shared" si="1"/>
        <v>37161000</v>
      </c>
      <c r="G22" s="5">
        <f t="shared" si="2"/>
        <v>38500000</v>
      </c>
      <c r="H22" s="5">
        <f t="shared" si="3"/>
        <v>1339000</v>
      </c>
      <c r="I22" s="38">
        <f t="shared" si="4"/>
        <v>3.4779220779220778E-2</v>
      </c>
    </row>
    <row r="23" spans="2:9">
      <c r="B23" s="6">
        <v>5500</v>
      </c>
      <c r="C23" s="63">
        <f>_xlfn.FORECAST.LINEAR(B23,'Cost-Supply'!$C$9:$C$10,'Cost-Supply'!$B$9:$B$10)</f>
        <v>1419.1666666666665</v>
      </c>
      <c r="D23" s="63">
        <f t="shared" si="0"/>
        <v>7419.1666666666661</v>
      </c>
      <c r="E23" s="2" cm="1">
        <f t="array" ref="E23">CEILING((_xlfn.IFS(B23&lt;=2000,0,B23&gt;2000,B23-2000))/$F$9,1)</f>
        <v>3</v>
      </c>
      <c r="F23" s="5">
        <f t="shared" si="1"/>
        <v>40841416.666666664</v>
      </c>
      <c r="G23" s="5">
        <f t="shared" si="2"/>
        <v>42350000</v>
      </c>
      <c r="H23" s="5">
        <f t="shared" si="3"/>
        <v>1508583.3333333358</v>
      </c>
      <c r="I23" s="38">
        <f t="shared" si="4"/>
        <v>3.5621802439984314E-2</v>
      </c>
    </row>
    <row r="24" spans="2:9">
      <c r="B24" s="6">
        <v>6000</v>
      </c>
      <c r="C24" s="63">
        <f>_xlfn.FORECAST.LINEAR(B24,'Cost-Supply'!$C$9:$C$10,'Cost-Supply'!$B$9:$B$10)</f>
        <v>1413.3333333333333</v>
      </c>
      <c r="D24" s="63">
        <f t="shared" si="0"/>
        <v>7413.333333333333</v>
      </c>
      <c r="E24" s="2" cm="1">
        <f t="array" ref="E24">CEILING((_xlfn.IFS(B24&lt;=2000,0,B24&gt;2000,B24-2000))/$F$9,1)</f>
        <v>4</v>
      </c>
      <c r="F24" s="5">
        <f t="shared" si="1"/>
        <v>44528000</v>
      </c>
      <c r="G24" s="5">
        <f t="shared" si="2"/>
        <v>46200000</v>
      </c>
      <c r="H24" s="5">
        <f t="shared" si="3"/>
        <v>1672000</v>
      </c>
      <c r="I24" s="38">
        <f t="shared" si="4"/>
        <v>3.619047619047619E-2</v>
      </c>
    </row>
    <row r="25" spans="2:9">
      <c r="B25" s="6">
        <v>6500</v>
      </c>
      <c r="C25" s="63">
        <f>_xlfn.FORECAST.LINEAR(B25,'Cost-Supply'!$C$9:$C$10,'Cost-Supply'!$B$9:$B$10)</f>
        <v>1407.5</v>
      </c>
      <c r="D25" s="63">
        <f t="shared" si="0"/>
        <v>7407.5</v>
      </c>
      <c r="E25" s="2" cm="1">
        <f t="array" ref="E25">CEILING((_xlfn.IFS(B25&lt;=2000,0,B25&gt;2000,B25-2000))/$F$9,1)</f>
        <v>4</v>
      </c>
      <c r="F25" s="5">
        <f t="shared" si="1"/>
        <v>48196750</v>
      </c>
      <c r="G25" s="5">
        <f t="shared" si="2"/>
        <v>50050000</v>
      </c>
      <c r="H25" s="5">
        <f t="shared" si="3"/>
        <v>1853250</v>
      </c>
      <c r="I25" s="38">
        <f t="shared" si="4"/>
        <v>3.7027972027972027E-2</v>
      </c>
    </row>
    <row r="26" spans="2:9">
      <c r="B26" s="6">
        <v>7000</v>
      </c>
      <c r="C26" s="63">
        <f>_xlfn.FORECAST.LINEAR(B26,'Cost-Supply'!$C$9:$C$10,'Cost-Supply'!$B$9:$B$10)</f>
        <v>1401.6666666666665</v>
      </c>
      <c r="D26" s="63">
        <f t="shared" si="0"/>
        <v>7401.6666666666661</v>
      </c>
      <c r="E26" s="2" cm="1">
        <f t="array" ref="E26">CEILING((_xlfn.IFS(B26&lt;=2000,0,B26&gt;2000,B26-2000))/$F$9,1)</f>
        <v>5</v>
      </c>
      <c r="F26" s="5">
        <f t="shared" si="1"/>
        <v>51871666.666666664</v>
      </c>
      <c r="G26" s="5">
        <f t="shared" si="2"/>
        <v>53900000</v>
      </c>
      <c r="H26" s="5">
        <f t="shared" si="3"/>
        <v>2028333.3333333358</v>
      </c>
      <c r="I26" s="38">
        <f t="shared" si="4"/>
        <v>3.7631416202844818E-2</v>
      </c>
    </row>
    <row r="27" spans="2:9">
      <c r="B27" s="6">
        <v>7500</v>
      </c>
      <c r="C27" s="63">
        <f>_xlfn.FORECAST.LINEAR(B27,'Cost-Supply'!$C$9:$C$10,'Cost-Supply'!$B$9:$B$10)</f>
        <v>1395.8333333333333</v>
      </c>
      <c r="D27" s="63">
        <f t="shared" si="0"/>
        <v>7395.833333333333</v>
      </c>
      <c r="E27" s="2" cm="1">
        <f t="array" ref="E27">CEILING((_xlfn.IFS(B27&lt;=2000,0,B27&gt;2000,B27-2000))/$F$9,1)</f>
        <v>5</v>
      </c>
      <c r="F27" s="5">
        <f t="shared" si="1"/>
        <v>55528750</v>
      </c>
      <c r="G27" s="5">
        <f t="shared" si="2"/>
        <v>57750000</v>
      </c>
      <c r="H27" s="5">
        <f t="shared" si="3"/>
        <v>2221250</v>
      </c>
      <c r="I27" s="38">
        <f t="shared" si="4"/>
        <v>3.8463203463203463E-2</v>
      </c>
    </row>
    <row r="28" spans="2:9" ht="15.6" customHeight="1">
      <c r="B28" s="6">
        <v>8000</v>
      </c>
      <c r="C28" s="63">
        <f>_xlfn.FORECAST.LINEAR(B28,'Cost-Supply'!$C$9:$C$10,'Cost-Supply'!$B$9:$B$10)</f>
        <v>1390</v>
      </c>
      <c r="D28" s="63">
        <f t="shared" si="0"/>
        <v>7390</v>
      </c>
      <c r="E28" s="2" cm="1">
        <f t="array" ref="E28">CEILING((_xlfn.IFS(B28&lt;=2000,0,B28&gt;2000,B28-2000))/$F$9,1)</f>
        <v>5</v>
      </c>
      <c r="F28" s="5">
        <f t="shared" si="1"/>
        <v>59180000</v>
      </c>
      <c r="G28" s="5">
        <f t="shared" si="2"/>
        <v>61600000</v>
      </c>
      <c r="H28" s="5">
        <f t="shared" si="3"/>
        <v>2420000</v>
      </c>
      <c r="I28" s="38">
        <f t="shared" si="4"/>
        <v>3.9285714285714285E-2</v>
      </c>
    </row>
    <row r="29" spans="2:9">
      <c r="B29" s="6">
        <v>8500</v>
      </c>
      <c r="C29" s="63">
        <f>_xlfn.FORECAST.LINEAR(B29,'Cost-Supply'!$C$9:$C$10,'Cost-Supply'!$B$9:$B$10)</f>
        <v>1384.1666666666665</v>
      </c>
      <c r="D29" s="63">
        <f t="shared" si="0"/>
        <v>7384.1666666666661</v>
      </c>
      <c r="E29" s="2" cm="1">
        <f t="array" ref="E29">CEILING((_xlfn.IFS(B29&lt;=2000,0,B29&gt;2000,B29-2000))/$F$9,1)</f>
        <v>6</v>
      </c>
      <c r="F29" s="5">
        <f t="shared" si="1"/>
        <v>62837416.666666664</v>
      </c>
      <c r="G29" s="5">
        <f t="shared" si="2"/>
        <v>65450000</v>
      </c>
      <c r="H29" s="5">
        <f t="shared" si="3"/>
        <v>2612583.3333333358</v>
      </c>
      <c r="I29" s="38">
        <f t="shared" si="4"/>
        <v>3.9917239623122013E-2</v>
      </c>
    </row>
    <row r="30" spans="2:9">
      <c r="B30" s="6">
        <v>9000</v>
      </c>
      <c r="C30" s="63">
        <f>_xlfn.FORECAST.LINEAR(B30,'Cost-Supply'!$C$9:$C$10,'Cost-Supply'!$B$9:$B$10)</f>
        <v>1378.3333333333333</v>
      </c>
      <c r="D30" s="63">
        <f t="shared" si="0"/>
        <v>7378.333333333333</v>
      </c>
      <c r="E30" s="2" cm="1">
        <f t="array" ref="E30">CEILING((_xlfn.IFS(B30&lt;=2000,0,B30&gt;2000,B30-2000))/$F$9,1)</f>
        <v>6</v>
      </c>
      <c r="F30" s="5">
        <f t="shared" si="1"/>
        <v>66477000</v>
      </c>
      <c r="G30" s="5">
        <f t="shared" si="2"/>
        <v>69300000</v>
      </c>
      <c r="H30" s="5">
        <f t="shared" si="3"/>
        <v>2823000</v>
      </c>
      <c r="I30" s="38">
        <f t="shared" si="4"/>
        <v>4.0735930735930737E-2</v>
      </c>
    </row>
    <row r="31" spans="2:9">
      <c r="B31" s="6">
        <v>9500</v>
      </c>
      <c r="C31" s="63">
        <f>_xlfn.FORECAST.LINEAR(B31,'Cost-Supply'!$C$9:$C$10,'Cost-Supply'!$B$9:$B$10)</f>
        <v>1372.5</v>
      </c>
      <c r="D31" s="63">
        <f t="shared" si="0"/>
        <v>7372.5</v>
      </c>
      <c r="E31" s="2" cm="1">
        <f t="array" ref="E31">CEILING((_xlfn.IFS(B31&lt;=2000,0,B31&gt;2000,B31-2000))/$F$9,1)</f>
        <v>7</v>
      </c>
      <c r="F31" s="5">
        <f t="shared" si="1"/>
        <v>70122750</v>
      </c>
      <c r="G31" s="5">
        <f t="shared" si="2"/>
        <v>73150000</v>
      </c>
      <c r="H31" s="5">
        <f t="shared" si="3"/>
        <v>3027250</v>
      </c>
      <c r="I31" s="38">
        <f t="shared" si="4"/>
        <v>4.1384142173615857E-2</v>
      </c>
    </row>
    <row r="32" spans="2:9">
      <c r="B32" s="6">
        <v>10000</v>
      </c>
      <c r="C32" s="63">
        <f>_xlfn.FORECAST.LINEAR(B32,'Cost-Supply'!$C$9:$C$10,'Cost-Supply'!$B$9:$B$10)</f>
        <v>1366.6666666666665</v>
      </c>
      <c r="D32" s="63">
        <f t="shared" si="0"/>
        <v>7366.6666666666661</v>
      </c>
      <c r="E32" s="2" cm="1">
        <f t="array" ref="E32">CEILING((_xlfn.IFS(B32&lt;=2000,0,B32&gt;2000,B32-2000))/$F$9,1)</f>
        <v>7</v>
      </c>
      <c r="F32" s="5">
        <f t="shared" si="1"/>
        <v>73750666.666666657</v>
      </c>
      <c r="G32" s="5">
        <f t="shared" si="2"/>
        <v>77000000</v>
      </c>
      <c r="H32" s="5">
        <f t="shared" si="3"/>
        <v>3249333.3333333433</v>
      </c>
      <c r="I32" s="38">
        <f t="shared" si="4"/>
        <v>4.2199134199134326E-2</v>
      </c>
    </row>
    <row r="33" spans="2:9">
      <c r="B33" s="6">
        <v>10500</v>
      </c>
      <c r="C33" s="63">
        <f>_xlfn.FORECAST.LINEAR(B33,'Cost-Supply'!$C$9:$C$10,'Cost-Supply'!$B$9:$B$10)</f>
        <v>1360.8333333333333</v>
      </c>
      <c r="D33" s="63">
        <f t="shared" si="0"/>
        <v>7360.833333333333</v>
      </c>
      <c r="E33" s="2" cm="1">
        <f t="array" ref="E33">CEILING((_xlfn.IFS(B33&lt;=2000,0,B33&gt;2000,B33-2000))/$F$9,1)</f>
        <v>8</v>
      </c>
      <c r="F33" s="5">
        <f t="shared" si="1"/>
        <v>77384750</v>
      </c>
      <c r="G33" s="5">
        <f t="shared" si="2"/>
        <v>80850000</v>
      </c>
      <c r="H33" s="5">
        <f t="shared" si="3"/>
        <v>3465250</v>
      </c>
      <c r="I33" s="38">
        <f t="shared" si="4"/>
        <v>4.2860235003092148E-2</v>
      </c>
    </row>
    <row r="34" spans="2:9">
      <c r="B34" s="6">
        <v>11000</v>
      </c>
      <c r="C34" s="63">
        <f>_xlfn.FORECAST.LINEAR(B34,'Cost-Supply'!$C$9:$C$10,'Cost-Supply'!$B$9:$B$10)</f>
        <v>1355</v>
      </c>
      <c r="D34" s="63">
        <f t="shared" si="0"/>
        <v>7355</v>
      </c>
      <c r="E34" s="2" cm="1">
        <f t="array" ref="E34">CEILING((_xlfn.IFS(B34&lt;=2000,0,B34&gt;2000,B34-2000))/$F$9,1)</f>
        <v>8</v>
      </c>
      <c r="F34" s="5">
        <f t="shared" si="1"/>
        <v>81001000</v>
      </c>
      <c r="G34" s="5">
        <f t="shared" si="2"/>
        <v>84700000</v>
      </c>
      <c r="H34" s="5">
        <f t="shared" si="3"/>
        <v>3699000</v>
      </c>
      <c r="I34" s="38">
        <f t="shared" si="4"/>
        <v>4.3671782762691853E-2</v>
      </c>
    </row>
    <row r="35" spans="2:9">
      <c r="B35" s="6">
        <v>11500</v>
      </c>
      <c r="C35" s="63">
        <f>_xlfn.FORECAST.LINEAR(B35,'Cost-Supply'!$C$9:$C$10,'Cost-Supply'!$B$9:$B$10)</f>
        <v>1349.1666666666665</v>
      </c>
      <c r="D35" s="63">
        <f t="shared" si="0"/>
        <v>7349.1666666666661</v>
      </c>
      <c r="E35" s="2" cm="1">
        <f t="array" ref="E35">CEILING((_xlfn.IFS(B35&lt;=2000,0,B35&gt;2000,B35-2000))/$F$9,1)</f>
        <v>8</v>
      </c>
      <c r="F35" s="5">
        <f t="shared" si="1"/>
        <v>84611416.666666657</v>
      </c>
      <c r="G35" s="5">
        <f t="shared" si="2"/>
        <v>88550000</v>
      </c>
      <c r="H35" s="5">
        <f t="shared" si="3"/>
        <v>3938583.3333333433</v>
      </c>
      <c r="I35" s="38">
        <f t="shared" si="4"/>
        <v>4.4478637304724372E-2</v>
      </c>
    </row>
    <row r="36" spans="2:9">
      <c r="B36" s="6">
        <v>12000</v>
      </c>
      <c r="C36" s="63">
        <f>_xlfn.FORECAST.LINEAR(B36,'Cost-Supply'!$C$9:$C$10,'Cost-Supply'!$B$9:$B$10)</f>
        <v>1343.3333333333333</v>
      </c>
      <c r="D36" s="63">
        <f t="shared" si="0"/>
        <v>7343.333333333333</v>
      </c>
      <c r="E36" s="2" cm="1">
        <f t="array" ref="E36">CEILING((_xlfn.IFS(B36&lt;=2000,0,B36&gt;2000,B36-2000))/$F$9,1)</f>
        <v>9</v>
      </c>
      <c r="F36" s="5">
        <f t="shared" si="1"/>
        <v>88228000</v>
      </c>
      <c r="G36" s="5">
        <f t="shared" si="2"/>
        <v>92400000</v>
      </c>
      <c r="H36" s="5">
        <f t="shared" si="3"/>
        <v>4172000</v>
      </c>
      <c r="I36" s="38">
        <f t="shared" si="4"/>
        <v>4.5151515151515151E-2</v>
      </c>
    </row>
  </sheetData>
  <pageMargins left="0.74803149606299213" right="0.74803149606299213" top="0.74803149606299213" bottom="0.74803149606299213" header="0" footer="0"/>
  <pageSetup paperSize="9" orientation="portrait"/>
  <headerFooter>
    <oddFooter>&amp;LLeongTY&amp;R&amp;F/&amp;A</oddFooter>
  </headerFooter>
  <colBreaks count="1" manualBreakCount="1">
    <brk id="2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8FC0-465A-4C5A-A470-17C88E87299F}">
  <dimension ref="B2:K21"/>
  <sheetViews>
    <sheetView showGridLines="0" tabSelected="1" workbookViewId="0">
      <selection activeCell="G14" sqref="G14"/>
    </sheetView>
  </sheetViews>
  <sheetFormatPr defaultRowHeight="13.8"/>
  <cols>
    <col min="2" max="2" width="21.69921875" customWidth="1"/>
    <col min="3" max="3" width="10.796875" customWidth="1"/>
    <col min="4" max="4" width="11.5" customWidth="1"/>
    <col min="6" max="6" width="22.5" customWidth="1"/>
    <col min="7" max="7" width="10.3984375" customWidth="1"/>
    <col min="9" max="9" width="17.796875" customWidth="1"/>
    <col min="10" max="10" width="12.3984375" style="65" customWidth="1"/>
    <col min="11" max="11" width="16.8984375" bestFit="1" customWidth="1"/>
  </cols>
  <sheetData>
    <row r="2" spans="2:11" ht="23.4" customHeight="1"/>
    <row r="3" spans="2:11" ht="16.2" customHeight="1">
      <c r="B3" s="97" t="s">
        <v>37</v>
      </c>
      <c r="C3" s="97"/>
      <c r="D3" s="97"/>
      <c r="H3" s="96"/>
      <c r="I3" s="98" t="s">
        <v>45</v>
      </c>
      <c r="J3" s="98"/>
      <c r="K3" s="98"/>
    </row>
    <row r="4" spans="2:11" ht="16.8" customHeight="1"/>
    <row r="5" spans="2:11">
      <c r="B5" s="79" t="s">
        <v>36</v>
      </c>
      <c r="I5" s="81" t="s">
        <v>46</v>
      </c>
    </row>
    <row r="7" spans="2:11">
      <c r="B7" s="88" t="s">
        <v>8</v>
      </c>
      <c r="C7" s="70">
        <v>7700</v>
      </c>
      <c r="I7" s="66"/>
      <c r="J7" s="74" t="s">
        <v>47</v>
      </c>
      <c r="K7" s="75" t="s">
        <v>28</v>
      </c>
    </row>
    <row r="8" spans="2:11">
      <c r="B8" s="89" t="s">
        <v>38</v>
      </c>
      <c r="C8" s="71">
        <f>IF((G13-2000)/10000&lt;0,"Not Used",(G13-2000)/10000)</f>
        <v>0.6</v>
      </c>
      <c r="I8" s="73" t="s">
        <v>46</v>
      </c>
      <c r="J8" s="76">
        <f>C7</f>
        <v>7700</v>
      </c>
      <c r="K8" s="72">
        <f>C7*G13</f>
        <v>61600000</v>
      </c>
    </row>
    <row r="9" spans="2:11">
      <c r="F9" s="80" t="s">
        <v>44</v>
      </c>
      <c r="I9" s="65"/>
    </row>
    <row r="10" spans="2:11">
      <c r="I10" s="81" t="s">
        <v>39</v>
      </c>
    </row>
    <row r="11" spans="2:11">
      <c r="B11" s="80" t="s">
        <v>52</v>
      </c>
      <c r="F11" s="93" t="s">
        <v>9</v>
      </c>
      <c r="G11" s="67">
        <f>Model!F9</f>
        <v>1207.5</v>
      </c>
    </row>
    <row r="12" spans="2:11">
      <c r="F12" s="94" t="s">
        <v>30</v>
      </c>
      <c r="G12" s="68">
        <f>VLOOKUP(G13,Model!B13:I36,4)</f>
        <v>5</v>
      </c>
      <c r="I12" s="90" t="s">
        <v>48</v>
      </c>
      <c r="J12" s="65">
        <f>VLOOKUP(G13,Model!B13:I36,2)</f>
        <v>1390</v>
      </c>
      <c r="K12" s="77">
        <f>J12*G13</f>
        <v>11120000</v>
      </c>
    </row>
    <row r="13" spans="2:11">
      <c r="B13" s="82" t="s">
        <v>39</v>
      </c>
      <c r="C13" s="83"/>
      <c r="F13" s="95" t="s">
        <v>3</v>
      </c>
      <c r="G13" s="69">
        <v>8000</v>
      </c>
      <c r="I13" s="90" t="s">
        <v>49</v>
      </c>
      <c r="J13" s="65">
        <v>6000</v>
      </c>
      <c r="K13" s="77">
        <f>J13*G13</f>
        <v>48000000</v>
      </c>
    </row>
    <row r="14" spans="2:11">
      <c r="B14" s="84" t="s">
        <v>40</v>
      </c>
      <c r="C14" s="85">
        <v>6000</v>
      </c>
      <c r="I14" s="90" t="s">
        <v>50</v>
      </c>
      <c r="J14" s="65">
        <f>(G12*C15)/G13</f>
        <v>7.5</v>
      </c>
      <c r="K14" s="77">
        <f>J14*G13</f>
        <v>60000</v>
      </c>
    </row>
    <row r="15" spans="2:11">
      <c r="B15" s="86" t="s">
        <v>41</v>
      </c>
      <c r="C15" s="87">
        <v>12000</v>
      </c>
      <c r="I15" s="90" t="s">
        <v>51</v>
      </c>
      <c r="J15" s="65">
        <f>SUM(J12:J14)</f>
        <v>7397.5</v>
      </c>
      <c r="K15" s="77">
        <f>SUM(K12:K14)</f>
        <v>59180000</v>
      </c>
    </row>
    <row r="17" spans="2:11">
      <c r="B17" s="80" t="s">
        <v>42</v>
      </c>
    </row>
    <row r="18" spans="2:11">
      <c r="I18" s="81" t="s">
        <v>6</v>
      </c>
    </row>
    <row r="19" spans="2:11">
      <c r="B19" s="82" t="s">
        <v>43</v>
      </c>
      <c r="C19" s="83">
        <v>2000</v>
      </c>
    </row>
    <row r="20" spans="2:11">
      <c r="B20" s="84" t="s">
        <v>4</v>
      </c>
      <c r="C20" s="85">
        <v>10000</v>
      </c>
      <c r="I20" t="s">
        <v>6</v>
      </c>
      <c r="J20" s="78">
        <f>J8-J15</f>
        <v>302.5</v>
      </c>
      <c r="K20" s="77">
        <f>K8-K15</f>
        <v>2420000</v>
      </c>
    </row>
    <row r="21" spans="2:11">
      <c r="B21" s="86" t="s">
        <v>28</v>
      </c>
      <c r="C21" s="87">
        <v>12000</v>
      </c>
      <c r="I21" t="s">
        <v>10</v>
      </c>
      <c r="J21" s="91">
        <f>J20/J8</f>
        <v>3.9285714285714285E-2</v>
      </c>
      <c r="K21" s="92">
        <f>K20/K8</f>
        <v>3.9285714285714285E-2</v>
      </c>
    </row>
  </sheetData>
  <mergeCells count="2">
    <mergeCell ref="B3:D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First_Submission</vt:lpstr>
      <vt:lpstr>Cost-Supply</vt:lpstr>
      <vt:lpstr>Price-Demand</vt:lpstr>
      <vt:lpstr>Model</vt:lpstr>
      <vt:lpstr>Delivarable</vt:lpstr>
      <vt:lpstr>Model!solver_opt</vt:lpstr>
      <vt:lpstr>Model!solver_rhs1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Kaushal</dc:creator>
  <cp:lastModifiedBy>nanda kishore</cp:lastModifiedBy>
  <dcterms:created xsi:type="dcterms:W3CDTF">2003-11-13T08:17:49Z</dcterms:created>
  <dcterms:modified xsi:type="dcterms:W3CDTF">2023-08-26T21:38:25Z</dcterms:modified>
</cp:coreProperties>
</file>