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sus Vivobook\Desktop\"/>
    </mc:Choice>
  </mc:AlternateContent>
  <xr:revisionPtr revIDLastSave="0" documentId="8_{1A475ED3-EADF-4429-91D1-B095DCB6EE44}" xr6:coauthVersionLast="47" xr6:coauthVersionMax="47" xr10:uidLastSave="{00000000-0000-0000-0000-000000000000}"/>
  <bookViews>
    <workbookView xWindow="-108" yWindow="-108" windowWidth="23256" windowHeight="12456" activeTab="1" xr2:uid="{4EDF8A24-6B35-4379-8242-3613545542A2}"/>
  </bookViews>
  <sheets>
    <sheet name="calculations" sheetId="2" r:id="rId1"/>
    <sheet name="dashboard" sheetId="3" r:id="rId2"/>
    <sheet name="Database" sheetId="1" r:id="rId3"/>
  </sheets>
  <definedNames>
    <definedName name="Slicer_Gender">#N/A</definedName>
    <definedName name="Slicer_Nam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3" l="1"/>
  <c r="J16" i="3"/>
  <c r="K20" i="3"/>
  <c r="J19" i="3"/>
  <c r="I20" i="3"/>
  <c r="K21" i="3"/>
  <c r="I21" i="3"/>
  <c r="K16" i="3"/>
  <c r="K19" i="3"/>
  <c r="I19" i="3"/>
  <c r="J21" i="3"/>
  <c r="J20" i="3"/>
  <c r="E104" i="2"/>
  <c r="H13" i="3"/>
  <c r="I59" i="2"/>
  <c r="H58" i="2"/>
  <c r="E58" i="2"/>
  <c r="J2" i="3"/>
  <c r="I88" i="2"/>
  <c r="L2" i="3"/>
  <c r="O59" i="2"/>
  <c r="G59" i="2"/>
  <c r="E59" i="2"/>
  <c r="H17" i="3"/>
  <c r="K58" i="2"/>
  <c r="H11" i="3"/>
  <c r="F58" i="2"/>
  <c r="L59" i="2"/>
  <c r="J88" i="2"/>
  <c r="J58" i="2"/>
  <c r="O58" i="2"/>
  <c r="K88" i="2"/>
  <c r="F88" i="2"/>
  <c r="N59" i="2"/>
  <c r="F59" i="2"/>
  <c r="E88" i="2"/>
  <c r="H19" i="3"/>
  <c r="M59" i="2"/>
  <c r="O2" i="3"/>
  <c r="L58" i="2"/>
  <c r="E103" i="2"/>
  <c r="J5" i="2"/>
  <c r="I58" i="2"/>
  <c r="N58" i="2"/>
  <c r="G2" i="3"/>
  <c r="J59" i="2"/>
  <c r="J10" i="3"/>
  <c r="K59" i="2"/>
  <c r="H88" i="2"/>
  <c r="G58" i="2"/>
  <c r="P59" i="2"/>
  <c r="H59" i="2"/>
  <c r="P58" i="2"/>
  <c r="M58" i="2"/>
  <c r="G88" i="2"/>
  <c r="H60" i="2" l="1"/>
  <c r="P60" i="2"/>
  <c r="K60" i="2"/>
  <c r="J60" i="2"/>
  <c r="O19" i="3"/>
  <c r="M60" i="2"/>
  <c r="F60" i="2"/>
  <c r="N60" i="2"/>
  <c r="L60" i="2"/>
  <c r="E60" i="2"/>
  <c r="G60" i="2"/>
  <c r="O60" i="2"/>
  <c r="I60" i="2"/>
  <c r="M19" i="3"/>
  <c r="E106" i="2"/>
  <c r="F103" i="2" s="1"/>
  <c r="O18" i="3" s="1"/>
  <c r="F104" i="2" l="1"/>
  <c r="M18" i="3" s="1"/>
</calcChain>
</file>

<file path=xl/sharedStrings.xml><?xml version="1.0" encoding="utf-8"?>
<sst xmlns="http://schemas.openxmlformats.org/spreadsheetml/2006/main" count="404" uniqueCount="171">
  <si>
    <t xml:space="preserve">Staff ID </t>
  </si>
  <si>
    <t>Name</t>
  </si>
  <si>
    <t xml:space="preserve">Position </t>
  </si>
  <si>
    <t>Nationality</t>
  </si>
  <si>
    <t>Gender</t>
  </si>
  <si>
    <t>Section</t>
  </si>
  <si>
    <t>Department</t>
  </si>
  <si>
    <t xml:space="preserve">Per-Hourly Rate </t>
  </si>
  <si>
    <t xml:space="preserve">Per-200 Hrs. Rate </t>
  </si>
  <si>
    <t>Start</t>
  </si>
  <si>
    <t>End</t>
  </si>
  <si>
    <t>Hourly Rate 2</t>
  </si>
  <si>
    <t>200 Hrs. Rate 2</t>
  </si>
  <si>
    <t>Start2</t>
  </si>
  <si>
    <t>End2</t>
  </si>
  <si>
    <t>Salary (QAR) - 5% &amp; 10% reduction</t>
  </si>
  <si>
    <t xml:space="preserve">Total Budget Allocated </t>
  </si>
  <si>
    <t>Invoice January</t>
  </si>
  <si>
    <t>Actual January</t>
  </si>
  <si>
    <t>Jan Final Amount</t>
  </si>
  <si>
    <t>Invoice February</t>
  </si>
  <si>
    <t>Actual February</t>
  </si>
  <si>
    <t>Feb Final Amount</t>
  </si>
  <si>
    <t>Invoice March</t>
  </si>
  <si>
    <t>Actual March</t>
  </si>
  <si>
    <t>Mar Final Amount</t>
  </si>
  <si>
    <t>Invoice April</t>
  </si>
  <si>
    <t>Actual April</t>
  </si>
  <si>
    <t>Apr Final Amount</t>
  </si>
  <si>
    <t>Invoice May</t>
  </si>
  <si>
    <t>Actual May</t>
  </si>
  <si>
    <t>May Final Amount</t>
  </si>
  <si>
    <t>Invoice June</t>
  </si>
  <si>
    <t>Actual June</t>
  </si>
  <si>
    <t>Jun Final Amount</t>
  </si>
  <si>
    <t>Invoice July</t>
  </si>
  <si>
    <t>Actual July</t>
  </si>
  <si>
    <t>Jul Final Amount</t>
  </si>
  <si>
    <t>Invoice August</t>
  </si>
  <si>
    <t>Actual August</t>
  </si>
  <si>
    <t>Aug Final Amount</t>
  </si>
  <si>
    <t>Invoice September</t>
  </si>
  <si>
    <t>Actual September</t>
  </si>
  <si>
    <t>Sep Final Amount</t>
  </si>
  <si>
    <t>Invoice October</t>
  </si>
  <si>
    <t>Actual October</t>
  </si>
  <si>
    <t>Oct Final Amount</t>
  </si>
  <si>
    <t>Invoice November</t>
  </si>
  <si>
    <t>Actual November</t>
  </si>
  <si>
    <t>Nov Final Amount</t>
  </si>
  <si>
    <t>Invoice December</t>
  </si>
  <si>
    <t>Actual December</t>
  </si>
  <si>
    <t>Dec Final Amount</t>
  </si>
  <si>
    <t>Total Agreed Hrs.</t>
  </si>
  <si>
    <t xml:space="preserve">Actual Hours </t>
  </si>
  <si>
    <t>Actual Working Hrs. Amount</t>
  </si>
  <si>
    <t>Missing Hours</t>
  </si>
  <si>
    <t>Missing Amount</t>
  </si>
  <si>
    <t xml:space="preserve"> Extra Hours</t>
  </si>
  <si>
    <t xml:space="preserve"> Extra Hours Amount</t>
  </si>
  <si>
    <t>Percentage Difference in Working Hrs.</t>
  </si>
  <si>
    <t>OPEX Invoice Hrs. Paid</t>
  </si>
  <si>
    <t>The Remainder Of the Budget</t>
  </si>
  <si>
    <t>Hossam khalil</t>
  </si>
  <si>
    <t xml:space="preserve"> Sr. Cameraman</t>
  </si>
  <si>
    <t>Egyptian</t>
  </si>
  <si>
    <t>Male</t>
  </si>
  <si>
    <t>Mohamed Ashraf</t>
  </si>
  <si>
    <t>Female</t>
  </si>
  <si>
    <t>Hisham Abbas</t>
  </si>
  <si>
    <t>Saahil Jaki</t>
  </si>
  <si>
    <t>Indian</t>
  </si>
  <si>
    <t>Kon  Ali</t>
  </si>
  <si>
    <t xml:space="preserve">Assistant </t>
  </si>
  <si>
    <t>Iranian</t>
  </si>
  <si>
    <t>Lola Abdullah</t>
  </si>
  <si>
    <t>Coordinator</t>
  </si>
  <si>
    <t xml:space="preserve">Anas Essa </t>
  </si>
  <si>
    <t>Jordanian</t>
  </si>
  <si>
    <t>Abdul Aziz Alkaabi</t>
  </si>
  <si>
    <t>Tamer Hemadi</t>
  </si>
  <si>
    <t>Lebanese</t>
  </si>
  <si>
    <t>Ahmed Darwich</t>
  </si>
  <si>
    <t xml:space="preserve">Zozi Khaled </t>
  </si>
  <si>
    <t>Jak Kaddisse</t>
  </si>
  <si>
    <t>Georges Sidhom</t>
  </si>
  <si>
    <t>Abbas Nimri</t>
  </si>
  <si>
    <t>Kamel Usman</t>
  </si>
  <si>
    <t>Pakistani</t>
  </si>
  <si>
    <t>John Fayaz</t>
  </si>
  <si>
    <t xml:space="preserve">Kamal Abougazar </t>
  </si>
  <si>
    <t>Palestinian</t>
  </si>
  <si>
    <t xml:space="preserve">Loai Fahad </t>
  </si>
  <si>
    <t>Tunisia</t>
  </si>
  <si>
    <t>Kazim Ali</t>
  </si>
  <si>
    <t xml:space="preserve"> Gorgi Nachef</t>
  </si>
  <si>
    <t>United Kingdom</t>
  </si>
  <si>
    <t>Lakaza Depale</t>
  </si>
  <si>
    <t/>
  </si>
  <si>
    <t>Row Labels</t>
  </si>
  <si>
    <t>Grand Total</t>
  </si>
  <si>
    <t>Count of Gender</t>
  </si>
  <si>
    <t xml:space="preserve">Sum of Total Budget Allocated </t>
  </si>
  <si>
    <t>Sum of Total Agreed Hrs.</t>
  </si>
  <si>
    <t>Sum of Missing Hours</t>
  </si>
  <si>
    <t>Sum of  Extra Hours</t>
  </si>
  <si>
    <t>Sum of Missing Amount</t>
  </si>
  <si>
    <t>Sum of  Extra Hours Amount</t>
  </si>
  <si>
    <t>Empls.</t>
  </si>
  <si>
    <t>Count of Name</t>
  </si>
  <si>
    <t>profit</t>
  </si>
  <si>
    <t xml:space="preserve">Sum of Actual Hours </t>
  </si>
  <si>
    <t>Sum of OPEX Invoice Hrs. Paid</t>
  </si>
  <si>
    <t>Sum of Invoice January</t>
  </si>
  <si>
    <t>Sum of Actual January</t>
  </si>
  <si>
    <t>Values</t>
  </si>
  <si>
    <t>Sum of Actual February</t>
  </si>
  <si>
    <t>Sum of Invoice February</t>
  </si>
  <si>
    <t>Sum of Actual March</t>
  </si>
  <si>
    <t>Sum of Invoice March</t>
  </si>
  <si>
    <t>Sum of Actual April</t>
  </si>
  <si>
    <t>Sum of Invoice April</t>
  </si>
  <si>
    <t>Sum of Actual May</t>
  </si>
  <si>
    <t>Sum of Invoice May</t>
  </si>
  <si>
    <t>Sum of Actual June</t>
  </si>
  <si>
    <t>Sum of Invoice June</t>
  </si>
  <si>
    <t>Sum of Actual July</t>
  </si>
  <si>
    <t>Sum of Invoice July</t>
  </si>
  <si>
    <t>Sum of Actual August</t>
  </si>
  <si>
    <t>Sum of Invoice August</t>
  </si>
  <si>
    <t>Sum of Actual September</t>
  </si>
  <si>
    <t>Sum of Invoice September</t>
  </si>
  <si>
    <t>Sum of Actual October</t>
  </si>
  <si>
    <t>Sum of Invoice October</t>
  </si>
  <si>
    <t>Sum of Actual November</t>
  </si>
  <si>
    <t>Sum of Invoice November</t>
  </si>
  <si>
    <t>Sum of Actual December</t>
  </si>
  <si>
    <t>Sum of Invoice December</t>
  </si>
  <si>
    <t>ACTAUL</t>
  </si>
  <si>
    <t>INVOCE</t>
  </si>
  <si>
    <t>JAN</t>
  </si>
  <si>
    <t>FEB</t>
  </si>
  <si>
    <t>MARCH</t>
  </si>
  <si>
    <t>APRIL</t>
  </si>
  <si>
    <t>MAY</t>
  </si>
  <si>
    <t>JUNE</t>
  </si>
  <si>
    <t>JULY</t>
  </si>
  <si>
    <t>SEP</t>
  </si>
  <si>
    <t>OCT</t>
  </si>
  <si>
    <t>DEC</t>
  </si>
  <si>
    <t>DIFF</t>
  </si>
  <si>
    <t>MONTH</t>
  </si>
  <si>
    <t>MAR</t>
  </si>
  <si>
    <t>AUG</t>
  </si>
  <si>
    <t>NOV</t>
  </si>
  <si>
    <t>Sum of Dec Final Amount</t>
  </si>
  <si>
    <t>Sum of Nov Final Amount</t>
  </si>
  <si>
    <t>Sum of Oct Final Amount</t>
  </si>
  <si>
    <t>Sum of Sep Final Amount</t>
  </si>
  <si>
    <t>Sum of Aug Final Amount</t>
  </si>
  <si>
    <t>Sum of Jul Final Amount</t>
  </si>
  <si>
    <t>Sum of Jun Final Amount</t>
  </si>
  <si>
    <t>Sum of May Final Amount</t>
  </si>
  <si>
    <t>Sum of Apr Final Amount</t>
  </si>
  <si>
    <t>Sum of Mar Final Amount</t>
  </si>
  <si>
    <t>Sum of Feb Final Amount</t>
  </si>
  <si>
    <t>Sum of Jan Final Amount</t>
  </si>
  <si>
    <t>EXPENSE</t>
  </si>
  <si>
    <t>PAID</t>
  </si>
  <si>
    <t>UNPAID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</si>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</sst>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AR]\ #,##0"/>
    <numFmt numFmtId="165" formatCode="[$-409]d\-mmm\-yy;@"/>
    <numFmt numFmtId="166" formatCode="_(* #,##0_);_(* \(#,##0\);_(* &quot;-&quot;??_);_(@_)"/>
  </numFmts>
  <fonts count="23" x14ac:knownFonts="1">
    <font>
      <sz val="16"/>
      <color theme="1"/>
      <name val="Calibri"/>
      <family val="2"/>
    </font>
    <font>
      <sz val="16"/>
      <color theme="1"/>
      <name val="Calibri"/>
      <family val="2"/>
    </font>
    <font>
      <u/>
      <sz val="12"/>
      <color theme="10"/>
      <name val="Calibri"/>
      <family val="2"/>
      <scheme val="minor"/>
    </font>
    <font>
      <sz val="12"/>
      <color theme="0"/>
      <name val="Calibri"/>
      <family val="2"/>
      <scheme val="minor"/>
    </font>
    <font>
      <sz val="12"/>
      <color theme="1"/>
      <name val="Calibri"/>
      <family val="2"/>
    </font>
    <font>
      <sz val="12"/>
      <color theme="1" tint="0.249977111117893"/>
      <name val="Calibri"/>
      <family val="2"/>
      <scheme val="minor"/>
    </font>
    <font>
      <b/>
      <sz val="16"/>
      <color theme="1"/>
      <name val="Calibri"/>
      <family val="2"/>
    </font>
    <font>
      <b/>
      <sz val="36"/>
      <color theme="1"/>
      <name val="Calibri"/>
      <family val="2"/>
      <scheme val="minor"/>
    </font>
    <font>
      <sz val="22"/>
      <color theme="1"/>
      <name val="Calibri"/>
      <family val="2"/>
    </font>
    <font>
      <b/>
      <sz val="36"/>
      <color theme="1"/>
      <name val="Calibri"/>
      <family val="2"/>
    </font>
    <font>
      <sz val="26"/>
      <color theme="1"/>
      <name val="Calibri"/>
      <family val="2"/>
    </font>
    <font>
      <b/>
      <sz val="26"/>
      <color theme="1"/>
      <name val="Calibri"/>
      <family val="2"/>
    </font>
    <font>
      <b/>
      <sz val="24"/>
      <color theme="1"/>
      <name val="Calibri"/>
      <family val="2"/>
    </font>
    <font>
      <b/>
      <sz val="28"/>
      <color theme="1"/>
      <name val="Calibri"/>
      <family val="2"/>
    </font>
    <font>
      <b/>
      <sz val="24"/>
      <color theme="2" tint="-0.499984740745262"/>
      <name val="Calibri"/>
      <family val="2"/>
    </font>
    <font>
      <sz val="16"/>
      <color theme="2" tint="-0.499984740745262"/>
      <name val="Calibri"/>
      <family val="2"/>
    </font>
    <font>
      <b/>
      <sz val="24"/>
      <color theme="1"/>
      <name val="Rockwell Condensed"/>
      <family val="1"/>
    </font>
    <font>
      <b/>
      <sz val="24"/>
      <color theme="2" tint="-0.499984740745262"/>
      <name val="Rockwell Condensed"/>
      <family val="1"/>
    </font>
    <font>
      <sz val="24"/>
      <color theme="1"/>
      <name val="Rockwell Condensed"/>
      <family val="1"/>
    </font>
    <font>
      <sz val="24"/>
      <color theme="1"/>
      <name val="Playbill"/>
      <family val="5"/>
    </font>
    <font>
      <sz val="8"/>
      <name val="Calibri"/>
      <family val="2"/>
    </font>
    <font>
      <b/>
      <sz val="36"/>
      <color theme="1"/>
      <name val="Rockwell Condensed"/>
      <family val="1"/>
    </font>
    <font>
      <sz val="36"/>
      <color theme="1"/>
      <name val="Rockwell Condensed"/>
      <family val="1"/>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44" fontId="1" fillId="0" borderId="0" applyFont="0" applyFill="0" applyBorder="0" applyAlignment="0" applyProtection="0"/>
  </cellStyleXfs>
  <cellXfs count="41">
    <xf numFmtId="0" fontId="0" fillId="0" borderId="0" xfId="0"/>
    <xf numFmtId="0" fontId="4" fillId="0" borderId="0" xfId="0" applyFont="1" applyAlignment="1">
      <alignment horizontal="center"/>
    </xf>
    <xf numFmtId="0" fontId="3" fillId="2" borderId="0" xfId="0" applyFont="1" applyFill="1" applyAlignment="1">
      <alignment horizontal="center" vertical="center"/>
    </xf>
    <xf numFmtId="0" fontId="5" fillId="0" borderId="0" xfId="0" applyFont="1" applyAlignment="1">
      <alignment horizontal="center" vertical="center"/>
    </xf>
    <xf numFmtId="164" fontId="5" fillId="0" borderId="0" xfId="0" applyNumberFormat="1" applyFont="1" applyAlignment="1">
      <alignment horizontal="center" vertical="center"/>
    </xf>
    <xf numFmtId="165" fontId="5" fillId="0" borderId="0" xfId="0" applyNumberFormat="1" applyFont="1" applyAlignment="1">
      <alignment horizontal="center" vertical="center"/>
    </xf>
    <xf numFmtId="164" fontId="5" fillId="0" borderId="0" xfId="2" applyNumberFormat="1" applyFont="1" applyFill="1" applyBorder="1" applyAlignment="1">
      <alignment horizontal="center" vertical="center"/>
    </xf>
    <xf numFmtId="9" fontId="5" fillId="0" borderId="0" xfId="2" applyFont="1" applyFill="1" applyBorder="1" applyAlignment="1">
      <alignment horizontal="center" vertical="center"/>
    </xf>
    <xf numFmtId="166" fontId="5" fillId="0" borderId="0" xfId="1" applyNumberFormat="1" applyFont="1" applyFill="1" applyBorder="1" applyAlignment="1">
      <alignment horizontal="center" vertical="center"/>
    </xf>
    <xf numFmtId="3" fontId="5" fillId="0" borderId="0" xfId="1" applyNumberFormat="1" applyFont="1" applyFill="1" applyBorder="1" applyAlignment="1">
      <alignment horizontal="center" vertical="center"/>
    </xf>
    <xf numFmtId="1" fontId="5" fillId="0" borderId="0" xfId="0" applyNumberFormat="1" applyFont="1" applyAlignment="1">
      <alignment horizontal="center" vertical="center"/>
    </xf>
    <xf numFmtId="10" fontId="5" fillId="0" borderId="0" xfId="2" applyNumberFormat="1" applyFont="1" applyFill="1" applyBorder="1" applyAlignment="1">
      <alignment horizontal="center" vertical="center"/>
    </xf>
    <xf numFmtId="9" fontId="5" fillId="0" borderId="0" xfId="0" applyNumberFormat="1" applyFont="1" applyAlignment="1">
      <alignment horizontal="center" vertical="center"/>
    </xf>
    <xf numFmtId="0" fontId="5" fillId="0" borderId="0" xfId="3" applyFont="1" applyFill="1" applyBorder="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9" fontId="0" fillId="0" borderId="0" xfId="2" applyFont="1"/>
    <xf numFmtId="166" fontId="7" fillId="3" borderId="0" xfId="1" applyNumberFormat="1" applyFont="1" applyFill="1"/>
    <xf numFmtId="0" fontId="0" fillId="3" borderId="0" xfId="0" applyFill="1"/>
    <xf numFmtId="166" fontId="9" fillId="3" borderId="0" xfId="1" applyNumberFormat="1" applyFont="1" applyFill="1"/>
    <xf numFmtId="1" fontId="9" fillId="3" borderId="0" xfId="0" applyNumberFormat="1" applyFont="1" applyFill="1"/>
    <xf numFmtId="0" fontId="8" fillId="3" borderId="0" xfId="0" applyFont="1" applyFill="1"/>
    <xf numFmtId="0" fontId="12" fillId="3" borderId="0" xfId="0" applyFont="1" applyFill="1"/>
    <xf numFmtId="0" fontId="6" fillId="3" borderId="0" xfId="0" applyFont="1" applyFill="1"/>
    <xf numFmtId="1" fontId="14" fillId="3" borderId="0" xfId="4" applyNumberFormat="1" applyFont="1" applyFill="1"/>
    <xf numFmtId="0" fontId="16" fillId="3" borderId="0" xfId="0" applyFont="1" applyFill="1"/>
    <xf numFmtId="0" fontId="10" fillId="3" borderId="0" xfId="0" applyFont="1" applyFill="1"/>
    <xf numFmtId="1" fontId="14" fillId="3" borderId="0" xfId="0" applyNumberFormat="1" applyFont="1" applyFill="1"/>
    <xf numFmtId="1" fontId="11" fillId="3" borderId="0" xfId="0" applyNumberFormat="1" applyFont="1" applyFill="1"/>
    <xf numFmtId="0" fontId="17" fillId="3" borderId="0" xfId="0" applyFont="1" applyFill="1"/>
    <xf numFmtId="0" fontId="18" fillId="3" borderId="0" xfId="0" applyFont="1" applyFill="1"/>
    <xf numFmtId="0" fontId="19" fillId="3" borderId="0" xfId="0" applyFont="1" applyFill="1"/>
    <xf numFmtId="0" fontId="15" fillId="3" borderId="0" xfId="0" applyFont="1" applyFill="1"/>
    <xf numFmtId="166" fontId="13" fillId="3" borderId="0" xfId="1" applyNumberFormat="1" applyFont="1" applyFill="1"/>
    <xf numFmtId="0" fontId="9" fillId="3" borderId="0" xfId="0" applyFont="1" applyFill="1"/>
    <xf numFmtId="166" fontId="0" fillId="0" borderId="0" xfId="1" applyNumberFormat="1" applyFont="1"/>
    <xf numFmtId="9" fontId="21" fillId="3" borderId="0" xfId="0" applyNumberFormat="1" applyFont="1" applyFill="1"/>
    <xf numFmtId="9" fontId="22" fillId="3" borderId="0" xfId="0" applyNumberFormat="1" applyFont="1" applyFill="1"/>
    <xf numFmtId="0" fontId="22" fillId="3" borderId="0" xfId="0" applyFont="1" applyFill="1"/>
    <xf numFmtId="0" fontId="21" fillId="3" borderId="0" xfId="0" applyFont="1" applyFill="1"/>
  </cellXfs>
  <cellStyles count="5">
    <cellStyle name="Comma" xfId="1" builtinId="3"/>
    <cellStyle name="Currency" xfId="4" builtinId="4"/>
    <cellStyle name="Hyperlink" xfId="3" builtinId="8"/>
    <cellStyle name="Normal" xfId="0" builtinId="0"/>
    <cellStyle name="Percent" xfId="2" builtinId="5"/>
  </cellStyles>
  <dxfs count="3">
    <dxf>
      <numFmt numFmtId="1" formatCode="0"/>
    </dxf>
    <dxf>
      <font>
        <strike val="0"/>
        <color theme="7" tint="-0.24994659260841701"/>
      </font>
    </dxf>
    <dxf>
      <font>
        <b/>
        <i val="0"/>
        <sz val="20"/>
        <color theme="2" tint="-0.89992980742820516"/>
        <name val="Rockwell Condensed"/>
        <family val="1"/>
        <scheme val="none"/>
      </font>
      <fill>
        <patternFill>
          <bgColor theme="3" tint="0.39994506668294322"/>
        </patternFill>
      </fill>
      <border diagonalUp="0" diagonalDown="0">
        <left/>
        <right/>
        <top/>
        <bottom/>
        <vertical/>
        <horizontal/>
      </border>
    </dxf>
  </dxfs>
  <tableStyles count="1" defaultTableStyle="TableStyleMedium2" defaultPivotStyle="PivotStyleLight16">
    <tableStyle name="Slicer Style 1" pivot="0" table="0" count="2" xr9:uid="{6AA28741-2BCF-46E6-B650-3DD4082F11DF}">
      <tableStyleElement type="wholeTable" dxfId="2"/>
      <tableStyleElement type="headerRow" dxfId="1"/>
    </tableStyle>
  </tableStyles>
  <colors>
    <mruColors>
      <color rgb="FFFF66FF"/>
      <color rgb="FFFF00FF"/>
      <color rgb="FFFF6600"/>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[Dashboard.2.xlsx]calculations!PivotTable3</c:name>
    <c:fmtId val="3"/>
  </c:pivotSource>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97949473581117E-2"/>
          <c:y val="0.11348503284441518"/>
          <c:w val="0.9225157570863648"/>
          <c:h val="0.65855033394289486"/>
        </c:manualLayout>
      </c:layout>
      <c:barChart>
        <c:barDir val="col"/>
        <c:grouping val="clustered"/>
        <c:varyColors val="0"/>
        <c:ser>
          <c:idx val="0"/>
          <c:order val="0"/>
          <c:tx>
            <c:strRef>
              <c:f>calculations!$L$26</c:f>
              <c:strCache>
                <c:ptCount val="1"/>
                <c:pt idx="0">
                  <c:v>Sum of Missing Hours</c:v>
                </c:pt>
              </c:strCache>
            </c:strRef>
          </c:tx>
          <c:spPr>
            <a:solidFill>
              <a:schemeClr val="tx1"/>
            </a:solidFill>
            <a:ln>
              <a:noFill/>
            </a:ln>
            <a:effectLst/>
          </c:spPr>
          <c:invertIfNegative val="0"/>
          <c:cat>
            <c:strRef>
              <c:f>calculations!$K$27:$K$48</c:f>
              <c:strCache>
                <c:ptCount val="21"/>
                <c:pt idx="0">
                  <c:v> Gorgi Nachef</c:v>
                </c:pt>
                <c:pt idx="1">
                  <c:v>Abbas Nimri</c:v>
                </c:pt>
                <c:pt idx="2">
                  <c:v>Abdul Aziz Alkaabi</c:v>
                </c:pt>
                <c:pt idx="3">
                  <c:v>Ahmed Darwich</c:v>
                </c:pt>
                <c:pt idx="4">
                  <c:v>Anas Essa </c:v>
                </c:pt>
                <c:pt idx="5">
                  <c:v>Georges Sidhom</c:v>
                </c:pt>
                <c:pt idx="6">
                  <c:v>Hisham Abbas</c:v>
                </c:pt>
                <c:pt idx="7">
                  <c:v>Hossam khalil</c:v>
                </c:pt>
                <c:pt idx="8">
                  <c:v>Jak Kaddisse</c:v>
                </c:pt>
                <c:pt idx="9">
                  <c:v>John Fayaz</c:v>
                </c:pt>
                <c:pt idx="10">
                  <c:v>Kamal Abougazar </c:v>
                </c:pt>
                <c:pt idx="11">
                  <c:v>Kamel Usman</c:v>
                </c:pt>
                <c:pt idx="12">
                  <c:v>Kazim Ali</c:v>
                </c:pt>
                <c:pt idx="13">
                  <c:v>Kon  Ali</c:v>
                </c:pt>
                <c:pt idx="14">
                  <c:v>Lakaza Depale</c:v>
                </c:pt>
                <c:pt idx="15">
                  <c:v>Loai Fahad </c:v>
                </c:pt>
                <c:pt idx="16">
                  <c:v>Lola Abdullah</c:v>
                </c:pt>
                <c:pt idx="17">
                  <c:v>Mohamed Ashraf</c:v>
                </c:pt>
                <c:pt idx="18">
                  <c:v>Saahil Jaki</c:v>
                </c:pt>
                <c:pt idx="19">
                  <c:v>Tamer Hemadi</c:v>
                </c:pt>
                <c:pt idx="20">
                  <c:v>Zozi Khaled </c:v>
                </c:pt>
              </c:strCache>
            </c:strRef>
          </c:cat>
          <c:val>
            <c:numRef>
              <c:f>calculations!$L$27:$L$48</c:f>
              <c:numCache>
                <c:formatCode>General</c:formatCode>
                <c:ptCount val="21"/>
                <c:pt idx="0">
                  <c:v>-28.5</c:v>
                </c:pt>
                <c:pt idx="1">
                  <c:v>0</c:v>
                </c:pt>
                <c:pt idx="2">
                  <c:v>0</c:v>
                </c:pt>
                <c:pt idx="3">
                  <c:v>0</c:v>
                </c:pt>
                <c:pt idx="4">
                  <c:v>0</c:v>
                </c:pt>
                <c:pt idx="5">
                  <c:v>-9.0999999999999091</c:v>
                </c:pt>
                <c:pt idx="6">
                  <c:v>0</c:v>
                </c:pt>
                <c:pt idx="7">
                  <c:v>0</c:v>
                </c:pt>
                <c:pt idx="8">
                  <c:v>-39.049999999999955</c:v>
                </c:pt>
                <c:pt idx="9">
                  <c:v>-22</c:v>
                </c:pt>
                <c:pt idx="10">
                  <c:v>-57</c:v>
                </c:pt>
                <c:pt idx="11">
                  <c:v>0</c:v>
                </c:pt>
                <c:pt idx="12">
                  <c:v>-87</c:v>
                </c:pt>
                <c:pt idx="13">
                  <c:v>0</c:v>
                </c:pt>
                <c:pt idx="14">
                  <c:v>-57</c:v>
                </c:pt>
                <c:pt idx="15">
                  <c:v>0</c:v>
                </c:pt>
                <c:pt idx="16">
                  <c:v>0</c:v>
                </c:pt>
                <c:pt idx="17">
                  <c:v>0</c:v>
                </c:pt>
                <c:pt idx="18">
                  <c:v>0</c:v>
                </c:pt>
                <c:pt idx="19">
                  <c:v>0</c:v>
                </c:pt>
                <c:pt idx="20">
                  <c:v>-49</c:v>
                </c:pt>
              </c:numCache>
            </c:numRef>
          </c:val>
          <c:extLst>
            <c:ext xmlns:c16="http://schemas.microsoft.com/office/drawing/2014/chart" uri="{C3380CC4-5D6E-409C-BE32-E72D297353CC}">
              <c16:uniqueId val="{00000000-FF30-4BC6-B86C-21DB55F37371}"/>
            </c:ext>
          </c:extLst>
        </c:ser>
        <c:ser>
          <c:idx val="1"/>
          <c:order val="1"/>
          <c:tx>
            <c:strRef>
              <c:f>calculations!$M$26</c:f>
              <c:strCache>
                <c:ptCount val="1"/>
                <c:pt idx="0">
                  <c:v>Sum of  Extra Hours</c:v>
                </c:pt>
              </c:strCache>
            </c:strRef>
          </c:tx>
          <c:spPr>
            <a:solidFill>
              <a:schemeClr val="accent4">
                <a:lumMod val="75000"/>
              </a:schemeClr>
            </a:solidFill>
            <a:ln>
              <a:noFill/>
            </a:ln>
            <a:effectLst/>
          </c:spPr>
          <c:invertIfNegative val="0"/>
          <c:cat>
            <c:strRef>
              <c:f>calculations!$K$27:$K$48</c:f>
              <c:strCache>
                <c:ptCount val="21"/>
                <c:pt idx="0">
                  <c:v> Gorgi Nachef</c:v>
                </c:pt>
                <c:pt idx="1">
                  <c:v>Abbas Nimri</c:v>
                </c:pt>
                <c:pt idx="2">
                  <c:v>Abdul Aziz Alkaabi</c:v>
                </c:pt>
                <c:pt idx="3">
                  <c:v>Ahmed Darwich</c:v>
                </c:pt>
                <c:pt idx="4">
                  <c:v>Anas Essa </c:v>
                </c:pt>
                <c:pt idx="5">
                  <c:v>Georges Sidhom</c:v>
                </c:pt>
                <c:pt idx="6">
                  <c:v>Hisham Abbas</c:v>
                </c:pt>
                <c:pt idx="7">
                  <c:v>Hossam khalil</c:v>
                </c:pt>
                <c:pt idx="8">
                  <c:v>Jak Kaddisse</c:v>
                </c:pt>
                <c:pt idx="9">
                  <c:v>John Fayaz</c:v>
                </c:pt>
                <c:pt idx="10">
                  <c:v>Kamal Abougazar </c:v>
                </c:pt>
                <c:pt idx="11">
                  <c:v>Kamel Usman</c:v>
                </c:pt>
                <c:pt idx="12">
                  <c:v>Kazim Ali</c:v>
                </c:pt>
                <c:pt idx="13">
                  <c:v>Kon  Ali</c:v>
                </c:pt>
                <c:pt idx="14">
                  <c:v>Lakaza Depale</c:v>
                </c:pt>
                <c:pt idx="15">
                  <c:v>Loai Fahad </c:v>
                </c:pt>
                <c:pt idx="16">
                  <c:v>Lola Abdullah</c:v>
                </c:pt>
                <c:pt idx="17">
                  <c:v>Mohamed Ashraf</c:v>
                </c:pt>
                <c:pt idx="18">
                  <c:v>Saahil Jaki</c:v>
                </c:pt>
                <c:pt idx="19">
                  <c:v>Tamer Hemadi</c:v>
                </c:pt>
                <c:pt idx="20">
                  <c:v>Zozi Khaled </c:v>
                </c:pt>
              </c:strCache>
            </c:strRef>
          </c:cat>
          <c:val>
            <c:numRef>
              <c:f>calculations!$M$27:$M$48</c:f>
              <c:numCache>
                <c:formatCode>General</c:formatCode>
                <c:ptCount val="21"/>
                <c:pt idx="0">
                  <c:v>0</c:v>
                </c:pt>
                <c:pt idx="1">
                  <c:v>125</c:v>
                </c:pt>
                <c:pt idx="2">
                  <c:v>178.65000000000009</c:v>
                </c:pt>
                <c:pt idx="3">
                  <c:v>231.04999999999995</c:v>
                </c:pt>
                <c:pt idx="4">
                  <c:v>181.70000000000005</c:v>
                </c:pt>
                <c:pt idx="5">
                  <c:v>0</c:v>
                </c:pt>
                <c:pt idx="6">
                  <c:v>104.5</c:v>
                </c:pt>
                <c:pt idx="7">
                  <c:v>41.5</c:v>
                </c:pt>
                <c:pt idx="8">
                  <c:v>0</c:v>
                </c:pt>
                <c:pt idx="9">
                  <c:v>0</c:v>
                </c:pt>
                <c:pt idx="10">
                  <c:v>0</c:v>
                </c:pt>
                <c:pt idx="11">
                  <c:v>65</c:v>
                </c:pt>
                <c:pt idx="12">
                  <c:v>0</c:v>
                </c:pt>
                <c:pt idx="13">
                  <c:v>129.5</c:v>
                </c:pt>
                <c:pt idx="14">
                  <c:v>0</c:v>
                </c:pt>
                <c:pt idx="15">
                  <c:v>16</c:v>
                </c:pt>
                <c:pt idx="16">
                  <c:v>242.25</c:v>
                </c:pt>
                <c:pt idx="17">
                  <c:v>51.5</c:v>
                </c:pt>
                <c:pt idx="18">
                  <c:v>210</c:v>
                </c:pt>
                <c:pt idx="19">
                  <c:v>175.59999999999991</c:v>
                </c:pt>
                <c:pt idx="20">
                  <c:v>0</c:v>
                </c:pt>
              </c:numCache>
            </c:numRef>
          </c:val>
          <c:extLst>
            <c:ext xmlns:c16="http://schemas.microsoft.com/office/drawing/2014/chart" uri="{C3380CC4-5D6E-409C-BE32-E72D297353CC}">
              <c16:uniqueId val="{00000001-FF30-4BC6-B86C-21DB55F37371}"/>
            </c:ext>
          </c:extLst>
        </c:ser>
        <c:dLbls>
          <c:showLegendKey val="0"/>
          <c:showVal val="0"/>
          <c:showCatName val="0"/>
          <c:showSerName val="0"/>
          <c:showPercent val="0"/>
          <c:showBubbleSize val="0"/>
        </c:dLbls>
        <c:gapWidth val="219"/>
        <c:overlap val="-27"/>
        <c:axId val="2084363696"/>
        <c:axId val="303354128"/>
      </c:barChart>
      <c:catAx>
        <c:axId val="2084363696"/>
        <c:scaling>
          <c:orientation val="minMax"/>
        </c:scaling>
        <c:delete val="0"/>
        <c:axPos val="b"/>
        <c:numFmt formatCode="General" sourceLinked="1"/>
        <c:majorTickMark val="none"/>
        <c:minorTickMark val="none"/>
        <c:tickLblPos val="low"/>
        <c:spPr>
          <a:noFill/>
          <a:ln w="9525" cap="flat" cmpd="sng" algn="ctr">
            <a:solidFill>
              <a:schemeClr val="accent1"/>
            </a:solidFill>
            <a:round/>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Rockwell Condensed" panose="02060603050405020104" pitchFamily="18" charset="0"/>
                <a:ea typeface="+mn-ea"/>
                <a:cs typeface="+mn-cs"/>
              </a:defRPr>
            </a:pPr>
            <a:endParaRPr lang="en-US"/>
          </a:p>
        </c:txPr>
        <c:crossAx val="303354128"/>
        <c:crosses val="autoZero"/>
        <c:auto val="1"/>
        <c:lblAlgn val="ctr"/>
        <c:lblOffset val="100"/>
        <c:noMultiLvlLbl val="0"/>
      </c:catAx>
      <c:valAx>
        <c:axId val="3033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Rockwell Condensed" panose="02060603050405020104" pitchFamily="18" charset="0"/>
                <a:ea typeface="+mn-ea"/>
                <a:cs typeface="+mn-cs"/>
              </a:defRPr>
            </a:pPr>
            <a:endParaRPr lang="en-US"/>
          </a:p>
        </c:txPr>
        <c:crossAx val="20843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calculations!$D$58</c:f>
              <c:strCache>
                <c:ptCount val="1"/>
                <c:pt idx="0">
                  <c:v>ACTAUL</c:v>
                </c:pt>
              </c:strCache>
            </c:strRef>
          </c:tx>
          <c:spPr>
            <a:ln w="31750" cap="rnd">
              <a:solidFill>
                <a:schemeClr val="bg2">
                  <a:lumMod val="50000"/>
                </a:schemeClr>
              </a:solidFill>
              <a:prstDash val="dash"/>
              <a:round/>
            </a:ln>
            <a:effectLst/>
          </c:spPr>
          <c:marker>
            <c:symbol val="none"/>
          </c:marker>
          <c:dLbls>
            <c:dLbl>
              <c:idx val="0"/>
              <c:tx>
                <c:rich>
                  <a:bodyPr/>
                  <a:lstStyle/>
                  <a:p>
                    <a:fld id="{8E4AA537-87DD-40AE-998C-B79973B0DF0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B71-4082-8D00-95C2A83D7EC7}"/>
                </c:ext>
              </c:extLst>
            </c:dLbl>
            <c:dLbl>
              <c:idx val="1"/>
              <c:tx>
                <c:rich>
                  <a:bodyPr/>
                  <a:lstStyle/>
                  <a:p>
                    <a:fld id="{107F1743-9714-4AA5-8F63-FCE4463D9E5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B71-4082-8D00-95C2A83D7EC7}"/>
                </c:ext>
              </c:extLst>
            </c:dLbl>
            <c:dLbl>
              <c:idx val="2"/>
              <c:tx>
                <c:rich>
                  <a:bodyPr/>
                  <a:lstStyle/>
                  <a:p>
                    <a:fld id="{E4A19483-75BB-4653-AEAF-0DE202D3DC7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B71-4082-8D00-95C2A83D7EC7}"/>
                </c:ext>
              </c:extLst>
            </c:dLbl>
            <c:dLbl>
              <c:idx val="3"/>
              <c:tx>
                <c:rich>
                  <a:bodyPr/>
                  <a:lstStyle/>
                  <a:p>
                    <a:fld id="{11F1C110-1766-4025-9B14-3613A01CA22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B71-4082-8D00-95C2A83D7EC7}"/>
                </c:ext>
              </c:extLst>
            </c:dLbl>
            <c:dLbl>
              <c:idx val="4"/>
              <c:tx>
                <c:rich>
                  <a:bodyPr/>
                  <a:lstStyle/>
                  <a:p>
                    <a:fld id="{D48164E8-1233-49D2-B1F8-A239A7C2992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B71-4082-8D00-95C2A83D7EC7}"/>
                </c:ext>
              </c:extLst>
            </c:dLbl>
            <c:dLbl>
              <c:idx val="5"/>
              <c:tx>
                <c:rich>
                  <a:bodyPr/>
                  <a:lstStyle/>
                  <a:p>
                    <a:fld id="{1E1C95E5-B625-4799-885B-40849D73F33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B71-4082-8D00-95C2A83D7EC7}"/>
                </c:ext>
              </c:extLst>
            </c:dLbl>
            <c:dLbl>
              <c:idx val="6"/>
              <c:tx>
                <c:rich>
                  <a:bodyPr/>
                  <a:lstStyle/>
                  <a:p>
                    <a:fld id="{2DCA0440-8D9B-432F-8949-0C342F2C370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B71-4082-8D00-95C2A83D7EC7}"/>
                </c:ext>
              </c:extLst>
            </c:dLbl>
            <c:spPr>
              <a:noFill/>
              <a:ln>
                <a:noFill/>
              </a:ln>
              <a:effectLst/>
            </c:spPr>
            <c:txPr>
              <a:bodyPr rot="0" spcFirstLastPara="1" vertOverflow="ellipsis" vert="horz" wrap="square" lIns="38100" tIns="19050" rIns="38100" bIns="19050" anchor="b" anchorCtr="1">
                <a:spAutoFit/>
              </a:bodyPr>
              <a:lstStyle/>
              <a:p>
                <a:pPr>
                  <a:defRPr sz="2400" b="0" i="0" u="none" strike="noStrike" kern="1200" baseline="0">
                    <a:solidFill>
                      <a:schemeClr val="tx2"/>
                    </a:solidFill>
                    <a:latin typeface="Rockwell Condensed" panose="02060603050405020104" pitchFamily="18" charset="0"/>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calculations!$E$57:$K$57</c:f>
              <c:strCache>
                <c:ptCount val="7"/>
                <c:pt idx="0">
                  <c:v>JAN</c:v>
                </c:pt>
                <c:pt idx="1">
                  <c:v>FEB</c:v>
                </c:pt>
                <c:pt idx="2">
                  <c:v>MAR</c:v>
                </c:pt>
                <c:pt idx="3">
                  <c:v>APRIL</c:v>
                </c:pt>
                <c:pt idx="4">
                  <c:v>MAY</c:v>
                </c:pt>
                <c:pt idx="5">
                  <c:v>JUNE</c:v>
                </c:pt>
                <c:pt idx="6">
                  <c:v>JULY</c:v>
                </c:pt>
              </c:strCache>
            </c:strRef>
          </c:cat>
          <c:val>
            <c:numRef>
              <c:f>calculations!$E$58:$K$58</c:f>
              <c:numCache>
                <c:formatCode>General</c:formatCode>
                <c:ptCount val="7"/>
                <c:pt idx="0">
                  <c:v>2437.5</c:v>
                </c:pt>
                <c:pt idx="1">
                  <c:v>4436</c:v>
                </c:pt>
                <c:pt idx="2">
                  <c:v>4358</c:v>
                </c:pt>
                <c:pt idx="3">
                  <c:v>4266</c:v>
                </c:pt>
                <c:pt idx="4">
                  <c:v>4276.5</c:v>
                </c:pt>
                <c:pt idx="5">
                  <c:v>4420.5</c:v>
                </c:pt>
                <c:pt idx="6">
                  <c:v>1848</c:v>
                </c:pt>
              </c:numCache>
            </c:numRef>
          </c:val>
          <c:smooth val="1"/>
          <c:extLst>
            <c:ext xmlns:c15="http://schemas.microsoft.com/office/drawing/2012/chart" uri="{02D57815-91ED-43cb-92C2-25804820EDAC}">
              <c15:datalabelsRange>
                <c15:f>calculations!$E$60:$K$60</c15:f>
                <c15:dlblRangeCache>
                  <c:ptCount val="7"/>
                  <c:pt idx="0">
                    <c:v>-536.5</c:v>
                  </c:pt>
                  <c:pt idx="1">
                    <c:v>-161</c:v>
                  </c:pt>
                  <c:pt idx="2">
                    <c:v>578+</c:v>
                  </c:pt>
                  <c:pt idx="3">
                    <c:v>218+</c:v>
                  </c:pt>
                  <c:pt idx="4">
                    <c:v>107.5+</c:v>
                  </c:pt>
                  <c:pt idx="5">
                    <c:v>-14.5</c:v>
                  </c:pt>
                  <c:pt idx="6">
                    <c:v>252+</c:v>
                  </c:pt>
                </c15:dlblRangeCache>
              </c15:datalabelsRange>
            </c:ext>
            <c:ext xmlns:c16="http://schemas.microsoft.com/office/drawing/2014/chart" uri="{C3380CC4-5D6E-409C-BE32-E72D297353CC}">
              <c16:uniqueId val="{00000007-5B71-4082-8D00-95C2A83D7EC7}"/>
            </c:ext>
          </c:extLst>
        </c:ser>
        <c:ser>
          <c:idx val="1"/>
          <c:order val="1"/>
          <c:tx>
            <c:strRef>
              <c:f>calculations!$D$59</c:f>
              <c:strCache>
                <c:ptCount val="1"/>
                <c:pt idx="0">
                  <c:v>INVOCE</c:v>
                </c:pt>
              </c:strCache>
            </c:strRef>
          </c:tx>
          <c:spPr>
            <a:ln w="31750" cap="rnd">
              <a:solidFill>
                <a:schemeClr val="accent4">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lumMod val="75000"/>
                      </a:schemeClr>
                    </a:solidFill>
                    <a:latin typeface="Rockwell Condensed" panose="020606030504050201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calculations!$E$57:$K$57</c:f>
              <c:strCache>
                <c:ptCount val="7"/>
                <c:pt idx="0">
                  <c:v>JAN</c:v>
                </c:pt>
                <c:pt idx="1">
                  <c:v>FEB</c:v>
                </c:pt>
                <c:pt idx="2">
                  <c:v>MAR</c:v>
                </c:pt>
                <c:pt idx="3">
                  <c:v>APRIL</c:v>
                </c:pt>
                <c:pt idx="4">
                  <c:v>MAY</c:v>
                </c:pt>
                <c:pt idx="5">
                  <c:v>JUNE</c:v>
                </c:pt>
                <c:pt idx="6">
                  <c:v>JULY</c:v>
                </c:pt>
              </c:strCache>
            </c:strRef>
          </c:cat>
          <c:val>
            <c:numRef>
              <c:f>calculations!$E$59:$K$59</c:f>
              <c:numCache>
                <c:formatCode>General</c:formatCode>
                <c:ptCount val="7"/>
                <c:pt idx="0">
                  <c:v>1901</c:v>
                </c:pt>
                <c:pt idx="1">
                  <c:v>4275</c:v>
                </c:pt>
                <c:pt idx="2">
                  <c:v>4936</c:v>
                </c:pt>
                <c:pt idx="3">
                  <c:v>4484</c:v>
                </c:pt>
                <c:pt idx="4">
                  <c:v>4384</c:v>
                </c:pt>
                <c:pt idx="5">
                  <c:v>4406</c:v>
                </c:pt>
                <c:pt idx="6">
                  <c:v>2100</c:v>
                </c:pt>
              </c:numCache>
            </c:numRef>
          </c:val>
          <c:smooth val="1"/>
          <c:extLst>
            <c:ext xmlns:c16="http://schemas.microsoft.com/office/drawing/2014/chart" uri="{C3380CC4-5D6E-409C-BE32-E72D297353CC}">
              <c16:uniqueId val="{00000008-5B71-4082-8D00-95C2A83D7EC7}"/>
            </c:ext>
          </c:extLst>
        </c:ser>
        <c:dLbls>
          <c:showLegendKey val="0"/>
          <c:showVal val="0"/>
          <c:showCatName val="0"/>
          <c:showSerName val="0"/>
          <c:showPercent val="0"/>
          <c:showBubbleSize val="0"/>
        </c:dLbls>
        <c:smooth val="0"/>
        <c:axId val="43868448"/>
        <c:axId val="43569696"/>
      </c:lineChart>
      <c:catAx>
        <c:axId val="438684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Rockwell Condensed" panose="02060603050405020104" pitchFamily="18" charset="0"/>
                <a:ea typeface="+mn-ea"/>
                <a:cs typeface="+mn-cs"/>
              </a:defRPr>
            </a:pPr>
            <a:endParaRPr lang="en-US"/>
          </a:p>
        </c:txPr>
        <c:crossAx val="43569696"/>
        <c:crosses val="autoZero"/>
        <c:auto val="1"/>
        <c:lblAlgn val="ctr"/>
        <c:lblOffset val="100"/>
        <c:noMultiLvlLbl val="0"/>
      </c:catAx>
      <c:valAx>
        <c:axId val="43569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Rockwell Condensed" panose="02060603050405020104" pitchFamily="18" charset="0"/>
                <a:ea typeface="+mn-ea"/>
                <a:cs typeface="+mn-cs"/>
              </a:defRPr>
            </a:pPr>
            <a:endParaRPr lang="en-US"/>
          </a:p>
        </c:txPr>
        <c:crossAx val="4386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29956966836536E-2"/>
          <c:y val="0"/>
          <c:w val="0.97434008606632694"/>
          <c:h val="0.87696574187791998"/>
        </c:manualLayout>
      </c:layout>
      <c:barChart>
        <c:barDir val="col"/>
        <c:grouping val="clustered"/>
        <c:varyColors val="0"/>
        <c:ser>
          <c:idx val="0"/>
          <c:order val="0"/>
          <c:tx>
            <c:strRef>
              <c:f>calculations!$E$87</c:f>
              <c:strCache>
                <c:ptCount val="1"/>
                <c:pt idx="0">
                  <c:v>JAN</c:v>
                </c:pt>
              </c:strCache>
            </c:strRef>
          </c:tx>
          <c:spPr>
            <a:solidFill>
              <a:schemeClr val="accent4">
                <a:lumMod val="75000"/>
              </a:schemeClr>
            </a:solidFill>
            <a:ln>
              <a:noFill/>
            </a:ln>
            <a:effectLst/>
          </c:spPr>
          <c:invertIfNegative val="0"/>
          <c:dLbls>
            <c:dLbl>
              <c:idx val="0"/>
              <c:layout>
                <c:manualLayout>
                  <c:x val="3.5506583186122971E-3"/>
                  <c:y val="0.26597130338100644"/>
                </c:manualLayout>
              </c:layout>
              <c:tx>
                <c:rich>
                  <a:bodyPr rot="-5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0A265F8-1170-4919-A9BD-E6D47AAFAAA0}" type="VALUE">
                      <a:rPr lang="en-US" sz="2000" b="1">
                        <a:latin typeface="Rockwell Condensed" panose="02060603050405020104" pitchFamily="18" charset="0"/>
                      </a:rPr>
                      <a:pPr>
                        <a:defRPr/>
                      </a:pPr>
                      <a:t>[VALUE]</a:t>
                    </a:fld>
                    <a:endParaRPr lang="en-US"/>
                  </a:p>
                </c:rich>
              </c:tx>
              <c:spPr>
                <a:noFill/>
                <a:ln>
                  <a:noFill/>
                </a:ln>
                <a:effectLst/>
              </c:spPr>
              <c:txPr>
                <a:bodyPr rot="-54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881030579974873"/>
                      <c:h val="0.14935228404422118"/>
                    </c:manualLayout>
                  </c15:layout>
                  <c15:dlblFieldTable/>
                  <c15:showDataLabelsRange val="0"/>
                </c:ext>
                <c:ext xmlns:c16="http://schemas.microsoft.com/office/drawing/2014/chart" uri="{C3380CC4-5D6E-409C-BE32-E72D297353CC}">
                  <c16:uniqueId val="{00000000-EFC2-41F5-B2D2-1B238E7D8637}"/>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calculations!$E$88</c:f>
              <c:numCache>
                <c:formatCode>_(* #,##0_);_(* \(#,##0\);_(* "-"??_);_(@_)</c:formatCode>
                <c:ptCount val="1"/>
                <c:pt idx="0">
                  <c:v>200855</c:v>
                </c:pt>
              </c:numCache>
            </c:numRef>
          </c:val>
          <c:extLst>
            <c:ext xmlns:c16="http://schemas.microsoft.com/office/drawing/2014/chart" uri="{C3380CC4-5D6E-409C-BE32-E72D297353CC}">
              <c16:uniqueId val="{00000001-EFC2-41F5-B2D2-1B238E7D8637}"/>
            </c:ext>
          </c:extLst>
        </c:ser>
        <c:ser>
          <c:idx val="1"/>
          <c:order val="1"/>
          <c:tx>
            <c:strRef>
              <c:f>calculations!$F$87</c:f>
              <c:strCache>
                <c:ptCount val="1"/>
                <c:pt idx="0">
                  <c:v>FEB</c:v>
                </c:pt>
              </c:strCache>
            </c:strRef>
          </c:tx>
          <c:spPr>
            <a:solidFill>
              <a:schemeClr val="bg1">
                <a:lumMod val="50000"/>
              </a:schemeClr>
            </a:solidFill>
            <a:ln>
              <a:noFill/>
            </a:ln>
            <a:effectLst/>
          </c:spPr>
          <c:invertIfNegative val="0"/>
          <c:dLbls>
            <c:dLbl>
              <c:idx val="0"/>
              <c:spPr>
                <a:noFill/>
                <a:ln>
                  <a:noFill/>
                </a:ln>
                <a:effectLst/>
              </c:spPr>
              <c:txPr>
                <a:bodyPr rot="-5400000" spcFirstLastPara="1" vertOverflow="ellipsis" wrap="square" lIns="38100" tIns="19050" rIns="38100" bIns="19050" anchor="ctr" anchorCtr="1">
                  <a:noAutofit/>
                </a:bodyPr>
                <a:lstStyle/>
                <a:p>
                  <a:pPr>
                    <a:defRPr sz="28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8496702990087647"/>
                      <c:h val="0.23466372236658853"/>
                    </c:manualLayout>
                  </c15:layout>
                </c:ext>
                <c:ext xmlns:c16="http://schemas.microsoft.com/office/drawing/2014/chart" uri="{C3380CC4-5D6E-409C-BE32-E72D297353CC}">
                  <c16:uniqueId val="{00000002-EFC2-41F5-B2D2-1B238E7D8637}"/>
                </c:ext>
              </c:extLst>
            </c:dLbl>
            <c:spPr>
              <a:noFill/>
              <a:ln>
                <a:noFill/>
              </a:ln>
              <a:effectLst/>
            </c:spPr>
            <c:txPr>
              <a:bodyPr rot="-5400000" spcFirstLastPara="1" vertOverflow="ellipsis" wrap="square" lIns="38100" tIns="19050" rIns="38100" bIns="19050" anchor="ctr" anchorCtr="1">
                <a:spAutoFit/>
              </a:bodyPr>
              <a:lstStyle/>
              <a:p>
                <a:pPr>
                  <a:defRPr sz="20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calculations!$F$88</c:f>
              <c:numCache>
                <c:formatCode>_(* #,##0_);_(* \(#,##0\);_(* "-"??_);_(@_)</c:formatCode>
                <c:ptCount val="1"/>
                <c:pt idx="0">
                  <c:v>403957.5</c:v>
                </c:pt>
              </c:numCache>
            </c:numRef>
          </c:val>
          <c:extLst>
            <c:ext xmlns:c16="http://schemas.microsoft.com/office/drawing/2014/chart" uri="{C3380CC4-5D6E-409C-BE32-E72D297353CC}">
              <c16:uniqueId val="{00000003-EFC2-41F5-B2D2-1B238E7D8637}"/>
            </c:ext>
          </c:extLst>
        </c:ser>
        <c:ser>
          <c:idx val="2"/>
          <c:order val="2"/>
          <c:tx>
            <c:strRef>
              <c:f>calculations!$G$87</c:f>
              <c:strCache>
                <c:ptCount val="1"/>
                <c:pt idx="0">
                  <c:v>MARCH</c:v>
                </c:pt>
              </c:strCache>
            </c:strRef>
          </c:tx>
          <c:spPr>
            <a:solidFill>
              <a:schemeClr val="accent4">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28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calculations!$G$88</c:f>
              <c:numCache>
                <c:formatCode>_(* #,##0_);_(* \(#,##0\);_(* "-"??_);_(@_)</c:formatCode>
                <c:ptCount val="1"/>
                <c:pt idx="0">
                  <c:v>372315</c:v>
                </c:pt>
              </c:numCache>
            </c:numRef>
          </c:val>
          <c:extLst>
            <c:ext xmlns:c16="http://schemas.microsoft.com/office/drawing/2014/chart" uri="{C3380CC4-5D6E-409C-BE32-E72D297353CC}">
              <c16:uniqueId val="{00000004-EFC2-41F5-B2D2-1B238E7D8637}"/>
            </c:ext>
          </c:extLst>
        </c:ser>
        <c:ser>
          <c:idx val="3"/>
          <c:order val="3"/>
          <c:tx>
            <c:strRef>
              <c:f>calculations!$H$87</c:f>
              <c:strCache>
                <c:ptCount val="1"/>
                <c:pt idx="0">
                  <c:v>APRIL</c:v>
                </c:pt>
              </c:strCache>
            </c:strRef>
          </c:tx>
          <c:spPr>
            <a:solidFill>
              <a:schemeClr val="accent4">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28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calculations!$H$88</c:f>
              <c:numCache>
                <c:formatCode>_(* #,##0_);_(* \(#,##0\);_(* "-"??_);_(@_)</c:formatCode>
                <c:ptCount val="1"/>
                <c:pt idx="0">
                  <c:v>305455</c:v>
                </c:pt>
              </c:numCache>
            </c:numRef>
          </c:val>
          <c:extLst>
            <c:ext xmlns:c16="http://schemas.microsoft.com/office/drawing/2014/chart" uri="{C3380CC4-5D6E-409C-BE32-E72D297353CC}">
              <c16:uniqueId val="{00000005-EFC2-41F5-B2D2-1B238E7D8637}"/>
            </c:ext>
          </c:extLst>
        </c:ser>
        <c:ser>
          <c:idx val="4"/>
          <c:order val="4"/>
          <c:tx>
            <c:strRef>
              <c:f>calculations!$I$87</c:f>
              <c:strCache>
                <c:ptCount val="1"/>
                <c:pt idx="0">
                  <c:v>MAY</c:v>
                </c:pt>
              </c:strCache>
            </c:strRef>
          </c:tx>
          <c:spPr>
            <a:solidFill>
              <a:schemeClr val="accent4">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28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calculations!$I$88</c:f>
              <c:numCache>
                <c:formatCode>_(* #,##0_);_(* \(#,##0\);_(* "-"??_);_(@_)</c:formatCode>
                <c:ptCount val="1"/>
                <c:pt idx="0">
                  <c:v>330330</c:v>
                </c:pt>
              </c:numCache>
            </c:numRef>
          </c:val>
          <c:extLst>
            <c:ext xmlns:c16="http://schemas.microsoft.com/office/drawing/2014/chart" uri="{C3380CC4-5D6E-409C-BE32-E72D297353CC}">
              <c16:uniqueId val="{00000006-EFC2-41F5-B2D2-1B238E7D8637}"/>
            </c:ext>
          </c:extLst>
        </c:ser>
        <c:ser>
          <c:idx val="5"/>
          <c:order val="5"/>
          <c:tx>
            <c:strRef>
              <c:f>calculations!$J$87</c:f>
              <c:strCache>
                <c:ptCount val="1"/>
                <c:pt idx="0">
                  <c:v>JUNE</c:v>
                </c:pt>
              </c:strCache>
            </c:strRef>
          </c:tx>
          <c:spPr>
            <a:solidFill>
              <a:schemeClr val="accent4">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28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calculations!$J$88</c:f>
              <c:numCache>
                <c:formatCode>_(* #,##0_);_(* \(#,##0\);_(* "-"??_);_(@_)</c:formatCode>
                <c:ptCount val="1"/>
                <c:pt idx="0">
                  <c:v>350645</c:v>
                </c:pt>
              </c:numCache>
            </c:numRef>
          </c:val>
          <c:extLst>
            <c:ext xmlns:c16="http://schemas.microsoft.com/office/drawing/2014/chart" uri="{C3380CC4-5D6E-409C-BE32-E72D297353CC}">
              <c16:uniqueId val="{00000007-EFC2-41F5-B2D2-1B238E7D8637}"/>
            </c:ext>
          </c:extLst>
        </c:ser>
        <c:ser>
          <c:idx val="6"/>
          <c:order val="6"/>
          <c:tx>
            <c:strRef>
              <c:f>calculations!$K$87</c:f>
              <c:strCache>
                <c:ptCount val="1"/>
                <c:pt idx="0">
                  <c:v>JULY</c:v>
                </c:pt>
              </c:strCache>
            </c:strRef>
          </c:tx>
          <c:spPr>
            <a:solidFill>
              <a:schemeClr val="accent4">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2000" b="1" i="0" u="none" strike="noStrike" kern="1200" baseline="0">
                    <a:solidFill>
                      <a:schemeClr val="tx1">
                        <a:lumMod val="75000"/>
                        <a:lumOff val="25000"/>
                      </a:schemeClr>
                    </a:solidFill>
                    <a:latin typeface="Rockwell Condensed" panose="02060603050405020104" pitchFamily="18"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calculations!$D$88</c:f>
              <c:strCache>
                <c:ptCount val="1"/>
                <c:pt idx="0">
                  <c:v>EXPENSE</c:v>
                </c:pt>
              </c:strCache>
            </c:strRef>
          </c:cat>
          <c:val>
            <c:numRef>
              <c:f>calculations!$K$88</c:f>
              <c:numCache>
                <c:formatCode>_(* #,##0_);_(* \(#,##0\);_(* "-"??_);_(@_)</c:formatCode>
                <c:ptCount val="1"/>
                <c:pt idx="0">
                  <c:v>150277.5</c:v>
                </c:pt>
              </c:numCache>
            </c:numRef>
          </c:val>
          <c:extLst>
            <c:ext xmlns:c16="http://schemas.microsoft.com/office/drawing/2014/chart" uri="{C3380CC4-5D6E-409C-BE32-E72D297353CC}">
              <c16:uniqueId val="{00000008-EFC2-41F5-B2D2-1B238E7D8637}"/>
            </c:ext>
          </c:extLst>
        </c:ser>
        <c:dLbls>
          <c:dLblPos val="inBase"/>
          <c:showLegendKey val="0"/>
          <c:showVal val="1"/>
          <c:showCatName val="0"/>
          <c:showSerName val="0"/>
          <c:showPercent val="0"/>
          <c:showBubbleSize val="0"/>
        </c:dLbls>
        <c:gapWidth val="219"/>
        <c:overlap val="-27"/>
        <c:axId val="123466176"/>
        <c:axId val="122094048"/>
      </c:barChart>
      <c:catAx>
        <c:axId val="123466176"/>
        <c:scaling>
          <c:orientation val="minMax"/>
        </c:scaling>
        <c:delete val="1"/>
        <c:axPos val="b"/>
        <c:numFmt formatCode="General" sourceLinked="1"/>
        <c:majorTickMark val="none"/>
        <c:minorTickMark val="none"/>
        <c:tickLblPos val="nextTo"/>
        <c:crossAx val="122094048"/>
        <c:crosses val="autoZero"/>
        <c:auto val="1"/>
        <c:lblAlgn val="ctr"/>
        <c:lblOffset val="100"/>
        <c:noMultiLvlLbl val="0"/>
      </c:catAx>
      <c:valAx>
        <c:axId val="122094048"/>
        <c:scaling>
          <c:orientation val="minMax"/>
        </c:scaling>
        <c:delete val="1"/>
        <c:axPos val="l"/>
        <c:numFmt formatCode="_(* #,##0_);_(* \(#,##0\);_(* &quot;-&quot;??_);_(@_)" sourceLinked="1"/>
        <c:majorTickMark val="none"/>
        <c:minorTickMark val="none"/>
        <c:tickLblPos val="nextTo"/>
        <c:crossAx val="123466176"/>
        <c:crosses val="autoZero"/>
        <c:crossBetween val="between"/>
      </c:valAx>
      <c:spPr>
        <a:noFill/>
        <a:ln>
          <a:noFill/>
        </a:ln>
        <a:effectLst/>
      </c:spPr>
    </c:plotArea>
    <c:legend>
      <c:legendPos val="b"/>
      <c:layout>
        <c:manualLayout>
          <c:xMode val="edge"/>
          <c:yMode val="edge"/>
          <c:x val="6.6672696262289083E-2"/>
          <c:y val="0.88260230433567066"/>
          <c:w val="0.84535065756374794"/>
          <c:h val="7.1584111601684625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Rockwell Condensed" panose="02060603050405020104" pitchFamily="18"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4077392188131"/>
          <c:y val="5.5460252937149568E-2"/>
          <c:w val="0.70249201468393019"/>
          <c:h val="0.93181818736430444"/>
        </c:manualLayout>
      </c:layout>
      <c:doughnut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7559-4535-A323-16FD8EC32DC0}"/>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7559-4535-A323-16FD8EC32DC0}"/>
              </c:ext>
            </c:extLst>
          </c:dPt>
          <c:val>
            <c:numRef>
              <c:f>calculations!$F$103:$F$104</c:f>
              <c:numCache>
                <c:formatCode>0%</c:formatCode>
                <c:ptCount val="2"/>
                <c:pt idx="0">
                  <c:v>0.62159047915208998</c:v>
                </c:pt>
                <c:pt idx="1">
                  <c:v>0.37840952084791002</c:v>
                </c:pt>
              </c:numCache>
            </c:numRef>
          </c:val>
          <c:extLst>
            <c:ext xmlns:c16="http://schemas.microsoft.com/office/drawing/2014/chart" uri="{C3380CC4-5D6E-409C-BE32-E72D297353CC}">
              <c16:uniqueId val="{00000004-7559-4535-A323-16FD8EC32D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image" Target="../media/image17.jpeg"/><Relationship Id="rId26" Type="http://schemas.openxmlformats.org/officeDocument/2006/relationships/image" Target="../media/image22.png"/><Relationship Id="rId3" Type="http://schemas.openxmlformats.org/officeDocument/2006/relationships/image" Target="../media/image2.svg"/><Relationship Id="rId21" Type="http://schemas.openxmlformats.org/officeDocument/2006/relationships/image" Target="../media/image20.png"/><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image" Target="../media/image15.png"/><Relationship Id="rId20" Type="http://schemas.openxmlformats.org/officeDocument/2006/relationships/image" Target="../media/image19.png"/><Relationship Id="rId1" Type="http://schemas.openxmlformats.org/officeDocument/2006/relationships/chart" Target="../charts/chart2.xml"/><Relationship Id="rId6" Type="http://schemas.openxmlformats.org/officeDocument/2006/relationships/image" Target="../media/image5.png"/><Relationship Id="rId11" Type="http://schemas.openxmlformats.org/officeDocument/2006/relationships/image" Target="../media/image10.svg"/><Relationship Id="rId24" Type="http://schemas.openxmlformats.org/officeDocument/2006/relationships/chart" Target="../charts/chart4.xml"/><Relationship Id="rId5" Type="http://schemas.openxmlformats.org/officeDocument/2006/relationships/image" Target="../media/image4.svg"/><Relationship Id="rId15" Type="http://schemas.openxmlformats.org/officeDocument/2006/relationships/image" Target="../media/image14.png"/><Relationship Id="rId23" Type="http://schemas.openxmlformats.org/officeDocument/2006/relationships/chart" Target="../charts/chart3.xml"/><Relationship Id="rId10" Type="http://schemas.openxmlformats.org/officeDocument/2006/relationships/image" Target="../media/image9.png"/><Relationship Id="rId19" Type="http://schemas.openxmlformats.org/officeDocument/2006/relationships/image" Target="../media/image18.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xdr:from>
      <xdr:col>6</xdr:col>
      <xdr:colOff>190500</xdr:colOff>
      <xdr:row>90</xdr:row>
      <xdr:rowOff>112986</xdr:rowOff>
    </xdr:from>
    <xdr:to>
      <xdr:col>9</xdr:col>
      <xdr:colOff>400707</xdr:colOff>
      <xdr:row>100</xdr:row>
      <xdr:rowOff>228600</xdr:rowOff>
    </xdr:to>
    <xdr:graphicFrame macro="">
      <xdr:nvGraphicFramePr>
        <xdr:cNvPr id="9" name="Chart 8">
          <a:extLst>
            <a:ext uri="{FF2B5EF4-FFF2-40B4-BE49-F238E27FC236}">
              <a16:creationId xmlns:a16="http://schemas.microsoft.com/office/drawing/2014/main" id="{9416307A-B329-D674-5DBF-8F1E16855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764765</xdr:colOff>
      <xdr:row>6</xdr:row>
      <xdr:rowOff>48036</xdr:rowOff>
    </xdr:from>
    <xdr:to>
      <xdr:col>16</xdr:col>
      <xdr:colOff>155166</xdr:colOff>
      <xdr:row>21</xdr:row>
      <xdr:rowOff>132702</xdr:rowOff>
    </xdr:to>
    <xdr:sp macro="" textlink="">
      <xdr:nvSpPr>
        <xdr:cNvPr id="48" name="Rectangle 47">
          <a:extLst>
            <a:ext uri="{FF2B5EF4-FFF2-40B4-BE49-F238E27FC236}">
              <a16:creationId xmlns:a16="http://schemas.microsoft.com/office/drawing/2014/main" id="{8D828152-3F1D-47F7-B890-4A53E2EDFCF0}"/>
            </a:ext>
          </a:extLst>
        </xdr:cNvPr>
        <xdr:cNvSpPr/>
      </xdr:nvSpPr>
      <xdr:spPr>
        <a:xfrm>
          <a:off x="15304969" y="2069669"/>
          <a:ext cx="9622973" cy="5916298"/>
        </a:xfrm>
        <a:prstGeom prst="rect">
          <a:avLst/>
        </a:prstGeom>
        <a:solidFill>
          <a:schemeClr val="tx2">
            <a:lumMod val="60000"/>
            <a:lumOff val="40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395356</xdr:colOff>
      <xdr:row>0</xdr:row>
      <xdr:rowOff>50064</xdr:rowOff>
    </xdr:from>
    <xdr:to>
      <xdr:col>16</xdr:col>
      <xdr:colOff>203200</xdr:colOff>
      <xdr:row>6</xdr:row>
      <xdr:rowOff>0</xdr:rowOff>
    </xdr:to>
    <xdr:sp macro="" textlink="">
      <xdr:nvSpPr>
        <xdr:cNvPr id="24" name="Rectangle 23">
          <a:extLst>
            <a:ext uri="{FF2B5EF4-FFF2-40B4-BE49-F238E27FC236}">
              <a16:creationId xmlns:a16="http://schemas.microsoft.com/office/drawing/2014/main" id="{53D3803B-65F9-5627-CE47-BBED75B7AEC5}"/>
            </a:ext>
          </a:extLst>
        </xdr:cNvPr>
        <xdr:cNvSpPr/>
      </xdr:nvSpPr>
      <xdr:spPr>
        <a:xfrm>
          <a:off x="2359623" y="50064"/>
          <a:ext cx="22633977" cy="1998869"/>
        </a:xfrm>
        <a:prstGeom prst="rect">
          <a:avLst/>
        </a:prstGeom>
        <a:solidFill>
          <a:srgbClr val="002060">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355601</xdr:colOff>
      <xdr:row>21</xdr:row>
      <xdr:rowOff>135465</xdr:rowOff>
    </xdr:from>
    <xdr:to>
      <xdr:col>16</xdr:col>
      <xdr:colOff>186268</xdr:colOff>
      <xdr:row>42</xdr:row>
      <xdr:rowOff>152399</xdr:rowOff>
    </xdr:to>
    <xdr:sp macro="" textlink="">
      <xdr:nvSpPr>
        <xdr:cNvPr id="23" name="Rectangle 22">
          <a:extLst>
            <a:ext uri="{FF2B5EF4-FFF2-40B4-BE49-F238E27FC236}">
              <a16:creationId xmlns:a16="http://schemas.microsoft.com/office/drawing/2014/main" id="{13095EAB-2EBF-ABD0-2AB9-83B30B39AA22}"/>
            </a:ext>
          </a:extLst>
        </xdr:cNvPr>
        <xdr:cNvSpPr/>
      </xdr:nvSpPr>
      <xdr:spPr>
        <a:xfrm>
          <a:off x="14918268" y="8060265"/>
          <a:ext cx="10058400" cy="5825067"/>
        </a:xfrm>
        <a:prstGeom prst="rect">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513890</xdr:colOff>
      <xdr:row>21</xdr:row>
      <xdr:rowOff>147616</xdr:rowOff>
    </xdr:from>
    <xdr:to>
      <xdr:col>11</xdr:col>
      <xdr:colOff>317116</xdr:colOff>
      <xdr:row>42</xdr:row>
      <xdr:rowOff>93903</xdr:rowOff>
    </xdr:to>
    <xdr:sp macro="" textlink="">
      <xdr:nvSpPr>
        <xdr:cNvPr id="20" name="Rectangle 19">
          <a:extLst>
            <a:ext uri="{FF2B5EF4-FFF2-40B4-BE49-F238E27FC236}">
              <a16:creationId xmlns:a16="http://schemas.microsoft.com/office/drawing/2014/main" id="{7FEFCF26-ED88-9C1E-5D60-7E4C82B82C41}"/>
            </a:ext>
          </a:extLst>
        </xdr:cNvPr>
        <xdr:cNvSpPr/>
      </xdr:nvSpPr>
      <xdr:spPr>
        <a:xfrm>
          <a:off x="2478157" y="7395083"/>
          <a:ext cx="12401626" cy="5754420"/>
        </a:xfrm>
        <a:prstGeom prst="rect">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501567</xdr:colOff>
      <xdr:row>6</xdr:row>
      <xdr:rowOff>16595</xdr:rowOff>
    </xdr:from>
    <xdr:to>
      <xdr:col>11</xdr:col>
      <xdr:colOff>736427</xdr:colOff>
      <xdr:row>21</xdr:row>
      <xdr:rowOff>117151</xdr:rowOff>
    </xdr:to>
    <xdr:sp macro="" textlink="">
      <xdr:nvSpPr>
        <xdr:cNvPr id="15" name="Rectangle 14">
          <a:extLst>
            <a:ext uri="{FF2B5EF4-FFF2-40B4-BE49-F238E27FC236}">
              <a16:creationId xmlns:a16="http://schemas.microsoft.com/office/drawing/2014/main" id="{174179C7-F515-4019-08D6-349A838CF040}"/>
            </a:ext>
          </a:extLst>
        </xdr:cNvPr>
        <xdr:cNvSpPr/>
      </xdr:nvSpPr>
      <xdr:spPr>
        <a:xfrm>
          <a:off x="10547526" y="2038228"/>
          <a:ext cx="4729105" cy="5932188"/>
        </a:xfrm>
        <a:prstGeom prst="rect">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777551</xdr:colOff>
      <xdr:row>6</xdr:row>
      <xdr:rowOff>15551</xdr:rowOff>
    </xdr:from>
    <xdr:to>
      <xdr:col>8</xdr:col>
      <xdr:colOff>497633</xdr:colOff>
      <xdr:row>21</xdr:row>
      <xdr:rowOff>93307</xdr:rowOff>
    </xdr:to>
    <xdr:sp macro="" textlink="">
      <xdr:nvSpPr>
        <xdr:cNvPr id="14" name="Rectangle 13">
          <a:extLst>
            <a:ext uri="{FF2B5EF4-FFF2-40B4-BE49-F238E27FC236}">
              <a16:creationId xmlns:a16="http://schemas.microsoft.com/office/drawing/2014/main" id="{3865752D-8A90-C525-2087-F28B851FEE81}"/>
            </a:ext>
          </a:extLst>
        </xdr:cNvPr>
        <xdr:cNvSpPr/>
      </xdr:nvSpPr>
      <xdr:spPr>
        <a:xfrm>
          <a:off x="1757265" y="2037184"/>
          <a:ext cx="8786327" cy="5909388"/>
        </a:xfrm>
        <a:prstGeom prst="rect">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10583</xdr:colOff>
      <xdr:row>2</xdr:row>
      <xdr:rowOff>152400</xdr:rowOff>
    </xdr:from>
    <xdr:to>
      <xdr:col>2</xdr:col>
      <xdr:colOff>493059</xdr:colOff>
      <xdr:row>42</xdr:row>
      <xdr:rowOff>134470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E0FFBCAE-9432-4498-839F-CD408FC216A8}"/>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0583" y="997226"/>
              <a:ext cx="2437172" cy="12687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508000</xdr:colOff>
      <xdr:row>2</xdr:row>
      <xdr:rowOff>115454</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86C01783-E0D1-4EA2-9648-4AC54762711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0"/>
              <a:ext cx="2346886" cy="1020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433915</xdr:colOff>
      <xdr:row>0</xdr:row>
      <xdr:rowOff>0</xdr:rowOff>
    </xdr:from>
    <xdr:to>
      <xdr:col>6</xdr:col>
      <xdr:colOff>814917</xdr:colOff>
      <xdr:row>5</xdr:row>
      <xdr:rowOff>254000</xdr:rowOff>
    </xdr:to>
    <xdr:sp macro="" textlink="">
      <xdr:nvSpPr>
        <xdr:cNvPr id="5" name="Rectangle 4">
          <a:extLst>
            <a:ext uri="{FF2B5EF4-FFF2-40B4-BE49-F238E27FC236}">
              <a16:creationId xmlns:a16="http://schemas.microsoft.com/office/drawing/2014/main" id="{00F38DAC-8D63-2794-B5D6-C8916BC48D6D}"/>
            </a:ext>
          </a:extLst>
        </xdr:cNvPr>
        <xdr:cNvSpPr/>
      </xdr:nvSpPr>
      <xdr:spPr>
        <a:xfrm>
          <a:off x="2381248" y="0"/>
          <a:ext cx="4275669" cy="15769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a:solidFill>
                <a:schemeClr val="accent4">
                  <a:lumMod val="75000"/>
                </a:schemeClr>
              </a:solidFill>
              <a:latin typeface="Rockwell Condensed" panose="02060603050405020104" pitchFamily="18" charset="0"/>
            </a:rPr>
            <a:t>DATA OPZX</a:t>
          </a:r>
          <a:r>
            <a:rPr lang="en-US" sz="4400" baseline="0">
              <a:solidFill>
                <a:schemeClr val="accent4">
                  <a:lumMod val="75000"/>
                </a:schemeClr>
              </a:solidFill>
              <a:latin typeface="Rockwell Condensed" panose="02060603050405020104" pitchFamily="18" charset="0"/>
            </a:rPr>
            <a:t> </a:t>
          </a:r>
        </a:p>
        <a:p>
          <a:pPr algn="l"/>
          <a:r>
            <a:rPr lang="en-US" sz="4400" baseline="0">
              <a:solidFill>
                <a:schemeClr val="accent4">
                  <a:lumMod val="75000"/>
                </a:schemeClr>
              </a:solidFill>
              <a:latin typeface="Rockwell Condensed" panose="02060603050405020104" pitchFamily="18" charset="0"/>
            </a:rPr>
            <a:t>200</a:t>
          </a:r>
          <a:endParaRPr lang="en-US" sz="4400">
            <a:solidFill>
              <a:schemeClr val="accent4">
                <a:lumMod val="75000"/>
              </a:schemeClr>
            </a:solidFill>
            <a:latin typeface="Rockwell Condensed" panose="02060603050405020104" pitchFamily="18" charset="0"/>
          </a:endParaRPr>
        </a:p>
      </xdr:txBody>
    </xdr:sp>
    <xdr:clientData/>
  </xdr:twoCellAnchor>
  <xdr:twoCellAnchor>
    <xdr:from>
      <xdr:col>5</xdr:col>
      <xdr:colOff>412750</xdr:colOff>
      <xdr:row>3</xdr:row>
      <xdr:rowOff>52915</xdr:rowOff>
    </xdr:from>
    <xdr:to>
      <xdr:col>8</xdr:col>
      <xdr:colOff>190500</xdr:colOff>
      <xdr:row>6</xdr:row>
      <xdr:rowOff>243417</xdr:rowOff>
    </xdr:to>
    <xdr:sp macro="" textlink="">
      <xdr:nvSpPr>
        <xdr:cNvPr id="6" name="TextBox 5">
          <a:extLst>
            <a:ext uri="{FF2B5EF4-FFF2-40B4-BE49-F238E27FC236}">
              <a16:creationId xmlns:a16="http://schemas.microsoft.com/office/drawing/2014/main" id="{0F0EBF1C-1650-2EA7-DEDA-CF0DCFF4175C}"/>
            </a:ext>
          </a:extLst>
        </xdr:cNvPr>
        <xdr:cNvSpPr txBox="1"/>
      </xdr:nvSpPr>
      <xdr:spPr>
        <a:xfrm>
          <a:off x="5281083" y="1269998"/>
          <a:ext cx="4053417" cy="984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Rockwell Condensed" panose="02060603050405020104" pitchFamily="18" charset="0"/>
            </a:rPr>
            <a:t>TOTAL</a:t>
          </a:r>
          <a:r>
            <a:rPr lang="en-US" sz="3200" baseline="0">
              <a:latin typeface="Rockwell Condensed" panose="02060603050405020104" pitchFamily="18" charset="0"/>
            </a:rPr>
            <a:t> BUDGET </a:t>
          </a:r>
          <a:r>
            <a:rPr lang="en-US" sz="3200" b="0" baseline="0">
              <a:latin typeface="Rockwell Condensed" panose="02060603050405020104" pitchFamily="18" charset="0"/>
            </a:rPr>
            <a:t>ALLOCATED</a:t>
          </a:r>
          <a:endParaRPr lang="en-US" sz="3200" b="0">
            <a:latin typeface="Rockwell Condensed" panose="02060603050405020104" pitchFamily="18" charset="0"/>
          </a:endParaRPr>
        </a:p>
      </xdr:txBody>
    </xdr:sp>
    <xdr:clientData/>
  </xdr:twoCellAnchor>
  <xdr:twoCellAnchor>
    <xdr:from>
      <xdr:col>9</xdr:col>
      <xdr:colOff>116417</xdr:colOff>
      <xdr:row>3</xdr:row>
      <xdr:rowOff>74085</xdr:rowOff>
    </xdr:from>
    <xdr:to>
      <xdr:col>11</xdr:col>
      <xdr:colOff>560918</xdr:colOff>
      <xdr:row>5</xdr:row>
      <xdr:rowOff>190501</xdr:rowOff>
    </xdr:to>
    <xdr:sp macro="" textlink="">
      <xdr:nvSpPr>
        <xdr:cNvPr id="7" name="TextBox 6">
          <a:extLst>
            <a:ext uri="{FF2B5EF4-FFF2-40B4-BE49-F238E27FC236}">
              <a16:creationId xmlns:a16="http://schemas.microsoft.com/office/drawing/2014/main" id="{B3B33EAE-D1B4-B56E-0478-34FD712849CD}"/>
            </a:ext>
          </a:extLst>
        </xdr:cNvPr>
        <xdr:cNvSpPr txBox="1"/>
      </xdr:nvSpPr>
      <xdr:spPr>
        <a:xfrm>
          <a:off x="10234084" y="1291168"/>
          <a:ext cx="4529667" cy="645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latin typeface="Rockwell Condensed" panose="02060603050405020104" pitchFamily="18" charset="0"/>
            </a:rPr>
            <a:t>AGREED HOURS</a:t>
          </a:r>
        </a:p>
      </xdr:txBody>
    </xdr:sp>
    <xdr:clientData/>
  </xdr:twoCellAnchor>
  <xdr:twoCellAnchor>
    <xdr:from>
      <xdr:col>11</xdr:col>
      <xdr:colOff>187811</xdr:colOff>
      <xdr:row>2</xdr:row>
      <xdr:rowOff>354633</xdr:rowOff>
    </xdr:from>
    <xdr:to>
      <xdr:col>15</xdr:col>
      <xdr:colOff>274809</xdr:colOff>
      <xdr:row>5</xdr:row>
      <xdr:rowOff>151756</xdr:rowOff>
    </xdr:to>
    <xdr:sp macro="" textlink="">
      <xdr:nvSpPr>
        <xdr:cNvPr id="8" name="TextBox 7">
          <a:extLst>
            <a:ext uri="{FF2B5EF4-FFF2-40B4-BE49-F238E27FC236}">
              <a16:creationId xmlns:a16="http://schemas.microsoft.com/office/drawing/2014/main" id="{CC20DFA6-C1DE-0838-9017-EB4E760BBAFA}"/>
            </a:ext>
          </a:extLst>
        </xdr:cNvPr>
        <xdr:cNvSpPr txBox="1"/>
      </xdr:nvSpPr>
      <xdr:spPr>
        <a:xfrm>
          <a:off x="14627065" y="1207040"/>
          <a:ext cx="5356422" cy="701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Rockwell Condensed" panose="02060603050405020104" pitchFamily="18" charset="0"/>
            </a:rPr>
            <a:t>ACTAUL HOURS</a:t>
          </a:r>
        </a:p>
      </xdr:txBody>
    </xdr:sp>
    <xdr:clientData/>
  </xdr:twoCellAnchor>
  <xdr:twoCellAnchor>
    <xdr:from>
      <xdr:col>2</xdr:col>
      <xdr:colOff>476248</xdr:colOff>
      <xdr:row>7</xdr:row>
      <xdr:rowOff>183931</xdr:rowOff>
    </xdr:from>
    <xdr:to>
      <xdr:col>7</xdr:col>
      <xdr:colOff>551792</xdr:colOff>
      <xdr:row>21</xdr:row>
      <xdr:rowOff>249621</xdr:rowOff>
    </xdr:to>
    <xdr:graphicFrame macro="">
      <xdr:nvGraphicFramePr>
        <xdr:cNvPr id="9" name="Chart 8">
          <a:extLst>
            <a:ext uri="{FF2B5EF4-FFF2-40B4-BE49-F238E27FC236}">
              <a16:creationId xmlns:a16="http://schemas.microsoft.com/office/drawing/2014/main" id="{F22FD823-3E29-41FC-BBFC-893C1052A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529167</xdr:colOff>
      <xdr:row>7</xdr:row>
      <xdr:rowOff>21166</xdr:rowOff>
    </xdr:from>
    <xdr:to>
      <xdr:col>6</xdr:col>
      <xdr:colOff>1756833</xdr:colOff>
      <xdr:row>8</xdr:row>
      <xdr:rowOff>158750</xdr:rowOff>
    </xdr:to>
    <xdr:sp macro="" textlink="">
      <xdr:nvSpPr>
        <xdr:cNvPr id="10" name="TextBox 9">
          <a:extLst>
            <a:ext uri="{FF2B5EF4-FFF2-40B4-BE49-F238E27FC236}">
              <a16:creationId xmlns:a16="http://schemas.microsoft.com/office/drawing/2014/main" id="{2F11338D-34BA-10E9-02BF-3C9DA0DE3100}"/>
            </a:ext>
          </a:extLst>
        </xdr:cNvPr>
        <xdr:cNvSpPr txBox="1"/>
      </xdr:nvSpPr>
      <xdr:spPr>
        <a:xfrm>
          <a:off x="2476500" y="2296583"/>
          <a:ext cx="5122333"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2">
                  <a:lumMod val="50000"/>
                </a:schemeClr>
              </a:solidFill>
              <a:latin typeface="Rockwell Condensed" panose="02060603050405020104" pitchFamily="18" charset="0"/>
            </a:rPr>
            <a:t>EXTRA</a:t>
          </a:r>
          <a:r>
            <a:rPr lang="en-US" sz="2000" b="1" baseline="0">
              <a:solidFill>
                <a:schemeClr val="bg2">
                  <a:lumMod val="50000"/>
                </a:schemeClr>
              </a:solidFill>
              <a:latin typeface="Rockwell Condensed" panose="02060603050405020104" pitchFamily="18" charset="0"/>
            </a:rPr>
            <a:t> </a:t>
          </a:r>
          <a:r>
            <a:rPr lang="en-US" sz="2000" b="1">
              <a:solidFill>
                <a:schemeClr val="bg2">
                  <a:lumMod val="50000"/>
                </a:schemeClr>
              </a:solidFill>
              <a:latin typeface="Rockwell Condensed" panose="02060603050405020104" pitchFamily="18" charset="0"/>
            </a:rPr>
            <a:t>AND MISSING</a:t>
          </a:r>
          <a:r>
            <a:rPr lang="en-US" sz="2000" b="1" baseline="0">
              <a:solidFill>
                <a:schemeClr val="bg2">
                  <a:lumMod val="50000"/>
                </a:schemeClr>
              </a:solidFill>
              <a:latin typeface="Rockwell Condensed" panose="02060603050405020104" pitchFamily="18" charset="0"/>
            </a:rPr>
            <a:t> WORKING HOURS</a:t>
          </a:r>
          <a:endParaRPr lang="en-US" sz="2000" b="1">
            <a:solidFill>
              <a:schemeClr val="bg2">
                <a:lumMod val="50000"/>
              </a:schemeClr>
            </a:solidFill>
            <a:latin typeface="Rockwell Condensed" panose="02060603050405020104" pitchFamily="18" charset="0"/>
          </a:endParaRPr>
        </a:p>
      </xdr:txBody>
    </xdr:sp>
    <xdr:clientData/>
  </xdr:twoCellAnchor>
  <xdr:twoCellAnchor editAs="oneCell">
    <xdr:from>
      <xdr:col>7</xdr:col>
      <xdr:colOff>507999</xdr:colOff>
      <xdr:row>8</xdr:row>
      <xdr:rowOff>131230</xdr:rowOff>
    </xdr:from>
    <xdr:to>
      <xdr:col>7</xdr:col>
      <xdr:colOff>846668</xdr:colOff>
      <xdr:row>9</xdr:row>
      <xdr:rowOff>205316</xdr:rowOff>
    </xdr:to>
    <xdr:pic>
      <xdr:nvPicPr>
        <xdr:cNvPr id="16" name="Graphic 15" descr="Medical with solid fill">
          <a:extLst>
            <a:ext uri="{FF2B5EF4-FFF2-40B4-BE49-F238E27FC236}">
              <a16:creationId xmlns:a16="http://schemas.microsoft.com/office/drawing/2014/main" id="{6FF308F9-6DCB-7FA1-BC80-20F35429E4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678332" y="2671230"/>
          <a:ext cx="338669" cy="338669"/>
        </a:xfrm>
        <a:prstGeom prst="rect">
          <a:avLst/>
        </a:prstGeom>
      </xdr:spPr>
    </xdr:pic>
    <xdr:clientData/>
  </xdr:twoCellAnchor>
  <xdr:twoCellAnchor>
    <xdr:from>
      <xdr:col>7</xdr:col>
      <xdr:colOff>825501</xdr:colOff>
      <xdr:row>8</xdr:row>
      <xdr:rowOff>95250</xdr:rowOff>
    </xdr:from>
    <xdr:to>
      <xdr:col>8</xdr:col>
      <xdr:colOff>751417</xdr:colOff>
      <xdr:row>9</xdr:row>
      <xdr:rowOff>222250</xdr:rowOff>
    </xdr:to>
    <xdr:sp macro="" textlink="">
      <xdr:nvSpPr>
        <xdr:cNvPr id="17" name="TextBox 16">
          <a:extLst>
            <a:ext uri="{FF2B5EF4-FFF2-40B4-BE49-F238E27FC236}">
              <a16:creationId xmlns:a16="http://schemas.microsoft.com/office/drawing/2014/main" id="{59E0305C-8D8E-542D-2D36-123A69EF07E4}"/>
            </a:ext>
          </a:extLst>
        </xdr:cNvPr>
        <xdr:cNvSpPr txBox="1"/>
      </xdr:nvSpPr>
      <xdr:spPr>
        <a:xfrm>
          <a:off x="8995834" y="2635250"/>
          <a:ext cx="1672166"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latin typeface="Rockwell Condensed" panose="02060603050405020104" pitchFamily="18" charset="0"/>
            </a:rPr>
            <a:t>EXTRA</a:t>
          </a:r>
        </a:p>
      </xdr:txBody>
    </xdr:sp>
    <xdr:clientData/>
  </xdr:twoCellAnchor>
  <xdr:twoCellAnchor>
    <xdr:from>
      <xdr:col>7</xdr:col>
      <xdr:colOff>997753</xdr:colOff>
      <xdr:row>12</xdr:row>
      <xdr:rowOff>359833</xdr:rowOff>
    </xdr:from>
    <xdr:to>
      <xdr:col>7</xdr:col>
      <xdr:colOff>1664503</xdr:colOff>
      <xdr:row>13</xdr:row>
      <xdr:rowOff>243416</xdr:rowOff>
    </xdr:to>
    <xdr:sp macro="" textlink="">
      <xdr:nvSpPr>
        <xdr:cNvPr id="18" name="TextBox 17">
          <a:extLst>
            <a:ext uri="{FF2B5EF4-FFF2-40B4-BE49-F238E27FC236}">
              <a16:creationId xmlns:a16="http://schemas.microsoft.com/office/drawing/2014/main" id="{D6759353-26DF-673B-6C7A-7C8E6EF2666C}"/>
            </a:ext>
          </a:extLst>
        </xdr:cNvPr>
        <xdr:cNvSpPr txBox="1"/>
      </xdr:nvSpPr>
      <xdr:spPr>
        <a:xfrm>
          <a:off x="9156408" y="4077867"/>
          <a:ext cx="666750" cy="303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2">
                  <a:lumMod val="50000"/>
                </a:schemeClr>
              </a:solidFill>
            </a:rPr>
            <a:t>Hrs</a:t>
          </a:r>
        </a:p>
      </xdr:txBody>
    </xdr:sp>
    <xdr:clientData/>
  </xdr:twoCellAnchor>
  <xdr:twoCellAnchor>
    <xdr:from>
      <xdr:col>7</xdr:col>
      <xdr:colOff>698499</xdr:colOff>
      <xdr:row>10</xdr:row>
      <xdr:rowOff>328082</xdr:rowOff>
    </xdr:from>
    <xdr:to>
      <xdr:col>7</xdr:col>
      <xdr:colOff>1005416</xdr:colOff>
      <xdr:row>11</xdr:row>
      <xdr:rowOff>232833</xdr:rowOff>
    </xdr:to>
    <xdr:sp macro="" textlink="">
      <xdr:nvSpPr>
        <xdr:cNvPr id="19" name="TextBox 18">
          <a:extLst>
            <a:ext uri="{FF2B5EF4-FFF2-40B4-BE49-F238E27FC236}">
              <a16:creationId xmlns:a16="http://schemas.microsoft.com/office/drawing/2014/main" id="{AB5A35B1-031B-E30F-0E3B-8ACC7FC5F218}"/>
            </a:ext>
          </a:extLst>
        </xdr:cNvPr>
        <xdr:cNvSpPr txBox="1"/>
      </xdr:nvSpPr>
      <xdr:spPr>
        <a:xfrm>
          <a:off x="8868832" y="3397249"/>
          <a:ext cx="306917"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2">
                  <a:lumMod val="50000"/>
                </a:schemeClr>
              </a:solidFill>
            </a:rPr>
            <a:t>$</a:t>
          </a:r>
        </a:p>
      </xdr:txBody>
    </xdr:sp>
    <xdr:clientData/>
  </xdr:twoCellAnchor>
  <xdr:twoCellAnchor editAs="oneCell">
    <xdr:from>
      <xdr:col>7</xdr:col>
      <xdr:colOff>550332</xdr:colOff>
      <xdr:row>14</xdr:row>
      <xdr:rowOff>105832</xdr:rowOff>
    </xdr:from>
    <xdr:to>
      <xdr:col>7</xdr:col>
      <xdr:colOff>914399</xdr:colOff>
      <xdr:row>15</xdr:row>
      <xdr:rowOff>205315</xdr:rowOff>
    </xdr:to>
    <xdr:pic>
      <xdr:nvPicPr>
        <xdr:cNvPr id="21" name="Graphic 20" descr="Clapper board with solid fill">
          <a:extLst>
            <a:ext uri="{FF2B5EF4-FFF2-40B4-BE49-F238E27FC236}">
              <a16:creationId xmlns:a16="http://schemas.microsoft.com/office/drawing/2014/main" id="{DB66DD84-E670-AF10-6F57-18EA7B718C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720665" y="4519082"/>
          <a:ext cx="364067" cy="364067"/>
        </a:xfrm>
        <a:prstGeom prst="rect">
          <a:avLst/>
        </a:prstGeom>
      </xdr:spPr>
    </xdr:pic>
    <xdr:clientData/>
  </xdr:twoCellAnchor>
  <xdr:twoCellAnchor>
    <xdr:from>
      <xdr:col>7</xdr:col>
      <xdr:colOff>867834</xdr:colOff>
      <xdr:row>14</xdr:row>
      <xdr:rowOff>52917</xdr:rowOff>
    </xdr:from>
    <xdr:to>
      <xdr:col>8</xdr:col>
      <xdr:colOff>518584</xdr:colOff>
      <xdr:row>15</xdr:row>
      <xdr:rowOff>232834</xdr:rowOff>
    </xdr:to>
    <xdr:sp macro="" textlink="">
      <xdr:nvSpPr>
        <xdr:cNvPr id="22" name="TextBox 21">
          <a:extLst>
            <a:ext uri="{FF2B5EF4-FFF2-40B4-BE49-F238E27FC236}">
              <a16:creationId xmlns:a16="http://schemas.microsoft.com/office/drawing/2014/main" id="{D27AE9CB-F24C-C81D-0129-26D99808F514}"/>
            </a:ext>
          </a:extLst>
        </xdr:cNvPr>
        <xdr:cNvSpPr txBox="1"/>
      </xdr:nvSpPr>
      <xdr:spPr>
        <a:xfrm>
          <a:off x="9038167" y="4466167"/>
          <a:ext cx="1397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Rockwell Condensed" panose="02060603050405020104" pitchFamily="18" charset="0"/>
            </a:rPr>
            <a:t>MISSING</a:t>
          </a:r>
        </a:p>
      </xdr:txBody>
    </xdr:sp>
    <xdr:clientData/>
  </xdr:twoCellAnchor>
  <xdr:twoCellAnchor>
    <xdr:from>
      <xdr:col>7</xdr:col>
      <xdr:colOff>1128402</xdr:colOff>
      <xdr:row>18</xdr:row>
      <xdr:rowOff>317500</xdr:rowOff>
    </xdr:from>
    <xdr:to>
      <xdr:col>8</xdr:col>
      <xdr:colOff>68974</xdr:colOff>
      <xdr:row>20</xdr:row>
      <xdr:rowOff>105833</xdr:rowOff>
    </xdr:to>
    <xdr:sp macro="" textlink="">
      <xdr:nvSpPr>
        <xdr:cNvPr id="29" name="TextBox 28">
          <a:extLst>
            <a:ext uri="{FF2B5EF4-FFF2-40B4-BE49-F238E27FC236}">
              <a16:creationId xmlns:a16="http://schemas.microsoft.com/office/drawing/2014/main" id="{7850938D-9D60-50F0-1A81-B3DEA3E729DF}"/>
            </a:ext>
          </a:extLst>
        </xdr:cNvPr>
        <xdr:cNvSpPr txBox="1"/>
      </xdr:nvSpPr>
      <xdr:spPr>
        <a:xfrm>
          <a:off x="9287057" y="5901121"/>
          <a:ext cx="687917" cy="445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rPr>
            <a:t>Hrs</a:t>
          </a:r>
        </a:p>
      </xdr:txBody>
    </xdr:sp>
    <xdr:clientData/>
  </xdr:twoCellAnchor>
  <xdr:twoCellAnchor>
    <xdr:from>
      <xdr:col>7</xdr:col>
      <xdr:colOff>797765</xdr:colOff>
      <xdr:row>16</xdr:row>
      <xdr:rowOff>317499</xdr:rowOff>
    </xdr:from>
    <xdr:to>
      <xdr:col>7</xdr:col>
      <xdr:colOff>1485682</xdr:colOff>
      <xdr:row>18</xdr:row>
      <xdr:rowOff>105833</xdr:rowOff>
    </xdr:to>
    <xdr:sp macro="" textlink="">
      <xdr:nvSpPr>
        <xdr:cNvPr id="30" name="TextBox 29">
          <a:extLst>
            <a:ext uri="{FF2B5EF4-FFF2-40B4-BE49-F238E27FC236}">
              <a16:creationId xmlns:a16="http://schemas.microsoft.com/office/drawing/2014/main" id="{0D4CB9C5-6AE0-4A5D-BFBD-225DC0A8B51C}"/>
            </a:ext>
          </a:extLst>
        </xdr:cNvPr>
        <xdr:cNvSpPr txBox="1"/>
      </xdr:nvSpPr>
      <xdr:spPr>
        <a:xfrm>
          <a:off x="8956420" y="5244223"/>
          <a:ext cx="687917" cy="445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2">
                  <a:lumMod val="50000"/>
                </a:schemeClr>
              </a:solidFill>
              <a:latin typeface="+mn-lt"/>
            </a:rPr>
            <a:t>$</a:t>
          </a:r>
        </a:p>
      </xdr:txBody>
    </xdr:sp>
    <xdr:clientData/>
  </xdr:twoCellAnchor>
  <xdr:twoCellAnchor>
    <xdr:from>
      <xdr:col>8</xdr:col>
      <xdr:colOff>563044</xdr:colOff>
      <xdr:row>5</xdr:row>
      <xdr:rowOff>222018</xdr:rowOff>
    </xdr:from>
    <xdr:to>
      <xdr:col>11</xdr:col>
      <xdr:colOff>1052286</xdr:colOff>
      <xdr:row>21</xdr:row>
      <xdr:rowOff>217714</xdr:rowOff>
    </xdr:to>
    <xdr:sp macro="" textlink="">
      <xdr:nvSpPr>
        <xdr:cNvPr id="31" name="Rectangle: Rounded Corners 30">
          <a:extLst>
            <a:ext uri="{FF2B5EF4-FFF2-40B4-BE49-F238E27FC236}">
              <a16:creationId xmlns:a16="http://schemas.microsoft.com/office/drawing/2014/main" id="{A1426099-F0C8-2CFA-A6C2-5C8CB067111F}"/>
            </a:ext>
          </a:extLst>
        </xdr:cNvPr>
        <xdr:cNvSpPr/>
      </xdr:nvSpPr>
      <xdr:spPr>
        <a:xfrm>
          <a:off x="10505330" y="1981875"/>
          <a:ext cx="4970527" cy="55111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909413</xdr:colOff>
      <xdr:row>7</xdr:row>
      <xdr:rowOff>144965</xdr:rowOff>
    </xdr:from>
    <xdr:to>
      <xdr:col>9</xdr:col>
      <xdr:colOff>1359888</xdr:colOff>
      <xdr:row>8</xdr:row>
      <xdr:rowOff>258530</xdr:rowOff>
    </xdr:to>
    <xdr:sp macro="" textlink="">
      <xdr:nvSpPr>
        <xdr:cNvPr id="32" name="TextBox 31">
          <a:extLst>
            <a:ext uri="{FF2B5EF4-FFF2-40B4-BE49-F238E27FC236}">
              <a16:creationId xmlns:a16="http://schemas.microsoft.com/office/drawing/2014/main" id="{C1DEBBB0-40AC-E5E1-91DC-8EC81DD02F43}"/>
            </a:ext>
          </a:extLst>
        </xdr:cNvPr>
        <xdr:cNvSpPr txBox="1"/>
      </xdr:nvSpPr>
      <xdr:spPr>
        <a:xfrm>
          <a:off x="10867074" y="2443880"/>
          <a:ext cx="1432034" cy="384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2">
                  <a:lumMod val="50000"/>
                </a:schemeClr>
              </a:solidFill>
              <a:latin typeface="Rockwell Condensed" panose="02060603050405020104" pitchFamily="18" charset="0"/>
            </a:rPr>
            <a:t>OUR TEAM</a:t>
          </a:r>
        </a:p>
      </xdr:txBody>
    </xdr:sp>
    <xdr:clientData/>
  </xdr:twoCellAnchor>
  <xdr:twoCellAnchor editAs="oneCell">
    <xdr:from>
      <xdr:col>9</xdr:col>
      <xdr:colOff>1299403</xdr:colOff>
      <xdr:row>10</xdr:row>
      <xdr:rowOff>232476</xdr:rowOff>
    </xdr:from>
    <xdr:to>
      <xdr:col>10</xdr:col>
      <xdr:colOff>676887</xdr:colOff>
      <xdr:row>12</xdr:row>
      <xdr:rowOff>337807</xdr:rowOff>
    </xdr:to>
    <xdr:pic>
      <xdr:nvPicPr>
        <xdr:cNvPr id="34" name="Graphic 33" descr="Man and woman with solid fill">
          <a:extLst>
            <a:ext uri="{FF2B5EF4-FFF2-40B4-BE49-F238E27FC236}">
              <a16:creationId xmlns:a16="http://schemas.microsoft.com/office/drawing/2014/main" id="{3B0CB078-10C0-27D8-9B54-BD9A0EE6641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238623" y="3474205"/>
          <a:ext cx="1121044" cy="1121044"/>
        </a:xfrm>
        <a:prstGeom prst="rect">
          <a:avLst/>
        </a:prstGeom>
      </xdr:spPr>
    </xdr:pic>
    <xdr:clientData/>
  </xdr:twoCellAnchor>
  <xdr:twoCellAnchor>
    <xdr:from>
      <xdr:col>8</xdr:col>
      <xdr:colOff>688926</xdr:colOff>
      <xdr:row>10</xdr:row>
      <xdr:rowOff>275300</xdr:rowOff>
    </xdr:from>
    <xdr:to>
      <xdr:col>9</xdr:col>
      <xdr:colOff>1308858</xdr:colOff>
      <xdr:row>15</xdr:row>
      <xdr:rowOff>27530</xdr:rowOff>
    </xdr:to>
    <xdr:sp macro="" textlink="">
      <xdr:nvSpPr>
        <xdr:cNvPr id="36" name="TextBox 35">
          <a:extLst>
            <a:ext uri="{FF2B5EF4-FFF2-40B4-BE49-F238E27FC236}">
              <a16:creationId xmlns:a16="http://schemas.microsoft.com/office/drawing/2014/main" id="{63C84985-282A-B468-2E1B-1F4E8EF61AA8}"/>
            </a:ext>
          </a:extLst>
        </xdr:cNvPr>
        <xdr:cNvSpPr txBox="1"/>
      </xdr:nvSpPr>
      <xdr:spPr>
        <a:xfrm>
          <a:off x="10735294" y="3443616"/>
          <a:ext cx="1602511" cy="1516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4">
                  <a:lumMod val="75000"/>
                </a:schemeClr>
              </a:solidFill>
              <a:latin typeface="Rockwell Condensed" panose="02060603050405020104" pitchFamily="18" charset="0"/>
            </a:rPr>
            <a:t>      48%</a:t>
          </a:r>
        </a:p>
        <a:p>
          <a:r>
            <a:rPr lang="en-US" sz="2400">
              <a:latin typeface="Rockwell Condensed" panose="02060603050405020104" pitchFamily="18" charset="0"/>
            </a:rPr>
            <a:t>      </a:t>
          </a:r>
          <a:r>
            <a:rPr lang="en-US" sz="2800">
              <a:solidFill>
                <a:schemeClr val="bg2">
                  <a:lumMod val="50000"/>
                </a:schemeClr>
              </a:solidFill>
              <a:latin typeface="Rockwell Condensed" panose="02060603050405020104" pitchFamily="18" charset="0"/>
            </a:rPr>
            <a:t>10</a:t>
          </a:r>
        </a:p>
        <a:p>
          <a:r>
            <a:rPr lang="en-US" sz="2800" baseline="0">
              <a:solidFill>
                <a:schemeClr val="bg2">
                  <a:lumMod val="50000"/>
                </a:schemeClr>
              </a:solidFill>
              <a:latin typeface="Rockwell Condensed" panose="02060603050405020104" pitchFamily="18" charset="0"/>
            </a:rPr>
            <a:t>    female</a:t>
          </a:r>
          <a:endParaRPr lang="en-US" sz="2800">
            <a:solidFill>
              <a:schemeClr val="bg2">
                <a:lumMod val="50000"/>
              </a:schemeClr>
            </a:solidFill>
            <a:latin typeface="Rockwell Condensed" panose="02060603050405020104" pitchFamily="18" charset="0"/>
          </a:endParaRPr>
        </a:p>
      </xdr:txBody>
    </xdr:sp>
    <xdr:clientData/>
  </xdr:twoCellAnchor>
  <xdr:twoCellAnchor>
    <xdr:from>
      <xdr:col>10</xdr:col>
      <xdr:colOff>697423</xdr:colOff>
      <xdr:row>10</xdr:row>
      <xdr:rowOff>167900</xdr:rowOff>
    </xdr:from>
    <xdr:to>
      <xdr:col>11</xdr:col>
      <xdr:colOff>387457</xdr:colOff>
      <xdr:row>14</xdr:row>
      <xdr:rowOff>25832</xdr:rowOff>
    </xdr:to>
    <xdr:sp macro="" textlink="">
      <xdr:nvSpPr>
        <xdr:cNvPr id="38" name="TextBox 37">
          <a:extLst>
            <a:ext uri="{FF2B5EF4-FFF2-40B4-BE49-F238E27FC236}">
              <a16:creationId xmlns:a16="http://schemas.microsoft.com/office/drawing/2014/main" id="{F66F8B01-4FC0-406B-B67D-A933C9B2CF05}"/>
            </a:ext>
          </a:extLst>
        </xdr:cNvPr>
        <xdr:cNvSpPr txBox="1"/>
      </xdr:nvSpPr>
      <xdr:spPr>
        <a:xfrm>
          <a:off x="13380203" y="3409629"/>
          <a:ext cx="1446508" cy="1381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dk1"/>
              </a:solidFill>
              <a:effectLst/>
              <a:latin typeface="Rockwell Condensed" panose="02060603050405020104" pitchFamily="18" charset="0"/>
              <a:ea typeface="+mn-ea"/>
              <a:cs typeface="+mn-cs"/>
            </a:rPr>
            <a:t>      </a:t>
          </a:r>
          <a:r>
            <a:rPr lang="en-US" sz="2800" b="1">
              <a:solidFill>
                <a:schemeClr val="accent4">
                  <a:lumMod val="75000"/>
                </a:schemeClr>
              </a:solidFill>
              <a:effectLst/>
              <a:latin typeface="Rockwell Condensed" panose="02060603050405020104" pitchFamily="18" charset="0"/>
              <a:ea typeface="+mn-ea"/>
              <a:cs typeface="+mn-cs"/>
            </a:rPr>
            <a:t>52%</a:t>
          </a:r>
          <a:endParaRPr lang="en-US" sz="2800">
            <a:solidFill>
              <a:schemeClr val="accent4">
                <a:lumMod val="75000"/>
              </a:schemeClr>
            </a:solidFill>
            <a:effectLst/>
            <a:latin typeface="Rockwell Condensed" panose="02060603050405020104" pitchFamily="18" charset="0"/>
          </a:endParaRPr>
        </a:p>
        <a:p>
          <a:r>
            <a:rPr lang="en-US" sz="2800">
              <a:solidFill>
                <a:schemeClr val="bg2">
                  <a:lumMod val="50000"/>
                </a:schemeClr>
              </a:solidFill>
              <a:effectLst/>
              <a:latin typeface="Rockwell Condensed" panose="02060603050405020104" pitchFamily="18" charset="0"/>
              <a:ea typeface="+mn-ea"/>
              <a:cs typeface="+mn-cs"/>
            </a:rPr>
            <a:t>     </a:t>
          </a:r>
          <a:r>
            <a:rPr lang="en-US" sz="2800" baseline="0">
              <a:solidFill>
                <a:schemeClr val="bg2">
                  <a:lumMod val="50000"/>
                </a:schemeClr>
              </a:solidFill>
              <a:effectLst/>
              <a:latin typeface="Rockwell Condensed" panose="02060603050405020104" pitchFamily="18" charset="0"/>
              <a:ea typeface="+mn-ea"/>
              <a:cs typeface="+mn-cs"/>
            </a:rPr>
            <a:t> </a:t>
          </a:r>
          <a:r>
            <a:rPr lang="en-US" sz="2800">
              <a:solidFill>
                <a:schemeClr val="bg2">
                  <a:lumMod val="50000"/>
                </a:schemeClr>
              </a:solidFill>
              <a:effectLst/>
              <a:latin typeface="Rockwell Condensed" panose="02060603050405020104" pitchFamily="18" charset="0"/>
              <a:ea typeface="+mn-ea"/>
              <a:cs typeface="+mn-cs"/>
            </a:rPr>
            <a:t>10</a:t>
          </a:r>
          <a:endParaRPr lang="en-US" sz="2800">
            <a:solidFill>
              <a:schemeClr val="bg2">
                <a:lumMod val="50000"/>
              </a:schemeClr>
            </a:solidFill>
            <a:effectLst/>
            <a:latin typeface="Rockwell Condensed" panose="02060603050405020104" pitchFamily="18" charset="0"/>
          </a:endParaRPr>
        </a:p>
        <a:p>
          <a:r>
            <a:rPr lang="en-US" sz="2800" baseline="0">
              <a:solidFill>
                <a:schemeClr val="bg2">
                  <a:lumMod val="50000"/>
                </a:schemeClr>
              </a:solidFill>
              <a:effectLst/>
              <a:latin typeface="Rockwell Condensed" panose="02060603050405020104" pitchFamily="18" charset="0"/>
              <a:ea typeface="+mn-ea"/>
              <a:cs typeface="+mn-cs"/>
            </a:rPr>
            <a:t>     male</a:t>
          </a:r>
          <a:endParaRPr lang="en-US" sz="2800">
            <a:solidFill>
              <a:schemeClr val="bg2">
                <a:lumMod val="50000"/>
              </a:schemeClr>
            </a:solidFill>
            <a:effectLst/>
            <a:latin typeface="Rockwell Condensed" panose="02060603050405020104" pitchFamily="18" charset="0"/>
          </a:endParaRPr>
        </a:p>
        <a:p>
          <a:endParaRPr lang="en-US" sz="1100"/>
        </a:p>
      </xdr:txBody>
    </xdr:sp>
    <xdr:clientData/>
  </xdr:twoCellAnchor>
  <xdr:twoCellAnchor editAs="oneCell">
    <xdr:from>
      <xdr:col>9</xdr:col>
      <xdr:colOff>51661</xdr:colOff>
      <xdr:row>14</xdr:row>
      <xdr:rowOff>201516</xdr:rowOff>
    </xdr:from>
    <xdr:to>
      <xdr:col>9</xdr:col>
      <xdr:colOff>529526</xdr:colOff>
      <xdr:row>16</xdr:row>
      <xdr:rowOff>25829</xdr:rowOff>
    </xdr:to>
    <xdr:pic>
      <xdr:nvPicPr>
        <xdr:cNvPr id="40" name="Graphic 39" descr="Camera with solid fill">
          <a:extLst>
            <a:ext uri="{FF2B5EF4-FFF2-40B4-BE49-F238E27FC236}">
              <a16:creationId xmlns:a16="http://schemas.microsoft.com/office/drawing/2014/main" id="{05079BE7-13C8-F8CB-305F-71CC0A07BB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10990881" y="4967245"/>
          <a:ext cx="477865" cy="482991"/>
        </a:xfrm>
        <a:prstGeom prst="rect">
          <a:avLst/>
        </a:prstGeom>
      </xdr:spPr>
    </xdr:pic>
    <xdr:clientData/>
  </xdr:twoCellAnchor>
  <xdr:twoCellAnchor editAs="oneCell">
    <xdr:from>
      <xdr:col>11</xdr:col>
      <xdr:colOff>25831</xdr:colOff>
      <xdr:row>14</xdr:row>
      <xdr:rowOff>167899</xdr:rowOff>
    </xdr:from>
    <xdr:to>
      <xdr:col>11</xdr:col>
      <xdr:colOff>749084</xdr:colOff>
      <xdr:row>16</xdr:row>
      <xdr:rowOff>129153</xdr:rowOff>
    </xdr:to>
    <xdr:pic>
      <xdr:nvPicPr>
        <xdr:cNvPr id="42" name="Graphic 41" descr="Handshake with solid fill">
          <a:extLst>
            <a:ext uri="{FF2B5EF4-FFF2-40B4-BE49-F238E27FC236}">
              <a16:creationId xmlns:a16="http://schemas.microsoft.com/office/drawing/2014/main" id="{A05DB04F-5859-CDEF-9A36-FA34978EFF6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65085" y="4933628"/>
          <a:ext cx="723253" cy="619932"/>
        </a:xfrm>
        <a:prstGeom prst="rect">
          <a:avLst/>
        </a:prstGeom>
      </xdr:spPr>
    </xdr:pic>
    <xdr:clientData/>
  </xdr:twoCellAnchor>
  <xdr:twoCellAnchor editAs="oneCell">
    <xdr:from>
      <xdr:col>9</xdr:col>
      <xdr:colOff>1714524</xdr:colOff>
      <xdr:row>14</xdr:row>
      <xdr:rowOff>116236</xdr:rowOff>
    </xdr:from>
    <xdr:to>
      <xdr:col>10</xdr:col>
      <xdr:colOff>584131</xdr:colOff>
      <xdr:row>16</xdr:row>
      <xdr:rowOff>64575</xdr:rowOff>
    </xdr:to>
    <xdr:pic>
      <xdr:nvPicPr>
        <xdr:cNvPr id="44" name="Graphic 43" descr="Male profile with solid fill">
          <a:extLst>
            <a:ext uri="{FF2B5EF4-FFF2-40B4-BE49-F238E27FC236}">
              <a16:creationId xmlns:a16="http://schemas.microsoft.com/office/drawing/2014/main" id="{72D0C6A0-D22E-2DEA-01F5-5F224A7703A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flipH="1">
          <a:off x="12653744" y="4881965"/>
          <a:ext cx="613167" cy="607017"/>
        </a:xfrm>
        <a:prstGeom prst="rect">
          <a:avLst/>
        </a:prstGeom>
      </xdr:spPr>
    </xdr:pic>
    <xdr:clientData/>
  </xdr:twoCellAnchor>
  <xdr:twoCellAnchor>
    <xdr:from>
      <xdr:col>8</xdr:col>
      <xdr:colOff>762000</xdr:colOff>
      <xdr:row>15</xdr:row>
      <xdr:rowOff>361626</xdr:rowOff>
    </xdr:from>
    <xdr:to>
      <xdr:col>9</xdr:col>
      <xdr:colOff>1059051</xdr:colOff>
      <xdr:row>16</xdr:row>
      <xdr:rowOff>219558</xdr:rowOff>
    </xdr:to>
    <xdr:sp macro="" textlink="">
      <xdr:nvSpPr>
        <xdr:cNvPr id="45" name="TextBox 44">
          <a:extLst>
            <a:ext uri="{FF2B5EF4-FFF2-40B4-BE49-F238E27FC236}">
              <a16:creationId xmlns:a16="http://schemas.microsoft.com/office/drawing/2014/main" id="{6DD1FD05-16A5-165A-27BA-87C2E9DC9377}"/>
            </a:ext>
          </a:extLst>
        </xdr:cNvPr>
        <xdr:cNvSpPr txBox="1"/>
      </xdr:nvSpPr>
      <xdr:spPr>
        <a:xfrm>
          <a:off x="10719661" y="5398575"/>
          <a:ext cx="1278610" cy="245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Rockwell Condensed" panose="02060603050405020104" pitchFamily="18" charset="0"/>
            </a:rPr>
            <a:t>cameraman</a:t>
          </a:r>
        </a:p>
      </xdr:txBody>
    </xdr:sp>
    <xdr:clientData/>
  </xdr:twoCellAnchor>
  <xdr:twoCellAnchor>
    <xdr:from>
      <xdr:col>9</xdr:col>
      <xdr:colOff>1588577</xdr:colOff>
      <xdr:row>15</xdr:row>
      <xdr:rowOff>361626</xdr:rowOff>
    </xdr:from>
    <xdr:to>
      <xdr:col>10</xdr:col>
      <xdr:colOff>1007390</xdr:colOff>
      <xdr:row>17</xdr:row>
      <xdr:rowOff>64574</xdr:rowOff>
    </xdr:to>
    <xdr:sp macro="" textlink="">
      <xdr:nvSpPr>
        <xdr:cNvPr id="46" name="TextBox 45">
          <a:extLst>
            <a:ext uri="{FF2B5EF4-FFF2-40B4-BE49-F238E27FC236}">
              <a16:creationId xmlns:a16="http://schemas.microsoft.com/office/drawing/2014/main" id="{E993BE9B-2D7E-4E8C-AA1D-FEB140CA604B}"/>
            </a:ext>
          </a:extLst>
        </xdr:cNvPr>
        <xdr:cNvSpPr txBox="1"/>
      </xdr:nvSpPr>
      <xdr:spPr>
        <a:xfrm>
          <a:off x="12527797" y="5398575"/>
          <a:ext cx="1162373" cy="490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latin typeface="Rockwell Condensed" panose="02060603050405020104" pitchFamily="18" charset="0"/>
            </a:rPr>
            <a:t>assistant</a:t>
          </a:r>
        </a:p>
      </xdr:txBody>
    </xdr:sp>
    <xdr:clientData/>
  </xdr:twoCellAnchor>
  <xdr:twoCellAnchor>
    <xdr:from>
      <xdr:col>10</xdr:col>
      <xdr:colOff>1353517</xdr:colOff>
      <xdr:row>15</xdr:row>
      <xdr:rowOff>377257</xdr:rowOff>
    </xdr:from>
    <xdr:to>
      <xdr:col>11</xdr:col>
      <xdr:colOff>607017</xdr:colOff>
      <xdr:row>17</xdr:row>
      <xdr:rowOff>0</xdr:rowOff>
    </xdr:to>
    <xdr:sp macro="" textlink="">
      <xdr:nvSpPr>
        <xdr:cNvPr id="47" name="TextBox 46">
          <a:extLst>
            <a:ext uri="{FF2B5EF4-FFF2-40B4-BE49-F238E27FC236}">
              <a16:creationId xmlns:a16="http://schemas.microsoft.com/office/drawing/2014/main" id="{A76D05C0-C2E1-4A5D-B120-A78AB38D5257}"/>
            </a:ext>
          </a:extLst>
        </xdr:cNvPr>
        <xdr:cNvSpPr txBox="1"/>
      </xdr:nvSpPr>
      <xdr:spPr>
        <a:xfrm>
          <a:off x="14036297" y="5414206"/>
          <a:ext cx="1009974" cy="410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Rockwell Condensed" panose="02060603050405020104" pitchFamily="18" charset="0"/>
            </a:rPr>
            <a:t>coordinator</a:t>
          </a:r>
        </a:p>
      </xdr:txBody>
    </xdr:sp>
    <xdr:clientData/>
  </xdr:twoCellAnchor>
  <xdr:twoCellAnchor editAs="oneCell">
    <xdr:from>
      <xdr:col>10</xdr:col>
      <xdr:colOff>172777</xdr:colOff>
      <xdr:row>18</xdr:row>
      <xdr:rowOff>131448</xdr:rowOff>
    </xdr:from>
    <xdr:to>
      <xdr:col>10</xdr:col>
      <xdr:colOff>508574</xdr:colOff>
      <xdr:row>18</xdr:row>
      <xdr:rowOff>467245</xdr:rowOff>
    </xdr:to>
    <xdr:pic>
      <xdr:nvPicPr>
        <xdr:cNvPr id="50" name="Picture 49">
          <a:extLst>
            <a:ext uri="{FF2B5EF4-FFF2-40B4-BE49-F238E27FC236}">
              <a16:creationId xmlns:a16="http://schemas.microsoft.com/office/drawing/2014/main" id="{D9BF3CC5-D66C-BD3B-EB75-856A8F906935}"/>
            </a:ext>
          </a:extLst>
        </xdr:cNvPr>
        <xdr:cNvPicPr>
          <a:picLocks noChangeAspect="1"/>
        </xdr:cNvPicPr>
      </xdr:nvPicPr>
      <xdr:blipFill>
        <a:blip xmlns:r="http://schemas.openxmlformats.org/officeDocument/2006/relationships" r:embed="rId14"/>
        <a:stretch>
          <a:fillRect/>
        </a:stretch>
      </xdr:blipFill>
      <xdr:spPr>
        <a:xfrm>
          <a:off x="12974377" y="6701581"/>
          <a:ext cx="335797" cy="335797"/>
        </a:xfrm>
        <a:prstGeom prst="rect">
          <a:avLst/>
        </a:prstGeom>
      </xdr:spPr>
    </xdr:pic>
    <xdr:clientData/>
  </xdr:twoCellAnchor>
  <xdr:twoCellAnchor editAs="oneCell">
    <xdr:from>
      <xdr:col>10</xdr:col>
      <xdr:colOff>186109</xdr:colOff>
      <xdr:row>19</xdr:row>
      <xdr:rowOff>26817</xdr:rowOff>
    </xdr:from>
    <xdr:to>
      <xdr:col>10</xdr:col>
      <xdr:colOff>555356</xdr:colOff>
      <xdr:row>20</xdr:row>
      <xdr:rowOff>7776</xdr:rowOff>
    </xdr:to>
    <xdr:pic>
      <xdr:nvPicPr>
        <xdr:cNvPr id="51" name="Picture 50">
          <a:extLst>
            <a:ext uri="{FF2B5EF4-FFF2-40B4-BE49-F238E27FC236}">
              <a16:creationId xmlns:a16="http://schemas.microsoft.com/office/drawing/2014/main" id="{810A6C68-F7AC-2242-13D5-4ADF0A1C5295}"/>
            </a:ext>
          </a:extLst>
        </xdr:cNvPr>
        <xdr:cNvPicPr>
          <a:picLocks noChangeAspect="1"/>
        </xdr:cNvPicPr>
      </xdr:nvPicPr>
      <xdr:blipFill>
        <a:blip xmlns:r="http://schemas.openxmlformats.org/officeDocument/2006/relationships" r:embed="rId15"/>
        <a:stretch>
          <a:fillRect/>
        </a:stretch>
      </xdr:blipFill>
      <xdr:spPr>
        <a:xfrm>
          <a:off x="12868889" y="6523190"/>
          <a:ext cx="369247" cy="368416"/>
        </a:xfrm>
        <a:prstGeom prst="rect">
          <a:avLst/>
        </a:prstGeom>
      </xdr:spPr>
    </xdr:pic>
    <xdr:clientData/>
  </xdr:twoCellAnchor>
  <xdr:twoCellAnchor editAs="oneCell">
    <xdr:from>
      <xdr:col>10</xdr:col>
      <xdr:colOff>193729</xdr:colOff>
      <xdr:row>20</xdr:row>
      <xdr:rowOff>90406</xdr:rowOff>
    </xdr:from>
    <xdr:to>
      <xdr:col>10</xdr:col>
      <xdr:colOff>568272</xdr:colOff>
      <xdr:row>21</xdr:row>
      <xdr:rowOff>77492</xdr:rowOff>
    </xdr:to>
    <xdr:pic>
      <xdr:nvPicPr>
        <xdr:cNvPr id="52" name="Picture 51">
          <a:extLst>
            <a:ext uri="{FF2B5EF4-FFF2-40B4-BE49-F238E27FC236}">
              <a16:creationId xmlns:a16="http://schemas.microsoft.com/office/drawing/2014/main" id="{062BBBEE-8302-4609-D332-C6C354FB31A3}"/>
            </a:ext>
          </a:extLst>
        </xdr:cNvPr>
        <xdr:cNvPicPr>
          <a:picLocks noChangeAspect="1"/>
        </xdr:cNvPicPr>
      </xdr:nvPicPr>
      <xdr:blipFill>
        <a:blip xmlns:r="http://schemas.openxmlformats.org/officeDocument/2006/relationships" r:embed="rId16"/>
        <a:stretch>
          <a:fillRect/>
        </a:stretch>
      </xdr:blipFill>
      <xdr:spPr>
        <a:xfrm>
          <a:off x="12876509" y="6974237"/>
          <a:ext cx="374543" cy="374543"/>
        </a:xfrm>
        <a:prstGeom prst="rect">
          <a:avLst/>
        </a:prstGeom>
      </xdr:spPr>
    </xdr:pic>
    <xdr:clientData/>
  </xdr:twoCellAnchor>
  <xdr:twoCellAnchor editAs="oneCell">
    <xdr:from>
      <xdr:col>9</xdr:col>
      <xdr:colOff>180813</xdr:colOff>
      <xdr:row>19</xdr:row>
      <xdr:rowOff>25829</xdr:rowOff>
    </xdr:from>
    <xdr:to>
      <xdr:col>9</xdr:col>
      <xdr:colOff>516610</xdr:colOff>
      <xdr:row>19</xdr:row>
      <xdr:rowOff>361626</xdr:rowOff>
    </xdr:to>
    <xdr:pic>
      <xdr:nvPicPr>
        <xdr:cNvPr id="54" name="Picture 53">
          <a:extLst>
            <a:ext uri="{FF2B5EF4-FFF2-40B4-BE49-F238E27FC236}">
              <a16:creationId xmlns:a16="http://schemas.microsoft.com/office/drawing/2014/main" id="{6FEF8576-C3D7-3AD3-610B-3AB44178B678}"/>
            </a:ext>
          </a:extLst>
        </xdr:cNvPr>
        <xdr:cNvPicPr>
          <a:picLocks noChangeAspect="1"/>
        </xdr:cNvPicPr>
      </xdr:nvPicPr>
      <xdr:blipFill>
        <a:blip xmlns:r="http://schemas.openxmlformats.org/officeDocument/2006/relationships" r:embed="rId17"/>
        <a:stretch>
          <a:fillRect/>
        </a:stretch>
      </xdr:blipFill>
      <xdr:spPr>
        <a:xfrm flipH="1">
          <a:off x="11120033" y="6522202"/>
          <a:ext cx="335797" cy="335797"/>
        </a:xfrm>
        <a:prstGeom prst="rect">
          <a:avLst/>
        </a:prstGeom>
      </xdr:spPr>
    </xdr:pic>
    <xdr:clientData/>
  </xdr:twoCellAnchor>
  <xdr:twoCellAnchor editAs="oneCell">
    <xdr:from>
      <xdr:col>9</xdr:col>
      <xdr:colOff>210448</xdr:colOff>
      <xdr:row>18</xdr:row>
      <xdr:rowOff>72111</xdr:rowOff>
    </xdr:from>
    <xdr:to>
      <xdr:col>9</xdr:col>
      <xdr:colOff>575267</xdr:colOff>
      <xdr:row>18</xdr:row>
      <xdr:rowOff>439780</xdr:rowOff>
    </xdr:to>
    <xdr:pic>
      <xdr:nvPicPr>
        <xdr:cNvPr id="55" name="Picture 54" descr="196983208">
          <a:extLst>
            <a:ext uri="{FF2B5EF4-FFF2-40B4-BE49-F238E27FC236}">
              <a16:creationId xmlns:a16="http://schemas.microsoft.com/office/drawing/2014/main" id="{B92A650C-7856-48EB-8E88-C619B2B6DBD5}"/>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1267915" y="6642244"/>
          <a:ext cx="364819" cy="367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167900</xdr:colOff>
      <xdr:row>20</xdr:row>
      <xdr:rowOff>33580</xdr:rowOff>
    </xdr:from>
    <xdr:to>
      <xdr:col>9</xdr:col>
      <xdr:colOff>568272</xdr:colOff>
      <xdr:row>21</xdr:row>
      <xdr:rowOff>46495</xdr:rowOff>
    </xdr:to>
    <xdr:pic>
      <xdr:nvPicPr>
        <xdr:cNvPr id="56" name="Picture 55">
          <a:extLst>
            <a:ext uri="{FF2B5EF4-FFF2-40B4-BE49-F238E27FC236}">
              <a16:creationId xmlns:a16="http://schemas.microsoft.com/office/drawing/2014/main" id="{81BD67AF-3468-7043-58C9-C94746394BB4}"/>
            </a:ext>
          </a:extLst>
        </xdr:cNvPr>
        <xdr:cNvPicPr>
          <a:picLocks noChangeAspect="1"/>
        </xdr:cNvPicPr>
      </xdr:nvPicPr>
      <xdr:blipFill>
        <a:blip xmlns:r="http://schemas.openxmlformats.org/officeDocument/2006/relationships" r:embed="rId19"/>
        <a:stretch>
          <a:fillRect/>
        </a:stretch>
      </xdr:blipFill>
      <xdr:spPr>
        <a:xfrm flipV="1">
          <a:off x="11107120" y="6917411"/>
          <a:ext cx="400372" cy="400372"/>
        </a:xfrm>
        <a:prstGeom prst="rect">
          <a:avLst/>
        </a:prstGeom>
      </xdr:spPr>
    </xdr:pic>
    <xdr:clientData/>
  </xdr:twoCellAnchor>
  <xdr:twoCellAnchor editAs="oneCell">
    <xdr:from>
      <xdr:col>11</xdr:col>
      <xdr:colOff>120254</xdr:colOff>
      <xdr:row>18</xdr:row>
      <xdr:rowOff>63141</xdr:rowOff>
    </xdr:from>
    <xdr:to>
      <xdr:col>11</xdr:col>
      <xdr:colOff>533544</xdr:colOff>
      <xdr:row>18</xdr:row>
      <xdr:rowOff>476145</xdr:rowOff>
    </xdr:to>
    <xdr:pic>
      <xdr:nvPicPr>
        <xdr:cNvPr id="57" name="Picture 56">
          <a:extLst>
            <a:ext uri="{FF2B5EF4-FFF2-40B4-BE49-F238E27FC236}">
              <a16:creationId xmlns:a16="http://schemas.microsoft.com/office/drawing/2014/main" id="{F16E852A-3B92-DF5F-4061-9E4D0CE2000F}"/>
            </a:ext>
          </a:extLst>
        </xdr:cNvPr>
        <xdr:cNvPicPr>
          <a:picLocks noChangeAspect="1"/>
        </xdr:cNvPicPr>
      </xdr:nvPicPr>
      <xdr:blipFill>
        <a:blip xmlns:r="http://schemas.openxmlformats.org/officeDocument/2006/relationships" r:embed="rId20"/>
        <a:stretch>
          <a:fillRect/>
        </a:stretch>
      </xdr:blipFill>
      <xdr:spPr>
        <a:xfrm>
          <a:off x="14682921" y="6633274"/>
          <a:ext cx="413290" cy="413004"/>
        </a:xfrm>
        <a:prstGeom prst="rect">
          <a:avLst/>
        </a:prstGeom>
      </xdr:spPr>
    </xdr:pic>
    <xdr:clientData/>
  </xdr:twoCellAnchor>
  <xdr:twoCellAnchor editAs="oneCell">
    <xdr:from>
      <xdr:col>11</xdr:col>
      <xdr:colOff>103323</xdr:colOff>
      <xdr:row>19</xdr:row>
      <xdr:rowOff>7747</xdr:rowOff>
    </xdr:from>
    <xdr:to>
      <xdr:col>11</xdr:col>
      <xdr:colOff>490781</xdr:colOff>
      <xdr:row>20</xdr:row>
      <xdr:rowOff>7748</xdr:rowOff>
    </xdr:to>
    <xdr:pic>
      <xdr:nvPicPr>
        <xdr:cNvPr id="58" name="Picture 57">
          <a:extLst>
            <a:ext uri="{FF2B5EF4-FFF2-40B4-BE49-F238E27FC236}">
              <a16:creationId xmlns:a16="http://schemas.microsoft.com/office/drawing/2014/main" id="{7030CDFA-0E5B-60F4-3B58-39A0FCB7E48B}"/>
            </a:ext>
          </a:extLst>
        </xdr:cNvPr>
        <xdr:cNvPicPr>
          <a:picLocks noChangeAspect="1"/>
        </xdr:cNvPicPr>
      </xdr:nvPicPr>
      <xdr:blipFill>
        <a:blip xmlns:r="http://schemas.openxmlformats.org/officeDocument/2006/relationships" r:embed="rId21"/>
        <a:stretch>
          <a:fillRect/>
        </a:stretch>
      </xdr:blipFill>
      <xdr:spPr>
        <a:xfrm>
          <a:off x="14542577" y="6504120"/>
          <a:ext cx="387458" cy="387458"/>
        </a:xfrm>
        <a:prstGeom prst="rect">
          <a:avLst/>
        </a:prstGeom>
      </xdr:spPr>
    </xdr:pic>
    <xdr:clientData/>
  </xdr:twoCellAnchor>
  <xdr:twoCellAnchor editAs="oneCell">
    <xdr:from>
      <xdr:col>11</xdr:col>
      <xdr:colOff>129151</xdr:colOff>
      <xdr:row>20</xdr:row>
      <xdr:rowOff>103319</xdr:rowOff>
    </xdr:from>
    <xdr:to>
      <xdr:col>11</xdr:col>
      <xdr:colOff>459782</xdr:colOff>
      <xdr:row>21</xdr:row>
      <xdr:rowOff>46493</xdr:rowOff>
    </xdr:to>
    <xdr:pic>
      <xdr:nvPicPr>
        <xdr:cNvPr id="59" name="Picture 58">
          <a:extLst>
            <a:ext uri="{FF2B5EF4-FFF2-40B4-BE49-F238E27FC236}">
              <a16:creationId xmlns:a16="http://schemas.microsoft.com/office/drawing/2014/main" id="{076A2F71-A01F-4EF6-5D13-0BCCB18329F3}"/>
            </a:ext>
          </a:extLst>
        </xdr:cNvPr>
        <xdr:cNvPicPr>
          <a:picLocks noChangeAspect="1"/>
        </xdr:cNvPicPr>
      </xdr:nvPicPr>
      <xdr:blipFill>
        <a:blip xmlns:r="http://schemas.openxmlformats.org/officeDocument/2006/relationships" r:embed="rId22"/>
        <a:stretch>
          <a:fillRect/>
        </a:stretch>
      </xdr:blipFill>
      <xdr:spPr>
        <a:xfrm>
          <a:off x="14568405" y="6987150"/>
          <a:ext cx="330631" cy="330631"/>
        </a:xfrm>
        <a:prstGeom prst="rect">
          <a:avLst/>
        </a:prstGeom>
      </xdr:spPr>
    </xdr:pic>
    <xdr:clientData/>
  </xdr:twoCellAnchor>
  <xdr:twoCellAnchor>
    <xdr:from>
      <xdr:col>13</xdr:col>
      <xdr:colOff>658679</xdr:colOff>
      <xdr:row>2</xdr:row>
      <xdr:rowOff>322882</xdr:rowOff>
    </xdr:from>
    <xdr:to>
      <xdr:col>18</xdr:col>
      <xdr:colOff>400373</xdr:colOff>
      <xdr:row>5</xdr:row>
      <xdr:rowOff>154983</xdr:rowOff>
    </xdr:to>
    <xdr:sp macro="" textlink="">
      <xdr:nvSpPr>
        <xdr:cNvPr id="61" name="TextBox 60">
          <a:extLst>
            <a:ext uri="{FF2B5EF4-FFF2-40B4-BE49-F238E27FC236}">
              <a16:creationId xmlns:a16="http://schemas.microsoft.com/office/drawing/2014/main" id="{0C69AC95-DCC0-9C47-F82B-5BF7A4051AFC}"/>
            </a:ext>
          </a:extLst>
        </xdr:cNvPr>
        <xdr:cNvSpPr txBox="1"/>
      </xdr:nvSpPr>
      <xdr:spPr>
        <a:xfrm>
          <a:off x="18404238" y="1175289"/>
          <a:ext cx="4649491" cy="736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tx1"/>
              </a:solidFill>
              <a:latin typeface="Rockwell Condensed" panose="02060603050405020104" pitchFamily="18" charset="0"/>
            </a:rPr>
            <a:t>OPEX  INVOICE HRS. PAID</a:t>
          </a:r>
        </a:p>
      </xdr:txBody>
    </xdr:sp>
    <xdr:clientData/>
  </xdr:twoCellAnchor>
  <xdr:twoCellAnchor>
    <xdr:from>
      <xdr:col>2</xdr:col>
      <xdr:colOff>598715</xdr:colOff>
      <xdr:row>23</xdr:row>
      <xdr:rowOff>25830</xdr:rowOff>
    </xdr:from>
    <xdr:to>
      <xdr:col>10</xdr:col>
      <xdr:colOff>1708727</xdr:colOff>
      <xdr:row>41</xdr:row>
      <xdr:rowOff>46181</xdr:rowOff>
    </xdr:to>
    <xdr:graphicFrame macro="">
      <xdr:nvGraphicFramePr>
        <xdr:cNvPr id="4" name="Chart 3">
          <a:extLst>
            <a:ext uri="{FF2B5EF4-FFF2-40B4-BE49-F238E27FC236}">
              <a16:creationId xmlns:a16="http://schemas.microsoft.com/office/drawing/2014/main" id="{F960B2E2-0177-47CE-BFCA-7BCC46401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450273</xdr:colOff>
      <xdr:row>21</xdr:row>
      <xdr:rowOff>294409</xdr:rowOff>
    </xdr:from>
    <xdr:to>
      <xdr:col>9</xdr:col>
      <xdr:colOff>848591</xdr:colOff>
      <xdr:row>24</xdr:row>
      <xdr:rowOff>51954</xdr:rowOff>
    </xdr:to>
    <xdr:sp macro="" textlink="">
      <xdr:nvSpPr>
        <xdr:cNvPr id="11" name="TextBox 10">
          <a:extLst>
            <a:ext uri="{FF2B5EF4-FFF2-40B4-BE49-F238E27FC236}">
              <a16:creationId xmlns:a16="http://schemas.microsoft.com/office/drawing/2014/main" id="{9AA67A07-E08E-824E-977F-5E077834ED9B}"/>
            </a:ext>
          </a:extLst>
        </xdr:cNvPr>
        <xdr:cNvSpPr txBox="1"/>
      </xdr:nvSpPr>
      <xdr:spPr>
        <a:xfrm>
          <a:off x="2389909" y="7446818"/>
          <a:ext cx="9334500"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2">
                  <a:lumMod val="50000"/>
                </a:schemeClr>
              </a:solidFill>
              <a:latin typeface="Rockwell Condensed" panose="02060603050405020104" pitchFamily="18" charset="0"/>
            </a:rPr>
            <a:t>ACTUAL WORKING HOURS VS INVOICE</a:t>
          </a:r>
        </a:p>
      </xdr:txBody>
    </xdr:sp>
    <xdr:clientData/>
  </xdr:twoCellAnchor>
  <xdr:twoCellAnchor>
    <xdr:from>
      <xdr:col>10</xdr:col>
      <xdr:colOff>1724527</xdr:colOff>
      <xdr:row>21</xdr:row>
      <xdr:rowOff>120316</xdr:rowOff>
    </xdr:from>
    <xdr:to>
      <xdr:col>16</xdr:col>
      <xdr:colOff>931333</xdr:colOff>
      <xdr:row>42</xdr:row>
      <xdr:rowOff>84667</xdr:rowOff>
    </xdr:to>
    <xdr:graphicFrame macro="">
      <xdr:nvGraphicFramePr>
        <xdr:cNvPr id="12" name="Chart 11">
          <a:extLst>
            <a:ext uri="{FF2B5EF4-FFF2-40B4-BE49-F238E27FC236}">
              <a16:creationId xmlns:a16="http://schemas.microsoft.com/office/drawing/2014/main" id="{655F7CE8-C241-444B-B699-8AC37DB0E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542312</xdr:colOff>
      <xdr:row>21</xdr:row>
      <xdr:rowOff>200526</xdr:rowOff>
    </xdr:from>
    <xdr:to>
      <xdr:col>18</xdr:col>
      <xdr:colOff>302126</xdr:colOff>
      <xdr:row>23</xdr:row>
      <xdr:rowOff>100263</xdr:rowOff>
    </xdr:to>
    <xdr:sp macro="" textlink="">
      <xdr:nvSpPr>
        <xdr:cNvPr id="13" name="TextBox 12">
          <a:extLst>
            <a:ext uri="{FF2B5EF4-FFF2-40B4-BE49-F238E27FC236}">
              <a16:creationId xmlns:a16="http://schemas.microsoft.com/office/drawing/2014/main" id="{9DD7F536-948B-FA31-560E-8B7BC16F72DB}"/>
            </a:ext>
          </a:extLst>
        </xdr:cNvPr>
        <xdr:cNvSpPr txBox="1"/>
      </xdr:nvSpPr>
      <xdr:spPr>
        <a:xfrm>
          <a:off x="15104979" y="7447993"/>
          <a:ext cx="10563280" cy="56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2">
                  <a:lumMod val="50000"/>
                </a:schemeClr>
              </a:solidFill>
              <a:latin typeface="Rockwell Condensed" panose="02060603050405020104" pitchFamily="18" charset="0"/>
            </a:rPr>
            <a:t>MONTHLY EXPENSE</a:t>
          </a:r>
        </a:p>
      </xdr:txBody>
    </xdr:sp>
    <xdr:clientData/>
  </xdr:twoCellAnchor>
  <xdr:twoCellAnchor>
    <xdr:from>
      <xdr:col>12</xdr:col>
      <xdr:colOff>77044</xdr:colOff>
      <xdr:row>7</xdr:row>
      <xdr:rowOff>169332</xdr:rowOff>
    </xdr:from>
    <xdr:to>
      <xdr:col>15</xdr:col>
      <xdr:colOff>237066</xdr:colOff>
      <xdr:row>17</xdr:row>
      <xdr:rowOff>355600</xdr:rowOff>
    </xdr:to>
    <xdr:graphicFrame macro="">
      <xdr:nvGraphicFramePr>
        <xdr:cNvPr id="25" name="Chart 24">
          <a:extLst>
            <a:ext uri="{FF2B5EF4-FFF2-40B4-BE49-F238E27FC236}">
              <a16:creationId xmlns:a16="http://schemas.microsoft.com/office/drawing/2014/main" id="{47D71F82-9F22-400C-9359-39E7FD812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609599</xdr:colOff>
      <xdr:row>12</xdr:row>
      <xdr:rowOff>-1</xdr:rowOff>
    </xdr:from>
    <xdr:to>
      <xdr:col>14</xdr:col>
      <xdr:colOff>829732</xdr:colOff>
      <xdr:row>14</xdr:row>
      <xdr:rowOff>220133</xdr:rowOff>
    </xdr:to>
    <xdr:sp macro="" textlink="">
      <xdr:nvSpPr>
        <xdr:cNvPr id="26" name="TextBox 25">
          <a:extLst>
            <a:ext uri="{FF2B5EF4-FFF2-40B4-BE49-F238E27FC236}">
              <a16:creationId xmlns:a16="http://schemas.microsoft.com/office/drawing/2014/main" id="{D5C03B9B-9E1A-BC95-ABE2-666F30BC890B}"/>
            </a:ext>
          </a:extLst>
        </xdr:cNvPr>
        <xdr:cNvSpPr txBox="1"/>
      </xdr:nvSpPr>
      <xdr:spPr>
        <a:xfrm>
          <a:off x="19185466" y="4250266"/>
          <a:ext cx="1896533"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latin typeface="Rockwell Condensed" panose="02060603050405020104" pitchFamily="18" charset="0"/>
            </a:rPr>
            <a:t>PAID VS UNPAID</a:t>
          </a:r>
        </a:p>
      </xdr:txBody>
    </xdr:sp>
    <xdr:clientData/>
  </xdr:twoCellAnchor>
  <xdr:twoCellAnchor editAs="oneCell">
    <xdr:from>
      <xdr:col>13</xdr:col>
      <xdr:colOff>999411</xdr:colOff>
      <xdr:row>12</xdr:row>
      <xdr:rowOff>279228</xdr:rowOff>
    </xdr:from>
    <xdr:to>
      <xdr:col>14</xdr:col>
      <xdr:colOff>339010</xdr:colOff>
      <xdr:row>15</xdr:row>
      <xdr:rowOff>329336</xdr:rowOff>
    </xdr:to>
    <xdr:pic>
      <xdr:nvPicPr>
        <xdr:cNvPr id="28" name="Graphic 27" descr="Money with solid fill">
          <a:extLst>
            <a:ext uri="{FF2B5EF4-FFF2-40B4-BE49-F238E27FC236}">
              <a16:creationId xmlns:a16="http://schemas.microsoft.com/office/drawing/2014/main" id="{0412D575-1BC2-D5B8-9D6A-5D434C981491}"/>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9551778" y="4478004"/>
          <a:ext cx="1019110" cy="998720"/>
        </a:xfrm>
        <a:prstGeom prst="rect">
          <a:avLst/>
        </a:prstGeom>
      </xdr:spPr>
    </xdr:pic>
    <xdr:clientData/>
  </xdr:twoCellAnchor>
  <xdr:twoCellAnchor>
    <xdr:from>
      <xdr:col>14</xdr:col>
      <xdr:colOff>1354666</xdr:colOff>
      <xdr:row>15</xdr:row>
      <xdr:rowOff>67732</xdr:rowOff>
    </xdr:from>
    <xdr:to>
      <xdr:col>15</xdr:col>
      <xdr:colOff>186268</xdr:colOff>
      <xdr:row>16</xdr:row>
      <xdr:rowOff>287865</xdr:rowOff>
    </xdr:to>
    <xdr:sp macro="" textlink="">
      <xdr:nvSpPr>
        <xdr:cNvPr id="33" name="TextBox 32">
          <a:extLst>
            <a:ext uri="{FF2B5EF4-FFF2-40B4-BE49-F238E27FC236}">
              <a16:creationId xmlns:a16="http://schemas.microsoft.com/office/drawing/2014/main" id="{D15A3FAD-E212-E906-22C6-AE83D20E0ED6}"/>
            </a:ext>
          </a:extLst>
        </xdr:cNvPr>
        <xdr:cNvSpPr txBox="1"/>
      </xdr:nvSpPr>
      <xdr:spPr>
        <a:xfrm>
          <a:off x="21606933" y="5283199"/>
          <a:ext cx="1066802"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chemeClr val="accent4">
                  <a:lumMod val="75000"/>
                </a:schemeClr>
              </a:solidFill>
              <a:latin typeface="Rockwell Condensed" panose="02060603050405020104" pitchFamily="18" charset="0"/>
            </a:rPr>
            <a:t>PAID </a:t>
          </a:r>
        </a:p>
      </xdr:txBody>
    </xdr:sp>
    <xdr:clientData/>
  </xdr:twoCellAnchor>
  <xdr:oneCellAnchor>
    <xdr:from>
      <xdr:col>15</xdr:col>
      <xdr:colOff>1794934</xdr:colOff>
      <xdr:row>8</xdr:row>
      <xdr:rowOff>203200</xdr:rowOff>
    </xdr:from>
    <xdr:ext cx="184731" cy="264560"/>
    <xdr:sp macro="" textlink="">
      <xdr:nvSpPr>
        <xdr:cNvPr id="37" name="TextBox 36">
          <a:extLst>
            <a:ext uri="{FF2B5EF4-FFF2-40B4-BE49-F238E27FC236}">
              <a16:creationId xmlns:a16="http://schemas.microsoft.com/office/drawing/2014/main" id="{843927AE-B4E4-5E3F-48E5-1227482106DF}"/>
            </a:ext>
          </a:extLst>
        </xdr:cNvPr>
        <xdr:cNvSpPr txBox="1"/>
      </xdr:nvSpPr>
      <xdr:spPr>
        <a:xfrm>
          <a:off x="22893867" y="279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12</xdr:col>
      <xdr:colOff>304799</xdr:colOff>
      <xdr:row>15</xdr:row>
      <xdr:rowOff>67733</xdr:rowOff>
    </xdr:from>
    <xdr:to>
      <xdr:col>13</xdr:col>
      <xdr:colOff>880532</xdr:colOff>
      <xdr:row>17</xdr:row>
      <xdr:rowOff>203200</xdr:rowOff>
    </xdr:to>
    <xdr:sp macro="" textlink="">
      <xdr:nvSpPr>
        <xdr:cNvPr id="41" name="TextBox 40">
          <a:extLst>
            <a:ext uri="{FF2B5EF4-FFF2-40B4-BE49-F238E27FC236}">
              <a16:creationId xmlns:a16="http://schemas.microsoft.com/office/drawing/2014/main" id="{D41C89E9-697E-4B42-9EBC-4729ED40B315}"/>
            </a:ext>
          </a:extLst>
        </xdr:cNvPr>
        <xdr:cNvSpPr txBox="1"/>
      </xdr:nvSpPr>
      <xdr:spPr>
        <a:xfrm>
          <a:off x="17204266" y="5283200"/>
          <a:ext cx="2252133"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chemeClr val="bg2">
                  <a:lumMod val="50000"/>
                </a:schemeClr>
              </a:solidFill>
              <a:latin typeface="Rockwell Condensed" panose="02060603050405020104" pitchFamily="18" charset="0"/>
            </a:rPr>
            <a:t>UNPAID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Vivobook" refreshedDate="45151.836928935183" createdVersion="8" refreshedVersion="8" minRefreshableVersion="3" recordCount="21" xr:uid="{A46DC1FA-B562-4764-91FD-93F04A4289CB}">
  <cacheSource type="worksheet">
    <worksheetSource ref="A1:BK22" sheet="Database"/>
  </cacheSource>
  <cacheFields count="63">
    <cacheField name="Staff ID " numFmtId="0">
      <sharedItems containsSemiMixedTypes="0" containsString="0" containsNumber="1" containsInteger="1" minValue="1" maxValue="22"/>
    </cacheField>
    <cacheField name="Name" numFmtId="0">
      <sharedItems count="21">
        <s v="Tamer Hemadi"/>
        <s v="Loai Fahad "/>
        <s v="Kazim Ali"/>
        <s v="Lakaza Depale"/>
        <s v="Hossam khalil"/>
        <s v="Mohamed Ashraf"/>
        <s v=" Gorgi Nachef"/>
        <s v="Ahmed Darwich"/>
        <s v="Anas Essa "/>
        <s v="Kamel Usman"/>
        <s v="Kamal Abougazar "/>
        <s v="Zozi Khaled "/>
        <s v="Jak Kaddisse"/>
        <s v="Hisham Abbas"/>
        <s v="Georges Sidhom"/>
        <s v="Kon  Ali"/>
        <s v="John Fayaz"/>
        <s v="Saahil Jaki"/>
        <s v="Abbas Nimri"/>
        <s v="Lola Abdullah"/>
        <s v="Abdul Aziz Alkaabi"/>
      </sharedItems>
    </cacheField>
    <cacheField name="Position " numFmtId="0">
      <sharedItems count="3">
        <s v=" Sr. Cameraman"/>
        <s v="Assistant "/>
        <s v="Coordinator"/>
      </sharedItems>
    </cacheField>
    <cacheField name="Nationality" numFmtId="0">
      <sharedItems count="9">
        <s v="Lebanese"/>
        <s v="Tunisia"/>
        <s v="United Kingdom"/>
        <s v="Egyptian"/>
        <s v="Jordanian"/>
        <s v="Pakistani"/>
        <s v="Palestinian"/>
        <s v="Iranian"/>
        <s v="Indian"/>
      </sharedItems>
    </cacheField>
    <cacheField name="Gender" numFmtId="0">
      <sharedItems count="2">
        <s v="Female"/>
        <s v="Male"/>
      </sharedItems>
    </cacheField>
    <cacheField name="Section" numFmtId="0">
      <sharedItems/>
    </cacheField>
    <cacheField name="Department" numFmtId="0">
      <sharedItems/>
    </cacheField>
    <cacheField name="Per-Hourly Rate " numFmtId="164">
      <sharedItems containsSemiMixedTypes="0" containsString="0" containsNumber="1" containsInteger="1" minValue="50" maxValue="110"/>
    </cacheField>
    <cacheField name="Per-200 Hrs. Rate " numFmtId="164">
      <sharedItems containsSemiMixedTypes="0" containsString="0" containsNumber="1" containsInteger="1" minValue="10000" maxValue="22000"/>
    </cacheField>
    <cacheField name="Start" numFmtId="165">
      <sharedItems containsSemiMixedTypes="0" containsNonDate="0" containsDate="1" containsString="0" minDate="2020-01-01T00:00:00" maxDate="2020-01-02T00:00:00"/>
    </cacheField>
    <cacheField name="End" numFmtId="165">
      <sharedItems containsSemiMixedTypes="0" containsNonDate="0" containsDate="1" containsString="0" minDate="2020-01-31T00:00:00" maxDate="2020-07-01T00:00:00"/>
    </cacheField>
    <cacheField name="Hourly Rate 2" numFmtId="164">
      <sharedItems containsSemiMixedTypes="0" containsString="0" containsNumber="1" minValue="47.5" maxValue="99"/>
    </cacheField>
    <cacheField name="200 Hrs. Rate 2" numFmtId="164">
      <sharedItems containsSemiMixedTypes="0" containsString="0" containsNumber="1" containsInteger="1" minValue="9500" maxValue="19800"/>
    </cacheField>
    <cacheField name="Start2" numFmtId="165">
      <sharedItems containsSemiMixedTypes="0" containsNonDate="0" containsDate="1" containsString="0" minDate="1899-12-30T00:00:00" maxDate="2020-07-02T00:00:00"/>
    </cacheField>
    <cacheField name="End2" numFmtId="165">
      <sharedItems containsSemiMixedTypes="0" containsNonDate="0" containsDate="1" containsString="0" minDate="1899-12-30T00:00:00" maxDate="2021-01-01T00:00:00"/>
    </cacheField>
    <cacheField name="Salary (QAR) - 5% &amp; 10% reduction" numFmtId="9">
      <sharedItems containsSemiMixedTypes="0" containsString="0" containsNumber="1" minValue="0.05" maxValue="0.1"/>
    </cacheField>
    <cacheField name="Total Budget Allocated " numFmtId="164">
      <sharedItems containsSemiMixedTypes="0" containsString="0" containsNumber="1" containsInteger="1" minValue="100" maxValue="259600" count="7">
        <n v="177000"/>
        <n v="259600"/>
        <n v="236000"/>
        <n v="188800"/>
        <n v="124000"/>
        <n v="200600"/>
        <n v="100"/>
      </sharedItems>
    </cacheField>
    <cacheField name="Invoice January" numFmtId="0">
      <sharedItems containsSemiMixedTypes="0" containsString="0" containsNumber="1" containsInteger="1" minValue="0" maxValue="240" count="12">
        <n v="0"/>
        <n v="176"/>
        <n v="224"/>
        <n v="240"/>
        <n v="88"/>
        <n v="140"/>
        <n v="172"/>
        <n v="128"/>
        <n v="90"/>
        <n v="107"/>
        <n v="72"/>
        <n v="64"/>
      </sharedItems>
    </cacheField>
    <cacheField name="Actual January" numFmtId="0">
      <sharedItems containsSemiMixedTypes="0" containsString="0" containsNumber="1" minValue="67.5" maxValue="230"/>
    </cacheField>
    <cacheField name="Jan Final Amount" numFmtId="166">
      <sharedItems containsSemiMixedTypes="0" containsString="0" containsNumber="1" minValue="3700" maxValue="25300"/>
    </cacheField>
    <cacheField name="Invoice February" numFmtId="0">
      <sharedItems containsSemiMixedTypes="0" containsString="0" containsNumber="1" containsInteger="1" minValue="177" maxValue="300"/>
    </cacheField>
    <cacheField name="Actual February" numFmtId="0">
      <sharedItems containsSemiMixedTypes="0" containsString="0" containsNumber="1" minValue="184" maxValue="300"/>
    </cacheField>
    <cacheField name="Feb Final Amount" numFmtId="166">
      <sharedItems containsSemiMixedTypes="0" containsString="0" containsNumber="1" minValue="10600" maxValue="31900"/>
    </cacheField>
    <cacheField name="Invoice March" numFmtId="0">
      <sharedItems containsSemiMixedTypes="0" containsString="0" containsNumber="1" containsInteger="1" minValue="200" maxValue="312"/>
    </cacheField>
    <cacheField name="Actual March" numFmtId="0">
      <sharedItems containsSemiMixedTypes="0" containsString="0" containsNumber="1" minValue="164" maxValue="295.5"/>
    </cacheField>
    <cacheField name="Mar Final Amount" numFmtId="166">
      <sharedItems containsSemiMixedTypes="0" containsString="0" containsNumber="1" minValue="9675" maxValue="32505"/>
    </cacheField>
    <cacheField name="Invoice April" numFmtId="0">
      <sharedItems containsSemiMixedTypes="0" containsString="0" containsNumber="1" containsInteger="1" minValue="200" maxValue="340"/>
    </cacheField>
    <cacheField name="Actual April" numFmtId="0">
      <sharedItems containsSemiMixedTypes="0" containsString="0" containsNumber="1" minValue="164.5" maxValue="286.5"/>
    </cacheField>
    <cacheField name="Apr Final Amount" numFmtId="166">
      <sharedItems containsSemiMixedTypes="0" containsString="0" containsNumber="1" minValue="5750" maxValue="29700"/>
    </cacheField>
    <cacheField name="Invoice May" numFmtId="0">
      <sharedItems containsSemiMixedTypes="0" containsString="0" containsNumber="1" containsInteger="1" minValue="168" maxValue="336"/>
    </cacheField>
    <cacheField name="Actual May" numFmtId="0">
      <sharedItems containsSemiMixedTypes="0" containsString="0" containsNumber="1" minValue="95" maxValue="308"/>
    </cacheField>
    <cacheField name="May Final Amount" numFmtId="166">
      <sharedItems containsSemiMixedTypes="0" containsString="0" containsNumber="1" minValue="4875" maxValue="27995"/>
    </cacheField>
    <cacheField name="Invoice June" numFmtId="0">
      <sharedItems containsSemiMixedTypes="0" containsString="0" containsNumber="1" containsInteger="1" minValue="200" maxValue="300"/>
    </cacheField>
    <cacheField name="Actual June" numFmtId="0">
      <sharedItems containsSemiMixedTypes="0" containsString="0" containsNumber="1" minValue="178" maxValue="278"/>
    </cacheField>
    <cacheField name="Jun Final Amount" numFmtId="166">
      <sharedItems containsSemiMixedTypes="0" containsString="0" containsNumber="1" minValue="7725" maxValue="27500"/>
    </cacheField>
    <cacheField name="Invoice July" numFmtId="0">
      <sharedItems containsSemiMixedTypes="0" containsString="0" containsNumber="1" containsInteger="1" minValue="100" maxValue="100"/>
    </cacheField>
    <cacheField name="Actual July" numFmtId="0">
      <sharedItems containsSemiMixedTypes="0" containsString="0" containsNumber="1" containsInteger="1" minValue="88" maxValue="88"/>
    </cacheField>
    <cacheField name="Jul Final Amount" numFmtId="166">
      <sharedItems containsSemiMixedTypes="0" containsString="0" containsNumber="1" minValue="3760" maxValue="10700"/>
    </cacheField>
    <cacheField name="Invoice August" numFmtId="0">
      <sharedItems containsSemiMixedTypes="0" containsString="0" containsNumber="1" minValue="22" maxValue="234.1"/>
    </cacheField>
    <cacheField name="Actual August" numFmtId="0">
      <sharedItems containsSemiMixedTypes="0" containsString="0" containsNumber="1" minValue="19" maxValue="224.5"/>
    </cacheField>
    <cacheField name="Aug Final Amount" numFmtId="166">
      <sharedItems containsSemiMixedTypes="0" containsString="0" containsNumber="1" minValue="350" maxValue="21250"/>
    </cacheField>
    <cacheField name="Invoice September" numFmtId="0">
      <sharedItems containsSemiMixedTypes="0" containsString="0" containsNumber="1" containsInteger="1" minValue="0" maxValue="0"/>
    </cacheField>
    <cacheField name="Actual September" numFmtId="0">
      <sharedItems containsSemiMixedTypes="0" containsString="0" containsNumber="1" containsInteger="1" minValue="0" maxValue="0"/>
    </cacheField>
    <cacheField name="Sep Final Amount" numFmtId="3">
      <sharedItems containsSemiMixedTypes="0" containsString="0" containsNumber="1" minValue="-1167.9999999999995" maxValue="2450"/>
    </cacheField>
    <cacheField name="Invoice October" numFmtId="0">
      <sharedItems containsSemiMixedTypes="0" containsString="0" containsNumber="1" containsInteger="1" minValue="0" maxValue="0"/>
    </cacheField>
    <cacheField name="Actual October" numFmtId="0">
      <sharedItems containsSemiMixedTypes="0" containsString="0" containsNumber="1" containsInteger="1" minValue="0" maxValue="0"/>
    </cacheField>
    <cacheField name="Oct Final Amount" numFmtId="166">
      <sharedItems containsSemiMixedTypes="0" containsString="0" containsNumber="1" containsInteger="1" minValue="0" maxValue="0"/>
    </cacheField>
    <cacheField name="Invoice November" numFmtId="0">
      <sharedItems containsSemiMixedTypes="0" containsString="0" containsNumber="1" containsInteger="1" minValue="0" maxValue="0"/>
    </cacheField>
    <cacheField name="Actual November" numFmtId="0">
      <sharedItems containsSemiMixedTypes="0" containsString="0" containsNumber="1" containsInteger="1" minValue="0" maxValue="0"/>
    </cacheField>
    <cacheField name="Nov Final Amount" numFmtId="166">
      <sharedItems containsSemiMixedTypes="0" containsString="0" containsNumber="1" containsInteger="1" minValue="0" maxValue="0"/>
    </cacheField>
    <cacheField name="Invoice December" numFmtId="0">
      <sharedItems containsSemiMixedTypes="0" containsString="0" containsNumber="1" containsInteger="1" minValue="0" maxValue="0"/>
    </cacheField>
    <cacheField name="Actual December" numFmtId="0">
      <sharedItems containsSemiMixedTypes="0" containsString="0" containsNumber="1" containsInteger="1" minValue="0" maxValue="0"/>
    </cacheField>
    <cacheField name="Dec Final Amount" numFmtId="166">
      <sharedItems containsSemiMixedTypes="0" containsString="0" containsNumber="1" containsInteger="1" minValue="0" maxValue="0"/>
    </cacheField>
    <cacheField name="Total Agreed Hrs." numFmtId="0">
      <sharedItems containsSemiMixedTypes="0" containsString="0" containsNumber="1" minValue="1194" maxValue="1950"/>
    </cacheField>
    <cacheField name="Actual Hours " numFmtId="1">
      <sharedItems containsSemiMixedTypes="0" containsString="0" containsNumber="1" minValue="1200" maxValue="1893"/>
    </cacheField>
    <cacheField name="Actual Working Hrs. Amount" numFmtId="166">
      <sharedItems containsSemiMixedTypes="0" containsString="0" containsNumber="1" minValue="60650" maxValue="208230"/>
    </cacheField>
    <cacheField name="Missing Hours" numFmtId="1">
      <sharedItems containsMixedTypes="1" containsNumber="1" minValue="-87" maxValue="-9.0999999999999091"/>
    </cacheField>
    <cacheField name="Missing Amount" numFmtId="1">
      <sharedItems containsMixedTypes="1" containsNumber="1" minValue="-6525" maxValue="-727.99999999999272"/>
    </cacheField>
    <cacheField name=" Extra Hours" numFmtId="1">
      <sharedItems containsMixedTypes="1" containsNumber="1" minValue="16" maxValue="242.25"/>
    </cacheField>
    <cacheField name=" Extra Hours Amount" numFmtId="1">
      <sharedItems containsMixedTypes="1" containsNumber="1" minValue="1200" maxValue="21000"/>
    </cacheField>
    <cacheField name="Percentage Difference in Working Hrs." numFmtId="9">
      <sharedItems containsSemiMixedTypes="0" containsString="0" containsNumber="1" minValue="-6.4635958395245177E-2" maxValue="0.17747252747252748"/>
    </cacheField>
    <cacheField name="OPEX Invoice Hrs. Paid" numFmtId="164">
      <sharedItems containsSemiMixedTypes="0" containsString="0" containsNumber="1" minValue="61750" maxValue="214500"/>
    </cacheField>
    <cacheField name="The Remainder Of the Budget" numFmtId="0">
      <sharedItems containsSemiMixedTypes="0" containsString="0" containsNumber="1" minValue="-1044.95" maxValue="0.50201612903225812"/>
    </cacheField>
  </cacheFields>
  <extLst>
    <ext xmlns:x14="http://schemas.microsoft.com/office/spreadsheetml/2009/9/main" uri="{725AE2AE-9491-48be-B2B4-4EB974FC3084}">
      <x14:pivotCacheDefinition pivotCacheId="265118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x v="0"/>
    <x v="0"/>
    <x v="0"/>
    <s v="Section"/>
    <s v="Department"/>
    <n v="75"/>
    <n v="15000"/>
    <d v="2020-01-01T00:00:00"/>
    <d v="2020-06-30T00:00:00"/>
    <n v="67.5"/>
    <n v="13500"/>
    <d v="2020-07-01T00:00:00"/>
    <d v="2020-12-31T00:00:00"/>
    <n v="0.1"/>
    <x v="0"/>
    <x v="0"/>
    <n v="76"/>
    <n v="5700"/>
    <n v="200"/>
    <n v="200"/>
    <n v="20700"/>
    <n v="250"/>
    <n v="196"/>
    <n v="14700"/>
    <n v="208"/>
    <n v="225"/>
    <n v="12825"/>
    <n v="208"/>
    <n v="270"/>
    <n v="21525"/>
    <n v="211"/>
    <n v="212"/>
    <n v="20550"/>
    <n v="100"/>
    <n v="88"/>
    <n v="6675"/>
    <n v="220.9"/>
    <n v="218.5"/>
    <n v="15487.5"/>
    <n v="0"/>
    <n v="0"/>
    <n v="-180.00000000000043"/>
    <n v="0"/>
    <n v="0"/>
    <n v="0"/>
    <n v="0"/>
    <n v="0"/>
    <n v="0"/>
    <n v="0"/>
    <n v="0"/>
    <n v="0"/>
    <n v="1397.9"/>
    <n v="1573.5"/>
    <n v="118012.5"/>
    <s v=""/>
    <s v=""/>
    <n v="175.59999999999991"/>
    <n v="13169.999999999993"/>
    <n v="0.12561699692395728"/>
    <n v="104842.5"/>
    <n v="0.40766949152542376"/>
  </r>
  <r>
    <n v="2"/>
    <x v="1"/>
    <x v="0"/>
    <x v="1"/>
    <x v="1"/>
    <s v="Section"/>
    <s v="Department"/>
    <n v="75"/>
    <n v="15000"/>
    <d v="2020-01-01T00:00:00"/>
    <d v="2020-06-30T00:00:00"/>
    <n v="67.5"/>
    <n v="13500"/>
    <d v="2020-07-01T00:00:00"/>
    <d v="2020-12-31T00:00:00"/>
    <n v="0.1"/>
    <x v="0"/>
    <x v="1"/>
    <n v="170"/>
    <n v="12750"/>
    <n v="200"/>
    <n v="194"/>
    <n v="14100"/>
    <n v="208"/>
    <n v="208"/>
    <n v="15150"/>
    <n v="208"/>
    <n v="200.5"/>
    <n v="15037.5"/>
    <n v="248"/>
    <n v="226.5"/>
    <n v="16425"/>
    <n v="200"/>
    <n v="184"/>
    <n v="12187.5"/>
    <n v="100"/>
    <n v="88"/>
    <n v="5400"/>
    <n v="22"/>
    <n v="19"/>
    <n v="525"/>
    <n v="0"/>
    <n v="0"/>
    <n v="-225"/>
    <n v="0"/>
    <n v="0"/>
    <n v="0"/>
    <n v="0"/>
    <n v="0"/>
    <n v="0"/>
    <n v="0"/>
    <n v="0"/>
    <n v="0"/>
    <n v="1362"/>
    <n v="1378"/>
    <n v="103350"/>
    <s v=""/>
    <s v=""/>
    <n v="16"/>
    <n v="1200"/>
    <n v="1.1747430249632892E-2"/>
    <n v="102150"/>
    <n v="0.42288135593220338"/>
  </r>
  <r>
    <n v="3"/>
    <x v="2"/>
    <x v="0"/>
    <x v="1"/>
    <x v="0"/>
    <s v="Section"/>
    <s v="Department"/>
    <n v="75"/>
    <n v="15000"/>
    <d v="2020-01-01T00:00:00"/>
    <d v="2020-06-30T00:00:00"/>
    <n v="67.5"/>
    <n v="13500"/>
    <d v="2020-07-01T00:00:00"/>
    <d v="2020-12-31T00:00:00"/>
    <n v="0.1"/>
    <x v="0"/>
    <x v="2"/>
    <n v="225"/>
    <n v="16875"/>
    <n v="200"/>
    <n v="202"/>
    <n v="15225"/>
    <n v="200"/>
    <n v="164"/>
    <n v="12450"/>
    <n v="200"/>
    <n v="170"/>
    <n v="10050"/>
    <n v="200"/>
    <n v="95"/>
    <n v="4875"/>
    <n v="200"/>
    <n v="208"/>
    <n v="7725"/>
    <n v="100"/>
    <n v="88"/>
    <n v="7200"/>
    <n v="22"/>
    <n v="19"/>
    <n v="525"/>
    <n v="0"/>
    <n v="0"/>
    <n v="-225"/>
    <n v="0"/>
    <n v="0"/>
    <n v="0"/>
    <n v="0"/>
    <n v="0"/>
    <n v="0"/>
    <n v="0"/>
    <n v="0"/>
    <n v="0"/>
    <n v="1346"/>
    <n v="1259"/>
    <n v="94425"/>
    <n v="-87"/>
    <n v="-6525"/>
    <s v=""/>
    <s v=""/>
    <n v="-6.4635958395245177E-2"/>
    <n v="100950"/>
    <n v="0.42966101694915254"/>
  </r>
  <r>
    <n v="4"/>
    <x v="3"/>
    <x v="0"/>
    <x v="2"/>
    <x v="1"/>
    <s v="Section"/>
    <s v="Department"/>
    <n v="110"/>
    <n v="22000"/>
    <d v="2020-01-01T00:00:00"/>
    <d v="2020-06-30T00:00:00"/>
    <n v="99"/>
    <n v="19800"/>
    <d v="2020-07-01T00:00:00"/>
    <d v="2020-12-31T00:00:00"/>
    <n v="0.1"/>
    <x v="1"/>
    <x v="3"/>
    <n v="230"/>
    <n v="25300"/>
    <n v="300"/>
    <n v="300"/>
    <n v="31900"/>
    <n v="312"/>
    <n v="295.5"/>
    <n v="32505"/>
    <n v="340"/>
    <n v="286.5"/>
    <n v="29700"/>
    <n v="336"/>
    <n v="308"/>
    <n v="27995"/>
    <n v="300"/>
    <n v="278"/>
    <n v="27500"/>
    <n v="100"/>
    <n v="88"/>
    <n v="7260"/>
    <n v="22"/>
    <n v="19"/>
    <n v="770"/>
    <n v="0"/>
    <n v="0"/>
    <n v="-330"/>
    <n v="0"/>
    <n v="0"/>
    <n v="0"/>
    <n v="0"/>
    <n v="0"/>
    <n v="0"/>
    <n v="0"/>
    <n v="0"/>
    <n v="0"/>
    <n v="1950"/>
    <n v="1893"/>
    <n v="208230"/>
    <n v="-57"/>
    <n v="-6270"/>
    <s v=""/>
    <s v=""/>
    <n v="-2.923076923076923E-2"/>
    <n v="214500"/>
    <n v="0.17372881355932204"/>
  </r>
  <r>
    <n v="5"/>
    <x v="4"/>
    <x v="0"/>
    <x v="3"/>
    <x v="1"/>
    <s v="Section"/>
    <s v="Department"/>
    <n v="100"/>
    <n v="20000"/>
    <d v="2020-01-01T00:00:00"/>
    <d v="2020-06-30T00:00:00"/>
    <n v="90"/>
    <n v="18000"/>
    <d v="2020-07-01T00:00:00"/>
    <d v="2020-12-31T00:00:00"/>
    <n v="0.1"/>
    <x v="2"/>
    <x v="4"/>
    <n v="84"/>
    <n v="8400"/>
    <n v="200"/>
    <n v="199"/>
    <n v="19500"/>
    <n v="216"/>
    <n v="203"/>
    <n v="20200"/>
    <n v="208"/>
    <n v="203.5"/>
    <n v="19050"/>
    <n v="208"/>
    <n v="197.5"/>
    <n v="19300"/>
    <n v="200"/>
    <n v="201.5"/>
    <n v="19100"/>
    <n v="100"/>
    <n v="88"/>
    <n v="8950"/>
    <n v="22"/>
    <n v="19"/>
    <n v="700"/>
    <n v="0"/>
    <n v="0"/>
    <n v="-300"/>
    <n v="0"/>
    <n v="0"/>
    <n v="0"/>
    <n v="0"/>
    <n v="0"/>
    <n v="0"/>
    <n v="0"/>
    <n v="0"/>
    <n v="0"/>
    <n v="1242"/>
    <n v="1283.5"/>
    <n v="128350"/>
    <s v=""/>
    <s v=""/>
    <n v="41.5"/>
    <n v="4150"/>
    <n v="3.3413848631239938E-2"/>
    <n v="124200"/>
    <n v="0.47372881355932206"/>
  </r>
  <r>
    <n v="6"/>
    <x v="5"/>
    <x v="0"/>
    <x v="3"/>
    <x v="0"/>
    <s v="Section"/>
    <s v="Department"/>
    <n v="100"/>
    <n v="20000"/>
    <d v="2020-01-01T00:00:00"/>
    <d v="2020-06-30T00:00:00"/>
    <n v="90"/>
    <n v="18000"/>
    <d v="2020-07-01T00:00:00"/>
    <d v="2020-12-31T00:00:00"/>
    <n v="0.1"/>
    <x v="2"/>
    <x v="5"/>
    <n v="139"/>
    <n v="13900"/>
    <n v="200"/>
    <n v="212"/>
    <n v="21100"/>
    <n v="238"/>
    <n v="188"/>
    <n v="20000"/>
    <n v="208"/>
    <n v="208.5"/>
    <n v="15850"/>
    <n v="208"/>
    <n v="216"/>
    <n v="21650"/>
    <n v="216"/>
    <n v="209"/>
    <n v="21700"/>
    <n v="100"/>
    <n v="88"/>
    <n v="8100"/>
    <n v="200"/>
    <n v="213"/>
    <n v="20100"/>
    <n v="0"/>
    <n v="0"/>
    <n v="1300"/>
    <n v="0"/>
    <n v="0"/>
    <n v="0"/>
    <n v="0"/>
    <n v="0"/>
    <n v="0"/>
    <n v="0"/>
    <n v="0"/>
    <n v="0"/>
    <n v="1510"/>
    <n v="1561.5"/>
    <n v="156150"/>
    <s v=""/>
    <s v=""/>
    <n v="51.5"/>
    <n v="5150"/>
    <n v="3.4105960264900662E-2"/>
    <n v="151000"/>
    <n v="0.36016949152542371"/>
  </r>
  <r>
    <n v="7"/>
    <x v="6"/>
    <x v="0"/>
    <x v="2"/>
    <x v="1"/>
    <s v="Section"/>
    <s v="Department"/>
    <n v="75"/>
    <n v="15000"/>
    <d v="2020-01-01T00:00:00"/>
    <d v="2020-06-30T00:00:00"/>
    <n v="67.5"/>
    <n v="13500"/>
    <d v="2020-07-01T00:00:00"/>
    <d v="2020-12-31T00:00:00"/>
    <n v="0.1"/>
    <x v="0"/>
    <x v="6"/>
    <n v="171.5"/>
    <n v="12862.5"/>
    <n v="228"/>
    <n v="231.5"/>
    <n v="17325"/>
    <n v="230"/>
    <n v="187"/>
    <n v="14287.5"/>
    <n v="200"/>
    <n v="179"/>
    <n v="10200"/>
    <n v="200"/>
    <n v="161.5"/>
    <n v="10537.5"/>
    <n v="208"/>
    <n v="206"/>
    <n v="12562.5"/>
    <n v="100"/>
    <n v="88"/>
    <n v="6450"/>
    <n v="22"/>
    <n v="19"/>
    <n v="525"/>
    <n v="0"/>
    <n v="0"/>
    <n v="-225"/>
    <n v="0"/>
    <n v="0"/>
    <n v="0"/>
    <n v="0"/>
    <n v="0"/>
    <n v="0"/>
    <n v="0"/>
    <n v="0"/>
    <n v="0"/>
    <n v="1360"/>
    <n v="1331.5"/>
    <n v="99862.5"/>
    <n v="-28.5"/>
    <n v="-2137.5"/>
    <s v=""/>
    <s v=""/>
    <n v="-2.0955882352941175E-2"/>
    <n v="102000"/>
    <n v="0.42372881355932202"/>
  </r>
  <r>
    <n v="8"/>
    <x v="7"/>
    <x v="0"/>
    <x v="3"/>
    <x v="1"/>
    <s v="Section"/>
    <s v="Department"/>
    <n v="75"/>
    <n v="15000"/>
    <d v="2020-01-01T00:00:00"/>
    <d v="2020-06-30T00:00:00"/>
    <n v="67.5"/>
    <n v="13500"/>
    <d v="2020-07-01T00:00:00"/>
    <d v="2020-12-31T00:00:00"/>
    <n v="0.1"/>
    <x v="0"/>
    <x v="0"/>
    <n v="199"/>
    <n v="14925"/>
    <n v="200"/>
    <n v="200"/>
    <n v="29925"/>
    <n v="250"/>
    <n v="196"/>
    <n v="14700"/>
    <n v="208"/>
    <n v="225"/>
    <n v="12825"/>
    <n v="200"/>
    <n v="197.5"/>
    <n v="16087.5"/>
    <n v="211"/>
    <n v="212"/>
    <n v="15712.5"/>
    <n v="100"/>
    <n v="88"/>
    <n v="6675"/>
    <n v="224.2"/>
    <n v="218.75"/>
    <n v="15506.25"/>
    <n v="0"/>
    <n v="0"/>
    <n v="-408.74999999999915"/>
    <n v="0"/>
    <n v="0"/>
    <n v="0"/>
    <n v="0"/>
    <n v="0"/>
    <n v="0"/>
    <n v="0"/>
    <n v="0"/>
    <n v="0"/>
    <n v="1393.2"/>
    <n v="1624.25"/>
    <n v="121818.75"/>
    <s v=""/>
    <s v=""/>
    <n v="231.04999999999995"/>
    <n v="17328.749999999996"/>
    <n v="0.16584122882572491"/>
    <n v="104490"/>
    <n v="0.40966101694915252"/>
  </r>
  <r>
    <n v="9"/>
    <x v="8"/>
    <x v="0"/>
    <x v="4"/>
    <x v="0"/>
    <s v="Section"/>
    <s v="Department"/>
    <n v="75"/>
    <n v="15000"/>
    <d v="2020-01-01T00:00:00"/>
    <d v="2020-06-30T00:00:00"/>
    <n v="67.5"/>
    <n v="13500"/>
    <d v="2020-07-01T00:00:00"/>
    <d v="2020-12-31T00:00:00"/>
    <n v="0.1"/>
    <x v="0"/>
    <x v="0"/>
    <n v="76"/>
    <n v="5700"/>
    <n v="200"/>
    <n v="200"/>
    <n v="20700"/>
    <n v="250"/>
    <n v="196"/>
    <n v="14700"/>
    <n v="208"/>
    <n v="225"/>
    <n v="12825"/>
    <n v="208"/>
    <n v="270"/>
    <n v="21525"/>
    <n v="211"/>
    <n v="212"/>
    <n v="20550"/>
    <n v="100"/>
    <n v="88"/>
    <n v="6675"/>
    <n v="214.3"/>
    <n v="218"/>
    <n v="15450"/>
    <n v="0"/>
    <n v="0"/>
    <n v="277.49999999999915"/>
    <n v="0"/>
    <n v="0"/>
    <n v="0"/>
    <n v="0"/>
    <n v="0"/>
    <n v="0"/>
    <n v="0"/>
    <n v="0"/>
    <n v="0"/>
    <n v="1391.3"/>
    <n v="1573"/>
    <n v="117975"/>
    <s v=""/>
    <s v=""/>
    <n v="181.70000000000005"/>
    <n v="13627.500000000004"/>
    <n v="0.13059728311650978"/>
    <n v="104347.5"/>
    <n v="0.41046610169491526"/>
  </r>
  <r>
    <n v="11"/>
    <x v="9"/>
    <x v="1"/>
    <x v="5"/>
    <x v="1"/>
    <s v="Section"/>
    <s v="Department"/>
    <n v="75"/>
    <n v="15000"/>
    <d v="2020-01-01T00:00:00"/>
    <d v="2020-06-30T00:00:00"/>
    <n v="67.5"/>
    <n v="13500"/>
    <d v="2020-07-01T00:00:00"/>
    <d v="2020-12-31T00:00:00"/>
    <n v="0.1"/>
    <x v="0"/>
    <x v="7"/>
    <n v="132"/>
    <n v="9900"/>
    <n v="200"/>
    <n v="200"/>
    <n v="15300"/>
    <n v="207"/>
    <n v="218"/>
    <n v="16350"/>
    <n v="208"/>
    <n v="199"/>
    <n v="15750"/>
    <n v="200"/>
    <n v="178"/>
    <n v="12675"/>
    <n v="200"/>
    <n v="208"/>
    <n v="13950"/>
    <n v="100"/>
    <n v="88"/>
    <n v="7200"/>
    <n v="22"/>
    <n v="19"/>
    <n v="525"/>
    <n v="0"/>
    <n v="0"/>
    <n v="-225"/>
    <n v="0"/>
    <n v="0"/>
    <n v="0"/>
    <n v="0"/>
    <n v="0"/>
    <n v="0"/>
    <n v="0"/>
    <n v="0"/>
    <n v="0"/>
    <n v="1265"/>
    <n v="1330"/>
    <n v="99750"/>
    <s v=""/>
    <s v=""/>
    <n v="65"/>
    <n v="4875"/>
    <n v="5.1383399209486168E-2"/>
    <n v="94875"/>
    <n v="0.46398305084745761"/>
  </r>
  <r>
    <n v="12"/>
    <x v="10"/>
    <x v="0"/>
    <x v="6"/>
    <x v="0"/>
    <s v="Section"/>
    <s v="Department"/>
    <n v="75"/>
    <n v="15000"/>
    <d v="2020-01-01T00:00:00"/>
    <d v="2020-06-30T00:00:00"/>
    <n v="67.5"/>
    <n v="13500"/>
    <d v="2020-07-01T00:00:00"/>
    <d v="2020-12-31T00:00:00"/>
    <n v="0.1"/>
    <x v="0"/>
    <x v="4"/>
    <n v="94"/>
    <n v="7050"/>
    <n v="192"/>
    <n v="208.5"/>
    <n v="16087.5"/>
    <n v="239"/>
    <n v="199.5"/>
    <n v="16200"/>
    <n v="208"/>
    <n v="181"/>
    <n v="10612.5"/>
    <n v="200"/>
    <n v="128"/>
    <n v="7575"/>
    <n v="208"/>
    <n v="194"/>
    <n v="9150"/>
    <n v="100"/>
    <n v="88"/>
    <n v="5550"/>
    <n v="22"/>
    <n v="19"/>
    <n v="525"/>
    <n v="0"/>
    <n v="0"/>
    <n v="-225"/>
    <n v="0"/>
    <n v="0"/>
    <n v="0"/>
    <n v="0"/>
    <n v="0"/>
    <n v="0"/>
    <n v="0"/>
    <n v="0"/>
    <n v="0"/>
    <n v="1257"/>
    <n v="1200"/>
    <n v="90000"/>
    <n v="-57"/>
    <n v="-4275"/>
    <s v=""/>
    <s v=""/>
    <n v="-4.5346062052505964E-2"/>
    <n v="94275"/>
    <n v="0.46737288135593219"/>
  </r>
  <r>
    <n v="13"/>
    <x v="11"/>
    <x v="0"/>
    <x v="3"/>
    <x v="1"/>
    <s v="Section"/>
    <s v="Department"/>
    <n v="75"/>
    <n v="15000"/>
    <d v="2020-01-01T00:00:00"/>
    <d v="2020-06-30T00:00:00"/>
    <n v="67.5"/>
    <n v="13500"/>
    <d v="2020-07-01T00:00:00"/>
    <d v="2020-12-31T00:00:00"/>
    <n v="0.1"/>
    <x v="0"/>
    <x v="4"/>
    <n v="93"/>
    <n v="6975"/>
    <n v="200"/>
    <n v="200"/>
    <n v="15375"/>
    <n v="250"/>
    <n v="196"/>
    <n v="14700"/>
    <n v="208"/>
    <n v="179"/>
    <n v="9375"/>
    <n v="200"/>
    <n v="155"/>
    <n v="9450"/>
    <n v="200"/>
    <n v="206.5"/>
    <n v="12112.5"/>
    <n v="100"/>
    <n v="88"/>
    <n v="7087.5"/>
    <n v="227.5"/>
    <n v="219"/>
    <n v="15525"/>
    <n v="0"/>
    <n v="0"/>
    <n v="-637.5"/>
    <n v="0"/>
    <n v="0"/>
    <n v="0"/>
    <n v="0"/>
    <n v="0"/>
    <n v="0"/>
    <n v="0"/>
    <n v="0"/>
    <n v="0"/>
    <n v="1473.5"/>
    <n v="1424.5"/>
    <n v="106837.5"/>
    <n v="-49"/>
    <n v="-3675"/>
    <s v=""/>
    <s v=""/>
    <n v="-3.3254156769596199E-2"/>
    <n v="110512.5"/>
    <n v="0.37563559322033896"/>
  </r>
  <r>
    <n v="14"/>
    <x v="12"/>
    <x v="0"/>
    <x v="0"/>
    <x v="1"/>
    <s v="Section"/>
    <s v="Department"/>
    <n v="100"/>
    <n v="20000"/>
    <d v="2020-01-01T00:00:00"/>
    <d v="2020-06-30T00:00:00"/>
    <n v="90"/>
    <n v="18000"/>
    <d v="2020-07-01T00:00:00"/>
    <d v="2020-12-31T00:00:00"/>
    <n v="0.1"/>
    <x v="2"/>
    <x v="4"/>
    <n v="91"/>
    <n v="9100"/>
    <n v="200"/>
    <n v="219"/>
    <n v="22200"/>
    <n v="250"/>
    <n v="196"/>
    <n v="21500"/>
    <n v="208"/>
    <n v="188.5"/>
    <n v="13450"/>
    <n v="200"/>
    <n v="143"/>
    <n v="12350"/>
    <n v="200"/>
    <n v="205"/>
    <n v="14800"/>
    <n v="100"/>
    <n v="88"/>
    <n v="9300"/>
    <n v="230.8"/>
    <n v="219.25"/>
    <n v="20725"/>
    <n v="0"/>
    <n v="0"/>
    <n v="-1155.0000000000011"/>
    <n v="0"/>
    <n v="0"/>
    <n v="0"/>
    <n v="0"/>
    <n v="0"/>
    <n v="0"/>
    <n v="0"/>
    <n v="0"/>
    <n v="0"/>
    <n v="1476.8"/>
    <n v="1437.75"/>
    <n v="143775"/>
    <n v="-39.049999999999955"/>
    <n v="-3904.9999999999955"/>
    <s v=""/>
    <s v=""/>
    <n v="-2.6442307692307661E-2"/>
    <n v="147680"/>
    <n v="0.3742372881355932"/>
  </r>
  <r>
    <n v="15"/>
    <x v="13"/>
    <x v="0"/>
    <x v="3"/>
    <x v="0"/>
    <s v="Section"/>
    <s v="Department"/>
    <n v="100"/>
    <n v="20000"/>
    <d v="2020-01-01T00:00:00"/>
    <d v="2020-06-30T00:00:00"/>
    <n v="90"/>
    <n v="18000"/>
    <d v="2020-07-01T00:00:00"/>
    <d v="2020-12-31T00:00:00"/>
    <n v="0.1"/>
    <x v="2"/>
    <x v="8"/>
    <n v="98"/>
    <n v="9800"/>
    <n v="196"/>
    <n v="226"/>
    <n v="23400"/>
    <n v="236"/>
    <n v="233"/>
    <n v="26300"/>
    <n v="208"/>
    <n v="184.5"/>
    <n v="18150"/>
    <n v="168"/>
    <n v="153"/>
    <n v="12950"/>
    <n v="200"/>
    <n v="213"/>
    <n v="19800"/>
    <n v="100"/>
    <n v="88"/>
    <n v="10100"/>
    <n v="200"/>
    <n v="219"/>
    <n v="20700"/>
    <n v="0"/>
    <n v="0"/>
    <n v="1900"/>
    <n v="0"/>
    <n v="0"/>
    <n v="0"/>
    <n v="0"/>
    <n v="0"/>
    <n v="0"/>
    <n v="0"/>
    <n v="0"/>
    <n v="0"/>
    <n v="1398"/>
    <n v="1502.5"/>
    <n v="150250"/>
    <s v=""/>
    <s v=""/>
    <n v="104.5"/>
    <n v="10450"/>
    <n v="7.4749642346208872E-2"/>
    <n v="139800"/>
    <n v="0.40762711864406781"/>
  </r>
  <r>
    <n v="16"/>
    <x v="14"/>
    <x v="0"/>
    <x v="0"/>
    <x v="1"/>
    <s v="Section"/>
    <s v="Department"/>
    <n v="80"/>
    <n v="16000"/>
    <d v="2020-01-01T00:00:00"/>
    <d v="2020-06-30T00:00:00"/>
    <n v="72"/>
    <n v="14400"/>
    <d v="2020-07-01T00:00:00"/>
    <d v="2020-12-31T00:00:00"/>
    <n v="0.1"/>
    <x v="3"/>
    <x v="9"/>
    <n v="117.5"/>
    <n v="9400"/>
    <n v="182"/>
    <n v="184"/>
    <n v="15560"/>
    <n v="219"/>
    <n v="217"/>
    <n v="17520"/>
    <n v="208"/>
    <n v="171"/>
    <n v="13520"/>
    <n v="184"/>
    <n v="181"/>
    <n v="11520"/>
    <n v="219"/>
    <n v="178"/>
    <n v="14000"/>
    <n v="100"/>
    <n v="88"/>
    <n v="3760"/>
    <n v="234.1"/>
    <n v="219.5"/>
    <n v="16600"/>
    <n v="0"/>
    <n v="0"/>
    <n v="-1167.9999999999995"/>
    <n v="0"/>
    <n v="0"/>
    <n v="0"/>
    <n v="0"/>
    <n v="0"/>
    <n v="0"/>
    <n v="0"/>
    <n v="0"/>
    <n v="0"/>
    <n v="1453.1"/>
    <n v="1444"/>
    <n v="115520"/>
    <n v="-9.0999999999999091"/>
    <n v="-727.99999999999272"/>
    <s v=""/>
    <s v=""/>
    <n v="-6.2624733328744816E-3"/>
    <n v="116248"/>
    <n v="0.38427966101694916"/>
  </r>
  <r>
    <n v="17"/>
    <x v="15"/>
    <x v="1"/>
    <x v="7"/>
    <x v="0"/>
    <s v="Section"/>
    <s v="Department"/>
    <n v="50"/>
    <n v="10000"/>
    <d v="2020-01-01T00:00:00"/>
    <d v="2020-06-30T00:00:00"/>
    <n v="47.5"/>
    <n v="9500"/>
    <d v="2020-07-01T00:00:00"/>
    <d v="2020-12-31T00:00:00"/>
    <n v="0.05"/>
    <x v="4"/>
    <x v="10"/>
    <n v="76"/>
    <n v="3800"/>
    <n v="200"/>
    <n v="222"/>
    <n v="11300"/>
    <n v="236"/>
    <n v="191.5"/>
    <n v="10675"/>
    <n v="208"/>
    <n v="216"/>
    <n v="8575"/>
    <n v="200"/>
    <n v="238.5"/>
    <n v="12325"/>
    <n v="200"/>
    <n v="224.5"/>
    <n v="13150"/>
    <n v="100"/>
    <n v="88"/>
    <n v="5625"/>
    <n v="211"/>
    <n v="212"/>
    <n v="10000"/>
    <n v="0"/>
    <n v="0"/>
    <n v="50"/>
    <n v="0"/>
    <n v="0"/>
    <n v="0"/>
    <n v="0"/>
    <n v="0"/>
    <n v="0"/>
    <n v="0"/>
    <n v="0"/>
    <n v="0"/>
    <n v="1427"/>
    <n v="1556.5"/>
    <n v="77825"/>
    <s v=""/>
    <s v=""/>
    <n v="129.5"/>
    <n v="6475"/>
    <n v="9.0749824807288021E-2"/>
    <n v="71350"/>
    <n v="0.42459677419354841"/>
  </r>
  <r>
    <n v="18"/>
    <x v="16"/>
    <x v="1"/>
    <x v="5"/>
    <x v="1"/>
    <s v="Section"/>
    <s v="Department"/>
    <n v="50"/>
    <n v="10000"/>
    <d v="2020-01-01T00:00:00"/>
    <d v="2020-06-30T00:00:00"/>
    <n v="47.5"/>
    <n v="9500"/>
    <d v="2020-07-01T00:00:00"/>
    <d v="2020-12-31T00:00:00"/>
    <n v="0.05"/>
    <x v="4"/>
    <x v="10"/>
    <n v="74"/>
    <n v="3700"/>
    <n v="200"/>
    <n v="210"/>
    <n v="10600"/>
    <n v="233"/>
    <n v="183.5"/>
    <n v="9675"/>
    <n v="208"/>
    <n v="164.5"/>
    <n v="5750"/>
    <n v="200"/>
    <n v="177"/>
    <n v="6675"/>
    <n v="200"/>
    <n v="209"/>
    <n v="9300"/>
    <n v="100"/>
    <n v="88"/>
    <n v="4850"/>
    <n v="22"/>
    <n v="19"/>
    <n v="350"/>
    <n v="0"/>
    <n v="0"/>
    <n v="-150"/>
    <n v="0"/>
    <n v="0"/>
    <n v="0"/>
    <n v="0"/>
    <n v="0"/>
    <n v="0"/>
    <n v="0"/>
    <n v="0"/>
    <n v="0"/>
    <n v="1235"/>
    <n v="1213"/>
    <n v="60650"/>
    <n v="-22"/>
    <n v="-1100"/>
    <s v=""/>
    <s v=""/>
    <n v="-1.7813765182186234E-2"/>
    <n v="61750"/>
    <n v="0.50201612903225812"/>
  </r>
  <r>
    <n v="19"/>
    <x v="17"/>
    <x v="0"/>
    <x v="8"/>
    <x v="0"/>
    <s v="Section"/>
    <s v="Department"/>
    <n v="100"/>
    <n v="20000"/>
    <d v="2020-01-01T00:00:00"/>
    <d v="2020-06-30T00:00:00"/>
    <n v="90"/>
    <n v="18000"/>
    <d v="2020-07-01T00:00:00"/>
    <d v="2020-12-31T00:00:00"/>
    <n v="0.1"/>
    <x v="2"/>
    <x v="11"/>
    <n v="72"/>
    <n v="7200"/>
    <n v="200"/>
    <n v="222"/>
    <n v="23000"/>
    <n v="212"/>
    <n v="241"/>
    <n v="26300"/>
    <n v="208"/>
    <n v="206.5"/>
    <n v="23550"/>
    <n v="200"/>
    <n v="233"/>
    <n v="23150"/>
    <n v="200"/>
    <n v="219"/>
    <n v="25200"/>
    <n v="100"/>
    <n v="88"/>
    <n v="10700"/>
    <n v="200"/>
    <n v="224.5"/>
    <n v="21250"/>
    <n v="0"/>
    <n v="0"/>
    <n v="2450"/>
    <n v="0"/>
    <n v="0"/>
    <n v="0"/>
    <n v="0"/>
    <n v="0"/>
    <n v="0"/>
    <n v="0"/>
    <n v="0"/>
    <n v="0"/>
    <n v="1384"/>
    <n v="1594"/>
    <n v="159400"/>
    <s v=""/>
    <s v=""/>
    <n v="210"/>
    <n v="21000"/>
    <n v="0.15173410404624277"/>
    <n v="138400"/>
    <n v="0.41355932203389828"/>
  </r>
  <r>
    <n v="20"/>
    <x v="18"/>
    <x v="1"/>
    <x v="0"/>
    <x v="1"/>
    <s v="Section"/>
    <s v="Department"/>
    <n v="85"/>
    <n v="17000"/>
    <d v="2020-01-01T00:00:00"/>
    <d v="2020-06-30T00:00:00"/>
    <n v="76.5"/>
    <n v="15300"/>
    <d v="2020-07-01T00:00:00"/>
    <d v="2020-12-31T00:00:00"/>
    <n v="0.1"/>
    <x v="5"/>
    <x v="11"/>
    <n v="67.5"/>
    <n v="5737.5"/>
    <n v="200"/>
    <n v="220.5"/>
    <n v="19040"/>
    <n v="200"/>
    <n v="208"/>
    <n v="19422.5"/>
    <n v="208"/>
    <n v="203"/>
    <n v="17935"/>
    <n v="200"/>
    <n v="208"/>
    <n v="17255"/>
    <n v="200"/>
    <n v="217"/>
    <n v="19125"/>
    <n v="100"/>
    <n v="88"/>
    <n v="8925"/>
    <n v="22"/>
    <n v="19"/>
    <n v="595"/>
    <n v="0"/>
    <n v="0"/>
    <n v="-255"/>
    <n v="0"/>
    <n v="0"/>
    <n v="0"/>
    <n v="0"/>
    <n v="0"/>
    <n v="0"/>
    <n v="0"/>
    <n v="0"/>
    <n v="0"/>
    <n v="1194"/>
    <n v="1319"/>
    <n v="112115"/>
    <s v=""/>
    <s v=""/>
    <n v="125"/>
    <n v="10625"/>
    <n v="0.10469011725293133"/>
    <n v="101490"/>
    <n v="0.49406779661016947"/>
  </r>
  <r>
    <n v="21"/>
    <x v="19"/>
    <x v="2"/>
    <x v="7"/>
    <x v="0"/>
    <s v="Section"/>
    <s v="Department"/>
    <n v="80"/>
    <n v="16000"/>
    <d v="2020-01-01T00:00:00"/>
    <d v="2020-06-30T00:00:00"/>
    <n v="72"/>
    <n v="14400"/>
    <d v="2020-07-01T00:00:00"/>
    <d v="2020-12-31T00:00:00"/>
    <n v="0.1"/>
    <x v="3"/>
    <x v="0"/>
    <n v="76"/>
    <n v="6080"/>
    <n v="177"/>
    <n v="185.5"/>
    <n v="20920"/>
    <n v="250"/>
    <n v="245"/>
    <n v="20280"/>
    <n v="208"/>
    <n v="225"/>
    <n v="17600"/>
    <n v="208"/>
    <n v="270"/>
    <n v="22960"/>
    <n v="211"/>
    <n v="212"/>
    <n v="21920"/>
    <n v="100"/>
    <n v="88"/>
    <n v="7120"/>
    <n v="211"/>
    <n v="217.75"/>
    <n v="16460"/>
    <n v="0"/>
    <n v="0"/>
    <n v="540"/>
    <n v="0"/>
    <n v="0"/>
    <n v="0"/>
    <n v="0"/>
    <n v="0"/>
    <n v="0"/>
    <n v="0"/>
    <n v="0"/>
    <n v="0"/>
    <n v="1365"/>
    <n v="1607.25"/>
    <n v="128580"/>
    <s v=""/>
    <s v=""/>
    <n v="242.25"/>
    <n v="19380"/>
    <n v="0.17747252747252748"/>
    <n v="109200"/>
    <n v="0.42161016949152541"/>
  </r>
  <r>
    <n v="22"/>
    <x v="20"/>
    <x v="2"/>
    <x v="4"/>
    <x v="0"/>
    <s v="Section"/>
    <s v="Department"/>
    <n v="75"/>
    <n v="15000"/>
    <d v="2020-01-01T00:00:00"/>
    <d v="2020-01-31T00:00:00"/>
    <n v="67.5"/>
    <n v="13500"/>
    <d v="1899-12-30T00:00:00"/>
    <d v="1899-12-30T00:00:00"/>
    <n v="0.1"/>
    <x v="6"/>
    <x v="0"/>
    <n v="76"/>
    <n v="5700"/>
    <n v="200"/>
    <n v="200"/>
    <n v="20700"/>
    <n v="250"/>
    <n v="196"/>
    <n v="14700"/>
    <n v="208"/>
    <n v="225"/>
    <n v="12825"/>
    <n v="208"/>
    <n v="270"/>
    <n v="21525"/>
    <n v="211"/>
    <n v="212"/>
    <n v="20550"/>
    <n v="100"/>
    <n v="88"/>
    <n v="6675"/>
    <n v="217.6"/>
    <n v="218.25"/>
    <n v="15468.75"/>
    <n v="0"/>
    <n v="0"/>
    <n v="48.750000000000426"/>
    <n v="0"/>
    <n v="0"/>
    <n v="0"/>
    <n v="0"/>
    <n v="0"/>
    <n v="0"/>
    <n v="0"/>
    <n v="0"/>
    <n v="0"/>
    <n v="1394.6"/>
    <n v="1573.25"/>
    <n v="117993.75"/>
    <s v=""/>
    <s v=""/>
    <n v="178.65000000000009"/>
    <n v="13398.750000000007"/>
    <n v="0.12810124766958275"/>
    <n v="104595"/>
    <n v="-1044.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BC6A5-8C21-4F48-8B05-B8EAE885704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dataField="1" showAll="0"/>
    <pivotField showAll="0"/>
    <pivotField numFmtId="9" showAll="0"/>
    <pivotField numFmtId="164" showAll="0"/>
    <pivotField showAll="0"/>
  </pivotFields>
  <rowItems count="1">
    <i/>
  </rowItems>
  <colItems count="1">
    <i/>
  </colItems>
  <dataFields count="1">
    <dataField name="Sum of  Extra Hours" fld="58"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6D00DC-7473-4663-A6FB-FE50AA58FF32}"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6" firstHeaderRow="1" firstDataRow="1" firstDataCol="1"/>
  <pivotFields count="63">
    <pivotField showAll="0"/>
    <pivotField dataField="1"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axis="axisRow"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showAll="0"/>
    <pivotField showAll="0"/>
    <pivotField numFmtId="9" showAll="0"/>
    <pivotField numFmtId="164" showAll="0"/>
    <pivotField showAll="0"/>
  </pivotFields>
  <rowFields count="1">
    <field x="4"/>
  </rowFields>
  <rowItems count="3">
    <i>
      <x/>
    </i>
    <i>
      <x v="1"/>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F9F8B7-B0DA-448D-BF4C-49F7E7F87774}"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1:G31" firstHeaderRow="1" firstDataRow="1" firstDataCol="1"/>
  <pivotFields count="63">
    <pivotField showAll="0"/>
    <pivotField dataField="1" showAll="0">
      <items count="22">
        <item x="6"/>
        <item x="18"/>
        <item x="20"/>
        <item x="7"/>
        <item x="8"/>
        <item x="14"/>
        <item x="13"/>
        <item x="4"/>
        <item x="12"/>
        <item x="16"/>
        <item x="10"/>
        <item x="9"/>
        <item x="2"/>
        <item x="15"/>
        <item x="3"/>
        <item x="1"/>
        <item x="19"/>
        <item x="5"/>
        <item x="17"/>
        <item x="0"/>
        <item x="11"/>
        <item t="default"/>
      </items>
    </pivotField>
    <pivotField showAll="0">
      <items count="4">
        <item x="0"/>
        <item x="1"/>
        <item x="2"/>
        <item t="default"/>
      </items>
    </pivotField>
    <pivotField axis="axisRow" showAll="0">
      <items count="10">
        <item x="3"/>
        <item x="8"/>
        <item x="7"/>
        <item x="4"/>
        <item x="0"/>
        <item x="5"/>
        <item x="6"/>
        <item x="1"/>
        <item x="2"/>
        <item t="default"/>
      </items>
    </pivotField>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showAll="0"/>
    <pivotField showAll="0"/>
    <pivotField numFmtId="9" showAll="0"/>
    <pivotField numFmtId="164" showAll="0"/>
    <pivotField showAll="0"/>
  </pivotFields>
  <rowFields count="1">
    <field x="3"/>
  </rowFields>
  <rowItems count="10">
    <i>
      <x/>
    </i>
    <i>
      <x v="1"/>
    </i>
    <i>
      <x v="2"/>
    </i>
    <i>
      <x v="3"/>
    </i>
    <i>
      <x v="4"/>
    </i>
    <i>
      <x v="5"/>
    </i>
    <i>
      <x v="6"/>
    </i>
    <i>
      <x v="7"/>
    </i>
    <i>
      <x v="8"/>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04491C-F3F5-43AF-8335-9D53ECD70484}" name="PivotTable6"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6:B98" firstHeaderRow="1" firstDataRow="1" firstDataCol="1"/>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showAll="0"/>
    <pivotField dataField="1" numFmtId="3" showAll="0"/>
    <pivotField showAll="0"/>
    <pivotField showAll="0"/>
    <pivotField dataField="1" numFmtId="166" showAll="0"/>
    <pivotField showAll="0"/>
    <pivotField showAll="0"/>
    <pivotField dataField="1" numFmtId="166" showAll="0"/>
    <pivotField showAll="0"/>
    <pivotField showAll="0"/>
    <pivotField dataField="1" numFmtId="166" showAll="0"/>
    <pivotField showAll="0"/>
    <pivotField numFmtId="1" showAll="0"/>
    <pivotField numFmtId="166" showAll="0"/>
    <pivotField showAll="0"/>
    <pivotField showAll="0"/>
    <pivotField showAll="0"/>
    <pivotField showAll="0"/>
    <pivotField numFmtId="9" showAll="0"/>
    <pivotField numFmtId="164" showAll="0"/>
    <pivotField showAll="0"/>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 Final Amount" fld="19" baseField="0" baseItem="0"/>
    <dataField name="Sum of Feb Final Amount" fld="22" baseField="0" baseItem="0"/>
    <dataField name="Sum of Mar Final Amount" fld="25" baseField="0" baseItem="0"/>
    <dataField name="Sum of Apr Final Amount" fld="28" baseField="0" baseItem="0"/>
    <dataField name="Sum of May Final Amount" fld="31" baseField="0" baseItem="0"/>
    <dataField name="Sum of Jun Final Amount" fld="34" baseField="0" baseItem="0"/>
    <dataField name="Sum of Jul Final Amount" fld="37" baseField="0" baseItem="0"/>
    <dataField name="Sum of Aug Final Amount" fld="40" baseField="0" baseItem="0"/>
    <dataField name="Sum of Sep Final Amount" fld="43" baseField="0" baseItem="0"/>
    <dataField name="Sum of Oct Final Amount" fld="46" baseField="0" baseItem="0"/>
    <dataField name="Sum of Nov Final Amount" fld="49" baseField="0" baseItem="0"/>
    <dataField name="Sum of Dec Final Amount" fld="5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0154244-7E32-447A-BC6F-6BF09B29CAE6}"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D12" firstHeaderRow="1" firstDataRow="1" firstDataCol="0"/>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dataField="1" showAll="0"/>
    <pivotField showAll="0"/>
    <pivotField showAll="0"/>
    <pivotField numFmtId="9" showAll="0"/>
    <pivotField numFmtId="164" showAll="0"/>
    <pivotField showAll="0"/>
  </pivotFields>
  <rowItems count="1">
    <i/>
  </rowItems>
  <colItems count="1">
    <i/>
  </colItems>
  <dataFields count="1">
    <dataField name="Sum of Missing Amount" fld="57"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CA83CB-AE96-409A-8F98-4EA89563544A}"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I15" firstHeaderRow="1" firstDataRow="1" firstDataCol="1"/>
  <pivotFields count="63">
    <pivotField showAll="0"/>
    <pivotField dataField="1" showAll="0">
      <items count="22">
        <item x="6"/>
        <item x="18"/>
        <item x="20"/>
        <item x="7"/>
        <item x="8"/>
        <item x="14"/>
        <item x="13"/>
        <item x="4"/>
        <item x="12"/>
        <item x="16"/>
        <item x="10"/>
        <item x="9"/>
        <item x="2"/>
        <item x="15"/>
        <item x="3"/>
        <item x="1"/>
        <item x="19"/>
        <item x="5"/>
        <item x="17"/>
        <item x="0"/>
        <item x="11"/>
        <item t="default"/>
      </items>
    </pivotField>
    <pivotField axis="axisRow" showAll="0">
      <items count="4">
        <item x="0"/>
        <item x="1"/>
        <item x="2"/>
        <item t="default"/>
      </items>
    </pivotField>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showAll="0"/>
    <pivotField showAll="0"/>
    <pivotField numFmtId="9" showAll="0"/>
    <pivotField numFmtId="164" showAll="0"/>
    <pivotField showAll="0"/>
  </pivotFields>
  <rowFields count="1">
    <field x="2"/>
  </rowFields>
  <rowItems count="4">
    <i>
      <x/>
    </i>
    <i>
      <x v="1"/>
    </i>
    <i>
      <x v="2"/>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D6C7A1-89AF-41E1-A883-18D58DE4754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63">
    <pivotField showAll="0"/>
    <pivotField axis="axisRow"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dataField="1"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showAll="0"/>
    <pivotField showAll="0"/>
    <pivotField numFmtId="9" showAll="0"/>
    <pivotField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E6666-1FCD-41A7-B36B-2CE6F703A1EB}"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2:B103" firstHeaderRow="0" firstDataRow="1" firstDataCol="0"/>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dataField="1"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showAll="0"/>
    <pivotField showAll="0"/>
    <pivotField numFmtId="9" showAll="0"/>
    <pivotField dataField="1" numFmtId="164" showAll="0"/>
    <pivotField showAll="0"/>
  </pivotFields>
  <rowItems count="1">
    <i/>
  </rowItems>
  <colFields count="1">
    <field x="-2"/>
  </colFields>
  <colItems count="2">
    <i>
      <x/>
    </i>
    <i i="1">
      <x v="1"/>
    </i>
  </colItems>
  <dataFields count="2">
    <dataField name="Sum of OPEX Invoice Hrs. Paid" fld="61" baseField="0" baseItem="0"/>
    <dataField name="Sum of Total Budget Allocated "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9135AD-EDA2-4533-AB1A-7CD367C97FB0}"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F12" firstHeaderRow="1" firstDataRow="1" firstDataCol="0"/>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dataField="1" showAll="0"/>
    <pivotField showAll="0"/>
    <pivotField showAll="0"/>
    <pivotField showAll="0"/>
    <pivotField numFmtId="9" showAll="0"/>
    <pivotField numFmtId="164" showAll="0"/>
    <pivotField showAll="0"/>
  </pivotFields>
  <rowItems count="1">
    <i/>
  </rowItems>
  <colItems count="1">
    <i/>
  </colItems>
  <dataFields count="1">
    <dataField name="Sum of Missing Hours" fld="56"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4206A4-1FE7-433A-83DB-6FCDC9E767F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6:M48" firstHeaderRow="0" firstDataRow="1" firstDataCol="1"/>
  <pivotFields count="63">
    <pivotField showAll="0"/>
    <pivotField axis="axisRow"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items count="13">
        <item x="0"/>
        <item x="11"/>
        <item x="10"/>
        <item x="4"/>
        <item x="8"/>
        <item x="9"/>
        <item x="7"/>
        <item x="5"/>
        <item x="6"/>
        <item x="1"/>
        <item x="2"/>
        <item x="3"/>
        <item t="default"/>
      </items>
    </pivotField>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dataField="1" showAll="0"/>
    <pivotField showAll="0"/>
    <pivotField dataField="1" showAll="0"/>
    <pivotField showAll="0"/>
    <pivotField numFmtId="9" showAll="0"/>
    <pivotField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Missing Hours" fld="56" baseField="1" baseItem="0"/>
    <dataField name="Sum of  Extra Hours" fld="58" baseField="1"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ADE92-8408-447F-865A-E89DD80484C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E48" firstHeaderRow="0" firstDataRow="1" firstDataCol="1"/>
  <pivotFields count="63">
    <pivotField showAll="0"/>
    <pivotField axis="axisRow" showAll="0" sortType="descending">
      <items count="22">
        <item x="6"/>
        <item x="18"/>
        <item x="20"/>
        <item x="7"/>
        <item x="8"/>
        <item x="14"/>
        <item x="13"/>
        <item x="4"/>
        <item x="12"/>
        <item x="16"/>
        <item x="10"/>
        <item x="9"/>
        <item x="2"/>
        <item x="15"/>
        <item x="3"/>
        <item x="1"/>
        <item x="19"/>
        <item x="5"/>
        <item x="17"/>
        <item x="0"/>
        <item x="11"/>
        <item t="default"/>
      </items>
      <autoSortScope>
        <pivotArea dataOnly="0" outline="0" fieldPosition="0">
          <references count="1">
            <reference field="4294967294" count="1" selected="0">
              <x v="1"/>
            </reference>
          </references>
        </pivotArea>
      </autoSortScope>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dataField="1" numFmtId="164" showAll="0">
      <items count="8">
        <item x="6"/>
        <item x="4"/>
        <item x="0"/>
        <item x="3"/>
        <item x="5"/>
        <item x="2"/>
        <item x="1"/>
        <item t="default"/>
      </items>
    </pivotField>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dataField="1" showAll="0"/>
    <pivotField dataField="1" numFmtId="1" showAll="0"/>
    <pivotField numFmtId="166" showAll="0"/>
    <pivotField showAll="0"/>
    <pivotField showAll="0"/>
    <pivotField showAll="0"/>
    <pivotField showAll="0"/>
    <pivotField numFmtId="9" showAll="0"/>
    <pivotField dataField="1" numFmtId="164" showAll="0"/>
    <pivotField showAll="0"/>
  </pivotFields>
  <rowFields count="1">
    <field x="1"/>
  </rowFields>
  <rowItems count="22">
    <i>
      <x v="14"/>
    </i>
    <i>
      <x v="17"/>
    </i>
    <i>
      <x v="8"/>
    </i>
    <i>
      <x v="20"/>
    </i>
    <i>
      <x v="5"/>
    </i>
    <i>
      <x v="13"/>
    </i>
    <i>
      <x v="6"/>
    </i>
    <i>
      <x v="19"/>
    </i>
    <i>
      <x v="2"/>
    </i>
    <i>
      <x v="3"/>
    </i>
    <i>
      <x v="4"/>
    </i>
    <i>
      <x v="18"/>
    </i>
    <i>
      <x v="16"/>
    </i>
    <i>
      <x v="15"/>
    </i>
    <i>
      <x/>
    </i>
    <i>
      <x v="12"/>
    </i>
    <i>
      <x v="11"/>
    </i>
    <i>
      <x v="10"/>
    </i>
    <i>
      <x v="7"/>
    </i>
    <i>
      <x v="9"/>
    </i>
    <i>
      <x v="1"/>
    </i>
    <i t="grand">
      <x/>
    </i>
  </rowItems>
  <colFields count="1">
    <field x="-2"/>
  </colFields>
  <colItems count="4">
    <i>
      <x/>
    </i>
    <i i="1">
      <x v="1"/>
    </i>
    <i i="2">
      <x v="2"/>
    </i>
    <i i="3">
      <x v="3"/>
    </i>
  </colItems>
  <dataFields count="4">
    <dataField name="Sum of Total Budget Allocated " fld="16" baseField="0" baseItem="0"/>
    <dataField name="Sum of Total Agreed Hrs." fld="53" baseField="0" baseItem="0"/>
    <dataField name="Sum of Actual Hours " fld="54" baseField="0" baseItem="0"/>
    <dataField name="Sum of OPEX Invoice Hrs. Paid" fld="61" baseField="0" baseItem="0"/>
  </dataFields>
  <formats count="1">
    <format dxfId="0">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420FC2-6284-43CB-882C-BB67D6C9D58E}" name="PivotTable4"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B79" firstHeaderRow="1" firstDataRow="1" firstDataCol="1"/>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items count="8">
        <item x="6"/>
        <item x="4"/>
        <item x="0"/>
        <item x="3"/>
        <item x="5"/>
        <item x="2"/>
        <item x="1"/>
        <item t="default"/>
      </items>
    </pivotField>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dataField="1" showAll="0"/>
    <pivotField dataField="1" showAll="0"/>
    <pivotField numFmtId="3" showAll="0"/>
    <pivotField dataField="1" showAll="0"/>
    <pivotField dataField="1" showAll="0"/>
    <pivotField numFmtId="166" showAll="0"/>
    <pivotField dataField="1" showAll="0"/>
    <pivotField dataField="1" showAll="0"/>
    <pivotField numFmtId="166" showAll="0"/>
    <pivotField dataField="1" showAll="0"/>
    <pivotField dataField="1" showAll="0"/>
    <pivotField numFmtId="166" showAll="0"/>
    <pivotField showAll="0"/>
    <pivotField numFmtId="1" showAll="0"/>
    <pivotField numFmtId="166" showAll="0"/>
    <pivotField showAll="0"/>
    <pivotField showAll="0"/>
    <pivotField showAll="0"/>
    <pivotField showAll="0"/>
    <pivotField numFmtId="9" showAll="0"/>
    <pivotField numFmtId="164" showAll="0"/>
    <pivotField showAll="0"/>
  </pivotFields>
  <rowFields count="1">
    <field x="-2"/>
  </rowFields>
  <row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rowItems>
  <colItems count="1">
    <i/>
  </colItems>
  <dataFields count="24">
    <dataField name="Sum of Actual January" fld="18" baseField="0" baseItem="0"/>
    <dataField name="Sum of Invoice January" fld="17" baseField="0" baseItem="0"/>
    <dataField name="Sum of Actual February" fld="21" baseField="0" baseItem="0"/>
    <dataField name="Sum of Invoice February" fld="20" baseField="0" baseItem="0"/>
    <dataField name="Sum of Actual March" fld="24" baseField="0" baseItem="0"/>
    <dataField name="Sum of Invoice March" fld="23" baseField="0" baseItem="0"/>
    <dataField name="Sum of Actual April" fld="27" baseField="0" baseItem="0"/>
    <dataField name="Sum of Invoice April" fld="26" baseField="0" baseItem="0"/>
    <dataField name="Sum of Actual May" fld="30" baseField="0" baseItem="0"/>
    <dataField name="Sum of Invoice May" fld="29" baseField="0" baseItem="0"/>
    <dataField name="Sum of Actual June" fld="33" baseField="0" baseItem="0"/>
    <dataField name="Sum of Invoice June" fld="32" baseField="0" baseItem="0"/>
    <dataField name="Sum of Actual July" fld="36" baseField="0" baseItem="0"/>
    <dataField name="Sum of Invoice July" fld="35" baseField="0" baseItem="0"/>
    <dataField name="Sum of Actual August" fld="39" baseField="0" baseItem="0"/>
    <dataField name="Sum of Invoice August" fld="38" baseField="0" baseItem="0"/>
    <dataField name="Sum of Actual September" fld="42" baseField="0" baseItem="0"/>
    <dataField name="Sum of Invoice September" fld="41" baseField="0" baseItem="0"/>
    <dataField name="Sum of Actual October" fld="45" baseField="0" baseItem="0"/>
    <dataField name="Sum of Invoice October" fld="44" baseField="0" baseItem="0"/>
    <dataField name="Sum of Actual November" fld="48" baseField="0" baseItem="0"/>
    <dataField name="Sum of Invoice November" fld="47" baseField="0" baseItem="0"/>
    <dataField name="Sum of Actual December" fld="51" baseField="0" baseItem="0"/>
    <dataField name="Sum of Invoice December" fld="5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B4F628-8531-43E8-AE98-D2B814F86072}"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63">
    <pivotField showAll="0"/>
    <pivotField showAll="0">
      <items count="22">
        <item x="6"/>
        <item x="18"/>
        <item x="20"/>
        <item x="7"/>
        <item x="8"/>
        <item x="14"/>
        <item x="13"/>
        <item x="4"/>
        <item x="12"/>
        <item x="16"/>
        <item x="10"/>
        <item x="9"/>
        <item x="2"/>
        <item x="15"/>
        <item x="3"/>
        <item x="1"/>
        <item x="19"/>
        <item x="5"/>
        <item x="17"/>
        <item x="0"/>
        <item x="11"/>
        <item t="default"/>
      </items>
    </pivotField>
    <pivotField showAll="0"/>
    <pivotField showAll="0"/>
    <pivotField showAll="0">
      <items count="3">
        <item x="0"/>
        <item x="1"/>
        <item t="default"/>
      </items>
    </pivotField>
    <pivotField showAll="0"/>
    <pivotField showAll="0"/>
    <pivotField numFmtId="164" showAll="0"/>
    <pivotField numFmtId="164" showAll="0"/>
    <pivotField numFmtId="165" showAll="0"/>
    <pivotField numFmtId="165" showAll="0"/>
    <pivotField numFmtId="164" showAll="0"/>
    <pivotField numFmtId="164" showAll="0"/>
    <pivotField numFmtId="165" showAll="0"/>
    <pivotField numFmtId="165" showAll="0"/>
    <pivotField numFmtId="9" showAll="0"/>
    <pivotField numFmtId="164"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166" showAll="0"/>
    <pivotField showAll="0"/>
    <pivotField showAll="0"/>
    <pivotField numFmtId="3" showAll="0"/>
    <pivotField showAll="0"/>
    <pivotField showAll="0"/>
    <pivotField numFmtId="166" showAll="0"/>
    <pivotField showAll="0"/>
    <pivotField showAll="0"/>
    <pivotField numFmtId="166" showAll="0"/>
    <pivotField showAll="0"/>
    <pivotField showAll="0"/>
    <pivotField numFmtId="166" showAll="0"/>
    <pivotField showAll="0"/>
    <pivotField numFmtId="1" showAll="0"/>
    <pivotField numFmtId="166" showAll="0"/>
    <pivotField showAll="0"/>
    <pivotField showAll="0"/>
    <pivotField showAll="0"/>
    <pivotField dataField="1" showAll="0"/>
    <pivotField numFmtId="9" showAll="0"/>
    <pivotField numFmtId="164" showAll="0"/>
    <pivotField showAll="0"/>
  </pivotFields>
  <rowItems count="1">
    <i/>
  </rowItems>
  <colItems count="1">
    <i/>
  </colItems>
  <dataFields count="1">
    <dataField name="Sum of  Extra Hours Amount" fld="59"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0D69BEF-9EF8-4498-B91B-C08586ACC152}" sourceName="Name">
  <pivotTables>
    <pivotTable tabId="2" name="PivotTable1"/>
    <pivotTable tabId="2" name="PivotTable2"/>
    <pivotTable tabId="2" name="PivotTable3"/>
    <pivotTable tabId="2" name="PivotTable8"/>
    <pivotTable tabId="2" name="PivotTable9"/>
    <pivotTable tabId="2" name="PivotTable11"/>
    <pivotTable tabId="2" name="PivotTable12"/>
    <pivotTable tabId="2" name="PivotTable14"/>
    <pivotTable tabId="2" name="PivotTable15"/>
    <pivotTable tabId="2" name="PivotTable16"/>
    <pivotTable tabId="2" name="PivotTable4"/>
    <pivotTable tabId="2" name="PivotTable6"/>
    <pivotTable tabId="2" name="PivotTable13"/>
  </pivotTables>
  <data>
    <tabular pivotCacheId="265118094">
      <items count="21">
        <i x="6" s="1"/>
        <i x="18" s="1"/>
        <i x="20" s="1"/>
        <i x="7" s="1"/>
        <i x="8" s="1"/>
        <i x="14" s="1"/>
        <i x="13" s="1"/>
        <i x="4" s="1"/>
        <i x="12" s="1"/>
        <i x="16" s="1"/>
        <i x="10" s="1"/>
        <i x="9" s="1"/>
        <i x="2" s="1"/>
        <i x="15" s="1"/>
        <i x="3" s="1"/>
        <i x="1" s="1"/>
        <i x="19" s="1"/>
        <i x="5" s="1"/>
        <i x="17"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314443-F578-4A66-A625-F6227A4120B0}" sourceName="Gender">
  <pivotTables>
    <pivotTable tabId="2" name="PivotTable1"/>
    <pivotTable tabId="2" name="PivotTable2"/>
    <pivotTable tabId="2" name="PivotTable3"/>
    <pivotTable tabId="2" name="PivotTable8"/>
    <pivotTable tabId="2" name="PivotTable9"/>
    <pivotTable tabId="2" name="PivotTable11"/>
    <pivotTable tabId="2" name="PivotTable12"/>
    <pivotTable tabId="2" name="PivotTable14"/>
    <pivotTable tabId="2" name="PivotTable15"/>
    <pivotTable tabId="2" name="PivotTable16"/>
    <pivotTable tabId="2" name="PivotTable4"/>
    <pivotTable tabId="2" name="PivotTable6"/>
    <pivotTable tabId="2" name="PivotTable13"/>
  </pivotTables>
  <data>
    <tabular pivotCacheId="2651180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A678FA9B-183A-4986-B2F3-B3B0BC707B63}" cache="Slicer_Name" caption="Name" style="Slicer Style 1" rowHeight="548640"/>
  <slicer name="Gender 1" xr10:uid="{83838F4B-67CF-4639-8752-8E2827B5DB23}" cache="Slicer_Gender" caption="Gender" columnCount="2" style="Slicer Style 1" rowHeight="349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C6DE-874F-46C5-8128-66646F7415C3}">
  <dimension ref="A3:P106"/>
  <sheetViews>
    <sheetView zoomScale="58" workbookViewId="0">
      <selection activeCell="H29" sqref="H29"/>
    </sheetView>
  </sheetViews>
  <sheetFormatPr defaultRowHeight="21" x14ac:dyDescent="0.4"/>
  <cols>
    <col min="1" max="1" width="26.640625" bestFit="1" customWidth="1"/>
    <col min="2" max="2" width="27.5" bestFit="1" customWidth="1"/>
    <col min="3" max="3" width="22.140625" bestFit="1" customWidth="1"/>
    <col min="4" max="4" width="21.28515625" bestFit="1" customWidth="1"/>
    <col min="5" max="5" width="26.640625" bestFit="1" customWidth="1"/>
    <col min="6" max="7" width="13.640625" bestFit="1" customWidth="1"/>
    <col min="8" max="8" width="13.5" bestFit="1" customWidth="1"/>
    <col min="9" max="9" width="13.640625" bestFit="1" customWidth="1"/>
    <col min="10" max="10" width="22.35546875" bestFit="1" customWidth="1"/>
    <col min="11" max="11" width="15.5" bestFit="1" customWidth="1"/>
    <col min="12" max="12" width="19.140625" bestFit="1" customWidth="1"/>
    <col min="13" max="13" width="17.7109375" bestFit="1" customWidth="1"/>
    <col min="14" max="14" width="8.78515625" bestFit="1" customWidth="1"/>
    <col min="15" max="15" width="10.28515625" bestFit="1" customWidth="1"/>
    <col min="16" max="16" width="4.140625" bestFit="1" customWidth="1"/>
    <col min="17" max="17" width="4.35546875" bestFit="1" customWidth="1"/>
    <col min="18" max="19" width="3.78515625" bestFit="1" customWidth="1"/>
    <col min="20" max="20" width="5.35546875" bestFit="1" customWidth="1"/>
    <col min="21" max="23" width="3.78515625" bestFit="1" customWidth="1"/>
    <col min="24" max="24" width="17.7109375" bestFit="1" customWidth="1"/>
    <col min="25" max="25" width="3.78515625" bestFit="1" customWidth="1"/>
    <col min="26" max="26" width="5.78515625" bestFit="1" customWidth="1"/>
    <col min="27" max="27" width="4.78515625" bestFit="1" customWidth="1"/>
    <col min="28" max="28" width="5.78515625" bestFit="1" customWidth="1"/>
    <col min="29" max="30" width="3.78515625" bestFit="1" customWidth="1"/>
    <col min="31" max="31" width="4.78515625" bestFit="1" customWidth="1"/>
    <col min="32" max="35" width="3.78515625" bestFit="1" customWidth="1"/>
    <col min="36" max="36" width="24.0703125" bestFit="1" customWidth="1"/>
    <col min="37" max="37" width="22.640625" bestFit="1" customWidth="1"/>
    <col min="38" max="52" width="18.42578125" bestFit="1" customWidth="1"/>
    <col min="53" max="53" width="23" bestFit="1" customWidth="1"/>
    <col min="54" max="54" width="21.28515625" bestFit="1" customWidth="1"/>
  </cols>
  <sheetData>
    <row r="3" spans="1:10" x14ac:dyDescent="0.4">
      <c r="A3" s="14" t="s">
        <v>99</v>
      </c>
      <c r="B3" t="s">
        <v>101</v>
      </c>
      <c r="D3" t="s">
        <v>107</v>
      </c>
      <c r="F3" t="s">
        <v>105</v>
      </c>
      <c r="H3" s="14" t="s">
        <v>99</v>
      </c>
      <c r="I3" t="s">
        <v>109</v>
      </c>
      <c r="J3" t="s">
        <v>110</v>
      </c>
    </row>
    <row r="4" spans="1:10" x14ac:dyDescent="0.4">
      <c r="A4" s="15" t="s">
        <v>95</v>
      </c>
      <c r="B4">
        <v>1</v>
      </c>
      <c r="D4">
        <v>140830</v>
      </c>
      <c r="F4">
        <v>1752.25</v>
      </c>
      <c r="H4" s="15" t="s">
        <v>68</v>
      </c>
      <c r="I4">
        <v>10</v>
      </c>
      <c r="J4" s="17"/>
    </row>
    <row r="5" spans="1:10" x14ac:dyDescent="0.4">
      <c r="A5" s="15" t="s">
        <v>86</v>
      </c>
      <c r="B5">
        <v>1</v>
      </c>
      <c r="H5" s="15" t="s">
        <v>66</v>
      </c>
      <c r="I5">
        <v>11</v>
      </c>
      <c r="J5" s="17">
        <f>GETPIVOTDATA("Name",$H$3,"Gender","Male")/GETPIVOTDATA("Name",$H$3)</f>
        <v>0.52380952380952384</v>
      </c>
    </row>
    <row r="6" spans="1:10" x14ac:dyDescent="0.4">
      <c r="A6" s="15" t="s">
        <v>79</v>
      </c>
      <c r="B6">
        <v>1</v>
      </c>
      <c r="H6" s="15" t="s">
        <v>100</v>
      </c>
      <c r="I6">
        <v>21</v>
      </c>
    </row>
    <row r="7" spans="1:10" x14ac:dyDescent="0.4">
      <c r="A7" s="15" t="s">
        <v>82</v>
      </c>
      <c r="B7">
        <v>1</v>
      </c>
    </row>
    <row r="8" spans="1:10" x14ac:dyDescent="0.4">
      <c r="A8" s="15" t="s">
        <v>77</v>
      </c>
      <c r="B8">
        <v>1</v>
      </c>
    </row>
    <row r="9" spans="1:10" x14ac:dyDescent="0.4">
      <c r="A9" s="15" t="s">
        <v>85</v>
      </c>
      <c r="B9">
        <v>1</v>
      </c>
    </row>
    <row r="10" spans="1:10" x14ac:dyDescent="0.4">
      <c r="A10" s="15" t="s">
        <v>69</v>
      </c>
      <c r="B10">
        <v>1</v>
      </c>
    </row>
    <row r="11" spans="1:10" x14ac:dyDescent="0.4">
      <c r="A11" s="15" t="s">
        <v>63</v>
      </c>
      <c r="B11">
        <v>1</v>
      </c>
      <c r="D11" t="s">
        <v>106</v>
      </c>
      <c r="F11" t="s">
        <v>104</v>
      </c>
      <c r="H11" s="14" t="s">
        <v>99</v>
      </c>
      <c r="I11" t="s">
        <v>109</v>
      </c>
    </row>
    <row r="12" spans="1:10" x14ac:dyDescent="0.4">
      <c r="A12" s="15" t="s">
        <v>84</v>
      </c>
      <c r="B12">
        <v>1</v>
      </c>
      <c r="D12">
        <v>-28615.499999999989</v>
      </c>
      <c r="F12">
        <v>-348.64999999999986</v>
      </c>
      <c r="H12" s="15" t="s">
        <v>64</v>
      </c>
      <c r="I12">
        <v>15</v>
      </c>
    </row>
    <row r="13" spans="1:10" x14ac:dyDescent="0.4">
      <c r="A13" s="15" t="s">
        <v>89</v>
      </c>
      <c r="B13">
        <v>1</v>
      </c>
      <c r="H13" s="15" t="s">
        <v>73</v>
      </c>
      <c r="I13">
        <v>4</v>
      </c>
    </row>
    <row r="14" spans="1:10" x14ac:dyDescent="0.4">
      <c r="A14" s="15" t="s">
        <v>90</v>
      </c>
      <c r="B14">
        <v>1</v>
      </c>
      <c r="H14" s="15" t="s">
        <v>76</v>
      </c>
      <c r="I14">
        <v>2</v>
      </c>
    </row>
    <row r="15" spans="1:10" x14ac:dyDescent="0.4">
      <c r="A15" s="15" t="s">
        <v>87</v>
      </c>
      <c r="B15">
        <v>1</v>
      </c>
      <c r="H15" s="15" t="s">
        <v>100</v>
      </c>
      <c r="I15">
        <v>21</v>
      </c>
    </row>
    <row r="16" spans="1:10" x14ac:dyDescent="0.4">
      <c r="A16" s="15" t="s">
        <v>94</v>
      </c>
      <c r="B16">
        <v>1</v>
      </c>
    </row>
    <row r="17" spans="1:13" x14ac:dyDescent="0.4">
      <c r="A17" s="15" t="s">
        <v>72</v>
      </c>
      <c r="B17">
        <v>1</v>
      </c>
    </row>
    <row r="18" spans="1:13" x14ac:dyDescent="0.4">
      <c r="A18" s="15" t="s">
        <v>97</v>
      </c>
      <c r="B18">
        <v>1</v>
      </c>
    </row>
    <row r="19" spans="1:13" x14ac:dyDescent="0.4">
      <c r="A19" s="15" t="s">
        <v>92</v>
      </c>
      <c r="B19">
        <v>1</v>
      </c>
    </row>
    <row r="20" spans="1:13" x14ac:dyDescent="0.4">
      <c r="A20" s="15" t="s">
        <v>75</v>
      </c>
      <c r="B20">
        <v>1</v>
      </c>
    </row>
    <row r="21" spans="1:13" x14ac:dyDescent="0.4">
      <c r="A21" s="15" t="s">
        <v>67</v>
      </c>
      <c r="B21">
        <v>1</v>
      </c>
      <c r="F21" s="14" t="s">
        <v>99</v>
      </c>
      <c r="G21" t="s">
        <v>109</v>
      </c>
      <c r="H21" s="15"/>
    </row>
    <row r="22" spans="1:13" x14ac:dyDescent="0.4">
      <c r="A22" s="15" t="s">
        <v>70</v>
      </c>
      <c r="B22">
        <v>1</v>
      </c>
      <c r="F22" s="15" t="s">
        <v>65</v>
      </c>
      <c r="G22">
        <v>5</v>
      </c>
      <c r="H22" s="15"/>
    </row>
    <row r="23" spans="1:13" x14ac:dyDescent="0.4">
      <c r="A23" s="15" t="s">
        <v>80</v>
      </c>
      <c r="B23">
        <v>1</v>
      </c>
      <c r="F23" s="15" t="s">
        <v>71</v>
      </c>
      <c r="G23">
        <v>1</v>
      </c>
      <c r="H23" s="15"/>
    </row>
    <row r="24" spans="1:13" x14ac:dyDescent="0.4">
      <c r="A24" s="15" t="s">
        <v>83</v>
      </c>
      <c r="B24">
        <v>1</v>
      </c>
      <c r="F24" s="15" t="s">
        <v>74</v>
      </c>
      <c r="G24">
        <v>2</v>
      </c>
      <c r="H24" s="15"/>
    </row>
    <row r="25" spans="1:13" x14ac:dyDescent="0.4">
      <c r="A25" s="15" t="s">
        <v>100</v>
      </c>
      <c r="B25">
        <v>21</v>
      </c>
      <c r="F25" s="15" t="s">
        <v>78</v>
      </c>
      <c r="G25">
        <v>2</v>
      </c>
      <c r="H25" s="15"/>
    </row>
    <row r="26" spans="1:13" x14ac:dyDescent="0.4">
      <c r="A26" s="14" t="s">
        <v>99</v>
      </c>
      <c r="B26" t="s">
        <v>102</v>
      </c>
      <c r="C26" t="s">
        <v>103</v>
      </c>
      <c r="D26" t="s">
        <v>111</v>
      </c>
      <c r="E26" t="s">
        <v>112</v>
      </c>
      <c r="F26" s="15" t="s">
        <v>81</v>
      </c>
      <c r="G26">
        <v>4</v>
      </c>
      <c r="H26" s="15"/>
      <c r="K26" s="14" t="s">
        <v>99</v>
      </c>
      <c r="L26" t="s">
        <v>104</v>
      </c>
      <c r="M26" t="s">
        <v>105</v>
      </c>
    </row>
    <row r="27" spans="1:13" x14ac:dyDescent="0.4">
      <c r="A27" s="15" t="s">
        <v>97</v>
      </c>
      <c r="B27">
        <v>259600</v>
      </c>
      <c r="C27" s="16">
        <v>1950</v>
      </c>
      <c r="D27">
        <v>1893</v>
      </c>
      <c r="E27">
        <v>214500</v>
      </c>
      <c r="F27" s="15" t="s">
        <v>88</v>
      </c>
      <c r="G27">
        <v>2</v>
      </c>
      <c r="H27" s="15"/>
      <c r="K27" s="15" t="s">
        <v>95</v>
      </c>
      <c r="L27">
        <v>-28.5</v>
      </c>
      <c r="M27">
        <v>0</v>
      </c>
    </row>
    <row r="28" spans="1:13" x14ac:dyDescent="0.4">
      <c r="A28" s="15" t="s">
        <v>67</v>
      </c>
      <c r="B28">
        <v>236000</v>
      </c>
      <c r="C28" s="16">
        <v>1510</v>
      </c>
      <c r="D28">
        <v>1561.5</v>
      </c>
      <c r="E28">
        <v>151000</v>
      </c>
      <c r="F28" s="15" t="s">
        <v>91</v>
      </c>
      <c r="G28">
        <v>1</v>
      </c>
      <c r="H28" s="15"/>
      <c r="K28" s="15" t="s">
        <v>86</v>
      </c>
      <c r="L28">
        <v>0</v>
      </c>
      <c r="M28">
        <v>125</v>
      </c>
    </row>
    <row r="29" spans="1:13" x14ac:dyDescent="0.4">
      <c r="A29" s="15" t="s">
        <v>84</v>
      </c>
      <c r="B29">
        <v>236000</v>
      </c>
      <c r="C29" s="16">
        <v>1476.8</v>
      </c>
      <c r="D29">
        <v>1437.75</v>
      </c>
      <c r="E29">
        <v>147680</v>
      </c>
      <c r="F29" s="15" t="s">
        <v>93</v>
      </c>
      <c r="G29">
        <v>2</v>
      </c>
      <c r="H29" s="15"/>
      <c r="K29" s="15" t="s">
        <v>79</v>
      </c>
      <c r="L29">
        <v>0</v>
      </c>
      <c r="M29">
        <v>178.65000000000009</v>
      </c>
    </row>
    <row r="30" spans="1:13" x14ac:dyDescent="0.4">
      <c r="A30" s="15" t="s">
        <v>83</v>
      </c>
      <c r="B30">
        <v>177000</v>
      </c>
      <c r="C30" s="16">
        <v>1473.5</v>
      </c>
      <c r="D30">
        <v>1424.5</v>
      </c>
      <c r="E30">
        <v>110512.5</v>
      </c>
      <c r="F30" s="15" t="s">
        <v>96</v>
      </c>
      <c r="G30">
        <v>2</v>
      </c>
      <c r="K30" s="15" t="s">
        <v>82</v>
      </c>
      <c r="L30">
        <v>0</v>
      </c>
      <c r="M30">
        <v>231.04999999999995</v>
      </c>
    </row>
    <row r="31" spans="1:13" x14ac:dyDescent="0.4">
      <c r="A31" s="15" t="s">
        <v>85</v>
      </c>
      <c r="B31">
        <v>188800</v>
      </c>
      <c r="C31" s="16">
        <v>1453.1</v>
      </c>
      <c r="D31">
        <v>1444</v>
      </c>
      <c r="E31">
        <v>116248</v>
      </c>
      <c r="F31" s="15" t="s">
        <v>100</v>
      </c>
      <c r="G31">
        <v>21</v>
      </c>
      <c r="K31" s="15" t="s">
        <v>77</v>
      </c>
      <c r="L31">
        <v>0</v>
      </c>
      <c r="M31">
        <v>181.70000000000005</v>
      </c>
    </row>
    <row r="32" spans="1:13" x14ac:dyDescent="0.4">
      <c r="A32" s="15" t="s">
        <v>72</v>
      </c>
      <c r="B32">
        <v>124000</v>
      </c>
      <c r="C32" s="16">
        <v>1427</v>
      </c>
      <c r="D32">
        <v>1556.5</v>
      </c>
      <c r="E32">
        <v>71350</v>
      </c>
      <c r="K32" s="15" t="s">
        <v>85</v>
      </c>
      <c r="L32">
        <v>-9.0999999999999091</v>
      </c>
      <c r="M32">
        <v>0</v>
      </c>
    </row>
    <row r="33" spans="1:13" x14ac:dyDescent="0.4">
      <c r="A33" s="15" t="s">
        <v>69</v>
      </c>
      <c r="B33">
        <v>236000</v>
      </c>
      <c r="C33" s="16">
        <v>1398</v>
      </c>
      <c r="D33">
        <v>1502.5</v>
      </c>
      <c r="E33">
        <v>139800</v>
      </c>
      <c r="K33" s="15" t="s">
        <v>69</v>
      </c>
      <c r="L33">
        <v>0</v>
      </c>
      <c r="M33">
        <v>104.5</v>
      </c>
    </row>
    <row r="34" spans="1:13" x14ac:dyDescent="0.4">
      <c r="A34" s="15" t="s">
        <v>80</v>
      </c>
      <c r="B34">
        <v>177000</v>
      </c>
      <c r="C34" s="16">
        <v>1397.9</v>
      </c>
      <c r="D34">
        <v>1573.5</v>
      </c>
      <c r="E34">
        <v>104842.5</v>
      </c>
      <c r="K34" s="15" t="s">
        <v>63</v>
      </c>
      <c r="L34">
        <v>0</v>
      </c>
      <c r="M34">
        <v>41.5</v>
      </c>
    </row>
    <row r="35" spans="1:13" x14ac:dyDescent="0.4">
      <c r="A35" s="15" t="s">
        <v>79</v>
      </c>
      <c r="B35">
        <v>100</v>
      </c>
      <c r="C35" s="16">
        <v>1394.6</v>
      </c>
      <c r="D35">
        <v>1573.25</v>
      </c>
      <c r="E35">
        <v>104595</v>
      </c>
      <c r="K35" s="15" t="s">
        <v>84</v>
      </c>
      <c r="L35">
        <v>-39.049999999999955</v>
      </c>
      <c r="M35">
        <v>0</v>
      </c>
    </row>
    <row r="36" spans="1:13" x14ac:dyDescent="0.4">
      <c r="A36" s="15" t="s">
        <v>82</v>
      </c>
      <c r="B36">
        <v>177000</v>
      </c>
      <c r="C36" s="16">
        <v>1393.2</v>
      </c>
      <c r="D36">
        <v>1624.25</v>
      </c>
      <c r="E36">
        <v>104490</v>
      </c>
      <c r="K36" s="15" t="s">
        <v>89</v>
      </c>
      <c r="L36">
        <v>-22</v>
      </c>
      <c r="M36">
        <v>0</v>
      </c>
    </row>
    <row r="37" spans="1:13" x14ac:dyDescent="0.4">
      <c r="A37" s="15" t="s">
        <v>77</v>
      </c>
      <c r="B37">
        <v>177000</v>
      </c>
      <c r="C37" s="16">
        <v>1391.3</v>
      </c>
      <c r="D37">
        <v>1573</v>
      </c>
      <c r="E37">
        <v>104347.5</v>
      </c>
      <c r="K37" s="15" t="s">
        <v>90</v>
      </c>
      <c r="L37">
        <v>-57</v>
      </c>
      <c r="M37">
        <v>0</v>
      </c>
    </row>
    <row r="38" spans="1:13" x14ac:dyDescent="0.4">
      <c r="A38" s="15" t="s">
        <v>70</v>
      </c>
      <c r="B38">
        <v>236000</v>
      </c>
      <c r="C38" s="16">
        <v>1384</v>
      </c>
      <c r="D38">
        <v>1594</v>
      </c>
      <c r="E38">
        <v>138400</v>
      </c>
      <c r="K38" s="15" t="s">
        <v>87</v>
      </c>
      <c r="L38">
        <v>0</v>
      </c>
      <c r="M38">
        <v>65</v>
      </c>
    </row>
    <row r="39" spans="1:13" x14ac:dyDescent="0.4">
      <c r="A39" s="15" t="s">
        <v>75</v>
      </c>
      <c r="B39">
        <v>188800</v>
      </c>
      <c r="C39" s="16">
        <v>1365</v>
      </c>
      <c r="D39">
        <v>1607.25</v>
      </c>
      <c r="E39">
        <v>109200</v>
      </c>
      <c r="K39" s="15" t="s">
        <v>94</v>
      </c>
      <c r="L39">
        <v>-87</v>
      </c>
      <c r="M39">
        <v>0</v>
      </c>
    </row>
    <row r="40" spans="1:13" x14ac:dyDescent="0.4">
      <c r="A40" s="15" t="s">
        <v>92</v>
      </c>
      <c r="B40">
        <v>177000</v>
      </c>
      <c r="C40" s="16">
        <v>1362</v>
      </c>
      <c r="D40">
        <v>1378</v>
      </c>
      <c r="E40">
        <v>102150</v>
      </c>
      <c r="K40" s="15" t="s">
        <v>72</v>
      </c>
      <c r="L40">
        <v>0</v>
      </c>
      <c r="M40">
        <v>129.5</v>
      </c>
    </row>
    <row r="41" spans="1:13" x14ac:dyDescent="0.4">
      <c r="A41" s="15" t="s">
        <v>95</v>
      </c>
      <c r="B41">
        <v>177000</v>
      </c>
      <c r="C41" s="16">
        <v>1360</v>
      </c>
      <c r="D41">
        <v>1331.5</v>
      </c>
      <c r="E41">
        <v>102000</v>
      </c>
      <c r="K41" s="15" t="s">
        <v>97</v>
      </c>
      <c r="L41">
        <v>-57</v>
      </c>
      <c r="M41">
        <v>0</v>
      </c>
    </row>
    <row r="42" spans="1:13" x14ac:dyDescent="0.4">
      <c r="A42" s="15" t="s">
        <v>94</v>
      </c>
      <c r="B42">
        <v>177000</v>
      </c>
      <c r="C42" s="16">
        <v>1346</v>
      </c>
      <c r="D42">
        <v>1259</v>
      </c>
      <c r="E42">
        <v>100950</v>
      </c>
      <c r="K42" s="15" t="s">
        <v>92</v>
      </c>
      <c r="L42">
        <v>0</v>
      </c>
      <c r="M42">
        <v>16</v>
      </c>
    </row>
    <row r="43" spans="1:13" x14ac:dyDescent="0.4">
      <c r="A43" s="15" t="s">
        <v>87</v>
      </c>
      <c r="B43">
        <v>177000</v>
      </c>
      <c r="C43" s="16">
        <v>1265</v>
      </c>
      <c r="D43">
        <v>1330</v>
      </c>
      <c r="E43">
        <v>94875</v>
      </c>
      <c r="K43" s="15" t="s">
        <v>75</v>
      </c>
      <c r="L43">
        <v>0</v>
      </c>
      <c r="M43">
        <v>242.25</v>
      </c>
    </row>
    <row r="44" spans="1:13" x14ac:dyDescent="0.4">
      <c r="A44" s="15" t="s">
        <v>90</v>
      </c>
      <c r="B44">
        <v>177000</v>
      </c>
      <c r="C44" s="16">
        <v>1257</v>
      </c>
      <c r="D44">
        <v>1200</v>
      </c>
      <c r="E44">
        <v>94275</v>
      </c>
      <c r="K44" s="15" t="s">
        <v>67</v>
      </c>
      <c r="L44">
        <v>0</v>
      </c>
      <c r="M44">
        <v>51.5</v>
      </c>
    </row>
    <row r="45" spans="1:13" x14ac:dyDescent="0.4">
      <c r="A45" s="15" t="s">
        <v>63</v>
      </c>
      <c r="B45">
        <v>236000</v>
      </c>
      <c r="C45" s="16">
        <v>1242</v>
      </c>
      <c r="D45">
        <v>1283.5</v>
      </c>
      <c r="E45">
        <v>124200</v>
      </c>
      <c r="K45" s="15" t="s">
        <v>70</v>
      </c>
      <c r="L45">
        <v>0</v>
      </c>
      <c r="M45">
        <v>210</v>
      </c>
    </row>
    <row r="46" spans="1:13" x14ac:dyDescent="0.4">
      <c r="A46" s="15" t="s">
        <v>89</v>
      </c>
      <c r="B46">
        <v>124000</v>
      </c>
      <c r="C46" s="16">
        <v>1235</v>
      </c>
      <c r="D46">
        <v>1213</v>
      </c>
      <c r="E46">
        <v>61750</v>
      </c>
      <c r="K46" s="15" t="s">
        <v>80</v>
      </c>
      <c r="L46">
        <v>0</v>
      </c>
      <c r="M46">
        <v>175.59999999999991</v>
      </c>
    </row>
    <row r="47" spans="1:13" x14ac:dyDescent="0.4">
      <c r="A47" s="15" t="s">
        <v>86</v>
      </c>
      <c r="B47">
        <v>200600</v>
      </c>
      <c r="C47" s="16">
        <v>1194</v>
      </c>
      <c r="D47">
        <v>1319</v>
      </c>
      <c r="E47">
        <v>101490</v>
      </c>
      <c r="K47" s="15" t="s">
        <v>83</v>
      </c>
      <c r="L47">
        <v>-49</v>
      </c>
      <c r="M47">
        <v>0</v>
      </c>
    </row>
    <row r="48" spans="1:13" x14ac:dyDescent="0.4">
      <c r="A48" s="15" t="s">
        <v>100</v>
      </c>
      <c r="B48">
        <v>3858900</v>
      </c>
      <c r="C48">
        <v>29275.4</v>
      </c>
      <c r="D48">
        <v>30679</v>
      </c>
      <c r="E48">
        <v>2398655.5</v>
      </c>
      <c r="K48" s="15" t="s">
        <v>100</v>
      </c>
      <c r="L48">
        <v>-348.64999999999986</v>
      </c>
      <c r="M48">
        <v>1752.25</v>
      </c>
    </row>
    <row r="55" spans="1:16" x14ac:dyDescent="0.4">
      <c r="A55" s="14" t="s">
        <v>115</v>
      </c>
    </row>
    <row r="56" spans="1:16" x14ac:dyDescent="0.4">
      <c r="A56" s="15" t="s">
        <v>114</v>
      </c>
      <c r="B56">
        <v>2437.5</v>
      </c>
    </row>
    <row r="57" spans="1:16" x14ac:dyDescent="0.4">
      <c r="A57" s="15" t="s">
        <v>113</v>
      </c>
      <c r="B57">
        <v>1901</v>
      </c>
      <c r="D57" t="s">
        <v>151</v>
      </c>
      <c r="E57" t="s">
        <v>140</v>
      </c>
      <c r="F57" t="s">
        <v>141</v>
      </c>
      <c r="G57" t="s">
        <v>152</v>
      </c>
      <c r="H57" t="s">
        <v>143</v>
      </c>
      <c r="I57" t="s">
        <v>144</v>
      </c>
      <c r="J57" t="s">
        <v>145</v>
      </c>
      <c r="K57" t="s">
        <v>146</v>
      </c>
      <c r="L57" t="s">
        <v>153</v>
      </c>
      <c r="M57" t="s">
        <v>147</v>
      </c>
      <c r="N57" t="s">
        <v>148</v>
      </c>
      <c r="O57" t="s">
        <v>154</v>
      </c>
      <c r="P57" t="s">
        <v>149</v>
      </c>
    </row>
    <row r="58" spans="1:16" x14ac:dyDescent="0.4">
      <c r="A58" s="15" t="s">
        <v>116</v>
      </c>
      <c r="B58">
        <v>4436</v>
      </c>
      <c r="D58" t="s">
        <v>138</v>
      </c>
      <c r="E58">
        <f>GETPIVOTDATA("Sum of Actual January",$A$55)</f>
        <v>2437.5</v>
      </c>
      <c r="F58">
        <f>GETPIVOTDATA("Sum of Actual February",$A$55)</f>
        <v>4436</v>
      </c>
      <c r="G58">
        <f>GETPIVOTDATA("Sum of Actual March",$A$55)</f>
        <v>4358</v>
      </c>
      <c r="H58">
        <f>GETPIVOTDATA("Sum of Actual April",$A$55)</f>
        <v>4266</v>
      </c>
      <c r="I58">
        <f>GETPIVOTDATA("Sum of Actual May",$A$55)</f>
        <v>4276.5</v>
      </c>
      <c r="J58">
        <f>GETPIVOTDATA("Sum of Actual June",$A$55)</f>
        <v>4420.5</v>
      </c>
      <c r="K58">
        <f>GETPIVOTDATA("Sum of Actual July",$A$55)</f>
        <v>1848</v>
      </c>
      <c r="L58">
        <f>GETPIVOTDATA("Sum of Actual August",$A$55)</f>
        <v>2788.5</v>
      </c>
      <c r="M58">
        <f>GETPIVOTDATA("Sum of Actual September",$A$55)</f>
        <v>0</v>
      </c>
      <c r="N58">
        <f>GETPIVOTDATA("Sum of Actual October",$A$55)</f>
        <v>0</v>
      </c>
      <c r="O58">
        <f>GETPIVOTDATA("Sum of Actual November",$A$55)</f>
        <v>0</v>
      </c>
      <c r="P58">
        <f>GETPIVOTDATA("Sum of Actual December",$A$55)</f>
        <v>0</v>
      </c>
    </row>
    <row r="59" spans="1:16" x14ac:dyDescent="0.4">
      <c r="A59" s="15" t="s">
        <v>117</v>
      </c>
      <c r="B59">
        <v>4275</v>
      </c>
      <c r="D59" t="s">
        <v>139</v>
      </c>
      <c r="E59">
        <f>GETPIVOTDATA("Sum of Invoice January",$A$55)</f>
        <v>1901</v>
      </c>
      <c r="F59">
        <f>GETPIVOTDATA("Sum of Invoice February",$A$55)</f>
        <v>4275</v>
      </c>
      <c r="G59">
        <f>GETPIVOTDATA("Sum of Invoice March",$A$55)</f>
        <v>4936</v>
      </c>
      <c r="H59">
        <f>GETPIVOTDATA("Sum of Invoice April",$A$55)</f>
        <v>4484</v>
      </c>
      <c r="I59">
        <f>GETPIVOTDATA("Sum of Invoice May",$A$55)</f>
        <v>4384</v>
      </c>
      <c r="J59">
        <f>GETPIVOTDATA("Sum of Invoice June",$A$55)</f>
        <v>4406</v>
      </c>
      <c r="K59">
        <f>GETPIVOTDATA("Sum of Invoice July",$A$55)</f>
        <v>2100</v>
      </c>
      <c r="L59">
        <f>GETPIVOTDATA("Sum of Invoice August",$A$55)</f>
        <v>2789.3999999999996</v>
      </c>
      <c r="M59">
        <f>GETPIVOTDATA("Sum of Invoice September",$A$55)</f>
        <v>0</v>
      </c>
      <c r="N59">
        <f>GETPIVOTDATA("Sum of Invoice October",$A$55)</f>
        <v>0</v>
      </c>
      <c r="O59">
        <f>GETPIVOTDATA("Sum of Invoice November",$A$55)</f>
        <v>0</v>
      </c>
      <c r="P59">
        <f>GETPIVOTDATA("Sum of Invoice December",$A$55)</f>
        <v>0</v>
      </c>
    </row>
    <row r="60" spans="1:16" x14ac:dyDescent="0.4">
      <c r="A60" s="15" t="s">
        <v>118</v>
      </c>
      <c r="B60">
        <v>4358</v>
      </c>
      <c r="D60" t="s">
        <v>150</v>
      </c>
      <c r="E60">
        <f>IF(E59-E58&gt;0,E59-E58&amp;"+",E59-E58)</f>
        <v>-536.5</v>
      </c>
      <c r="F60">
        <f t="shared" ref="F60:P60" si="0">IF(F59-F58&gt;0,F59-F58&amp;"+",F59-F58)</f>
        <v>-161</v>
      </c>
      <c r="G60" t="str">
        <f t="shared" si="0"/>
        <v>578+</v>
      </c>
      <c r="H60" t="str">
        <f t="shared" si="0"/>
        <v>218+</v>
      </c>
      <c r="I60" t="str">
        <f t="shared" si="0"/>
        <v>107.5+</v>
      </c>
      <c r="J60">
        <f t="shared" si="0"/>
        <v>-14.5</v>
      </c>
      <c r="K60" t="str">
        <f t="shared" si="0"/>
        <v>252+</v>
      </c>
      <c r="L60" t="str">
        <f t="shared" si="0"/>
        <v>0.899999999999636+</v>
      </c>
      <c r="M60">
        <f t="shared" si="0"/>
        <v>0</v>
      </c>
      <c r="N60">
        <f t="shared" si="0"/>
        <v>0</v>
      </c>
      <c r="O60">
        <f t="shared" si="0"/>
        <v>0</v>
      </c>
      <c r="P60">
        <f t="shared" si="0"/>
        <v>0</v>
      </c>
    </row>
    <row r="61" spans="1:16" x14ac:dyDescent="0.4">
      <c r="A61" s="15" t="s">
        <v>119</v>
      </c>
      <c r="B61">
        <v>4936</v>
      </c>
    </row>
    <row r="62" spans="1:16" x14ac:dyDescent="0.4">
      <c r="A62" s="15" t="s">
        <v>120</v>
      </c>
      <c r="B62">
        <v>4266</v>
      </c>
    </row>
    <row r="63" spans="1:16" x14ac:dyDescent="0.4">
      <c r="A63" s="15" t="s">
        <v>121</v>
      </c>
      <c r="B63">
        <v>4484</v>
      </c>
    </row>
    <row r="64" spans="1:16" x14ac:dyDescent="0.4">
      <c r="A64" s="15" t="s">
        <v>122</v>
      </c>
      <c r="B64">
        <v>4276.5</v>
      </c>
    </row>
    <row r="65" spans="1:2" x14ac:dyDescent="0.4">
      <c r="A65" s="15" t="s">
        <v>123</v>
      </c>
      <c r="B65">
        <v>4384</v>
      </c>
    </row>
    <row r="66" spans="1:2" x14ac:dyDescent="0.4">
      <c r="A66" s="15" t="s">
        <v>124</v>
      </c>
      <c r="B66">
        <v>4420.5</v>
      </c>
    </row>
    <row r="67" spans="1:2" x14ac:dyDescent="0.4">
      <c r="A67" s="15" t="s">
        <v>125</v>
      </c>
      <c r="B67">
        <v>4406</v>
      </c>
    </row>
    <row r="68" spans="1:2" x14ac:dyDescent="0.4">
      <c r="A68" s="15" t="s">
        <v>126</v>
      </c>
      <c r="B68">
        <v>1848</v>
      </c>
    </row>
    <row r="69" spans="1:2" x14ac:dyDescent="0.4">
      <c r="A69" s="15" t="s">
        <v>127</v>
      </c>
      <c r="B69">
        <v>2100</v>
      </c>
    </row>
    <row r="70" spans="1:2" x14ac:dyDescent="0.4">
      <c r="A70" s="15" t="s">
        <v>128</v>
      </c>
      <c r="B70">
        <v>2788.5</v>
      </c>
    </row>
    <row r="71" spans="1:2" x14ac:dyDescent="0.4">
      <c r="A71" s="15" t="s">
        <v>129</v>
      </c>
      <c r="B71">
        <v>2789.3999999999996</v>
      </c>
    </row>
    <row r="72" spans="1:2" x14ac:dyDescent="0.4">
      <c r="A72" s="15" t="s">
        <v>130</v>
      </c>
      <c r="B72">
        <v>0</v>
      </c>
    </row>
    <row r="73" spans="1:2" x14ac:dyDescent="0.4">
      <c r="A73" s="15" t="s">
        <v>131</v>
      </c>
      <c r="B73">
        <v>0</v>
      </c>
    </row>
    <row r="74" spans="1:2" x14ac:dyDescent="0.4">
      <c r="A74" s="15" t="s">
        <v>132</v>
      </c>
      <c r="B74">
        <v>0</v>
      </c>
    </row>
    <row r="75" spans="1:2" x14ac:dyDescent="0.4">
      <c r="A75" s="15" t="s">
        <v>133</v>
      </c>
      <c r="B75">
        <v>0</v>
      </c>
    </row>
    <row r="76" spans="1:2" x14ac:dyDescent="0.4">
      <c r="A76" s="15" t="s">
        <v>134</v>
      </c>
      <c r="B76">
        <v>0</v>
      </c>
    </row>
    <row r="77" spans="1:2" x14ac:dyDescent="0.4">
      <c r="A77" s="15" t="s">
        <v>135</v>
      </c>
      <c r="B77">
        <v>0</v>
      </c>
    </row>
    <row r="78" spans="1:2" x14ac:dyDescent="0.4">
      <c r="A78" s="15" t="s">
        <v>136</v>
      </c>
      <c r="B78">
        <v>0</v>
      </c>
    </row>
    <row r="79" spans="1:2" x14ac:dyDescent="0.4">
      <c r="A79" s="15" t="s">
        <v>137</v>
      </c>
      <c r="B79">
        <v>0</v>
      </c>
    </row>
    <row r="86" spans="1:11" x14ac:dyDescent="0.4">
      <c r="A86" s="14" t="s">
        <v>115</v>
      </c>
    </row>
    <row r="87" spans="1:11" x14ac:dyDescent="0.4">
      <c r="A87" s="15" t="s">
        <v>166</v>
      </c>
      <c r="B87">
        <v>200855</v>
      </c>
      <c r="D87" t="s">
        <v>151</v>
      </c>
      <c r="E87" t="s">
        <v>140</v>
      </c>
      <c r="F87" t="s">
        <v>141</v>
      </c>
      <c r="G87" t="s">
        <v>142</v>
      </c>
      <c r="H87" t="s">
        <v>143</v>
      </c>
      <c r="I87" t="s">
        <v>144</v>
      </c>
      <c r="J87" t="s">
        <v>145</v>
      </c>
      <c r="K87" t="s">
        <v>146</v>
      </c>
    </row>
    <row r="88" spans="1:11" x14ac:dyDescent="0.4">
      <c r="A88" s="15" t="s">
        <v>165</v>
      </c>
      <c r="B88">
        <v>403957.5</v>
      </c>
      <c r="D88" t="s">
        <v>167</v>
      </c>
      <c r="E88" s="36">
        <f>GETPIVOTDATA("Sum of Jan Final Amount",$A$86)</f>
        <v>200855</v>
      </c>
      <c r="F88" s="36">
        <f>GETPIVOTDATA("Sum of Feb Final Amount",$A$86)</f>
        <v>403957.5</v>
      </c>
      <c r="G88" s="36">
        <f>GETPIVOTDATA("Sum of Mar Final Amount",$A$86)</f>
        <v>372315</v>
      </c>
      <c r="H88" s="36">
        <f>GETPIVOTDATA("Sum of Apr Final Amount",$A$86)</f>
        <v>305455</v>
      </c>
      <c r="I88" s="36">
        <f>GETPIVOTDATA("Sum of May Final Amount",$A$86)</f>
        <v>330330</v>
      </c>
      <c r="J88" s="36">
        <f>GETPIVOTDATA("Sum of Jun Final Amount",$A$86)</f>
        <v>350645</v>
      </c>
      <c r="K88" s="36">
        <f>GETPIVOTDATA("Sum of Jul Final Amount",$A$86)</f>
        <v>150277.5</v>
      </c>
    </row>
    <row r="89" spans="1:11" x14ac:dyDescent="0.4">
      <c r="A89" s="15" t="s">
        <v>164</v>
      </c>
      <c r="B89">
        <v>372315</v>
      </c>
    </row>
    <row r="90" spans="1:11" x14ac:dyDescent="0.4">
      <c r="A90" s="15" t="s">
        <v>163</v>
      </c>
      <c r="B90">
        <v>305455</v>
      </c>
    </row>
    <row r="91" spans="1:11" x14ac:dyDescent="0.4">
      <c r="A91" s="15" t="s">
        <v>162</v>
      </c>
      <c r="B91">
        <v>330330</v>
      </c>
    </row>
    <row r="92" spans="1:11" x14ac:dyDescent="0.4">
      <c r="A92" s="15" t="s">
        <v>161</v>
      </c>
      <c r="B92">
        <v>350645</v>
      </c>
    </row>
    <row r="93" spans="1:11" x14ac:dyDescent="0.4">
      <c r="A93" s="15" t="s">
        <v>160</v>
      </c>
      <c r="B93">
        <v>150277.5</v>
      </c>
    </row>
    <row r="94" spans="1:11" x14ac:dyDescent="0.4">
      <c r="A94" s="15" t="s">
        <v>159</v>
      </c>
      <c r="B94">
        <v>208312.5</v>
      </c>
    </row>
    <row r="95" spans="1:11" x14ac:dyDescent="0.4">
      <c r="A95" s="15" t="s">
        <v>158</v>
      </c>
      <c r="B95">
        <v>856.99999999999909</v>
      </c>
    </row>
    <row r="96" spans="1:11" x14ac:dyDescent="0.4">
      <c r="A96" s="15" t="s">
        <v>157</v>
      </c>
      <c r="B96">
        <v>0</v>
      </c>
    </row>
    <row r="97" spans="1:6" x14ac:dyDescent="0.4">
      <c r="A97" s="15" t="s">
        <v>156</v>
      </c>
      <c r="B97">
        <v>0</v>
      </c>
    </row>
    <row r="98" spans="1:6" x14ac:dyDescent="0.4">
      <c r="A98" s="15" t="s">
        <v>155</v>
      </c>
      <c r="B98">
        <v>0</v>
      </c>
    </row>
    <row r="102" spans="1:6" x14ac:dyDescent="0.4">
      <c r="A102" t="s">
        <v>112</v>
      </c>
      <c r="B102" t="s">
        <v>102</v>
      </c>
    </row>
    <row r="103" spans="1:6" x14ac:dyDescent="0.4">
      <c r="A103">
        <v>2398655.5</v>
      </c>
      <c r="B103">
        <v>3858900</v>
      </c>
      <c r="D103" t="s">
        <v>168</v>
      </c>
      <c r="E103">
        <f>GETPIVOTDATA("Sum of OPEX Invoice Hrs. Paid",$A$102)</f>
        <v>2398655.5</v>
      </c>
      <c r="F103" s="17">
        <f>E103/E106</f>
        <v>0.62159047915208998</v>
      </c>
    </row>
    <row r="104" spans="1:6" x14ac:dyDescent="0.4">
      <c r="D104" t="s">
        <v>169</v>
      </c>
      <c r="E104">
        <f>GETPIVOTDATA("Sum of Total Budget Allocated ",$A$102)-GETPIVOTDATA("Sum of OPEX Invoice Hrs. Paid",$A$102)</f>
        <v>1460244.5</v>
      </c>
      <c r="F104" s="17">
        <f>E104/E106</f>
        <v>0.37840952084791002</v>
      </c>
    </row>
    <row r="106" spans="1:6" x14ac:dyDescent="0.4">
      <c r="D106" t="s">
        <v>170</v>
      </c>
      <c r="E106">
        <f>E104+E103</f>
        <v>3858900</v>
      </c>
    </row>
  </sheetData>
  <phoneticPr fontId="20" type="noConversion"/>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0A91-06CA-46E7-BAC0-744249D5EC5F}">
  <dimension ref="G2:P22"/>
  <sheetViews>
    <sheetView showGridLines="0" tabSelected="1" zoomScale="49" zoomScaleNormal="85" workbookViewId="0">
      <selection activeCell="R18" sqref="R18"/>
    </sheetView>
  </sheetViews>
  <sheetFormatPr defaultRowHeight="21" x14ac:dyDescent="0.4"/>
  <cols>
    <col min="1" max="6" width="9.140625" style="19"/>
    <col min="7" max="7" width="22.640625" style="19" bestFit="1" customWidth="1"/>
    <col min="8" max="8" width="16.42578125" style="19" bestFit="1" customWidth="1"/>
    <col min="9" max="9" width="9.140625" style="19" customWidth="1"/>
    <col min="10" max="10" width="16.28515625" style="19" customWidth="1"/>
    <col min="11" max="11" width="16.5703125" style="19" bestFit="1" customWidth="1"/>
    <col min="12" max="12" width="21.85546875" style="19" bestFit="1" customWidth="1"/>
    <col min="13" max="14" width="15.78515625" style="19" bestFit="1" customWidth="1"/>
    <col min="15" max="15" width="21" style="19" bestFit="1" customWidth="1"/>
    <col min="16" max="16" width="21.640625" style="19" bestFit="1" customWidth="1"/>
    <col min="17" max="16384" width="9.140625" style="19"/>
  </cols>
  <sheetData>
    <row r="2" spans="7:16" ht="46.2" x14ac:dyDescent="0.85">
      <c r="G2" s="18">
        <f>GETPIVOTDATA("Sum of Total Budget Allocated ",calculations!$A$26)</f>
        <v>3858900</v>
      </c>
      <c r="J2" s="20">
        <f>GETPIVOTDATA("Sum of Total Agreed Hrs.",calculations!$A$26)</f>
        <v>29275.4</v>
      </c>
      <c r="K2" s="21"/>
      <c r="L2" s="20">
        <f>GETPIVOTDATA("Sum of Actual Hours ",calculations!$A$26)</f>
        <v>30679</v>
      </c>
      <c r="O2" s="35">
        <f>GETPIVOTDATA("Sum of OPEX Invoice Hrs. Paid",calculations!$A$26)</f>
        <v>2398655.5</v>
      </c>
      <c r="P2" s="34"/>
    </row>
    <row r="3" spans="7:16" ht="28.8" x14ac:dyDescent="0.55000000000000004">
      <c r="G3" s="22"/>
      <c r="L3" s="33"/>
    </row>
    <row r="10" spans="7:16" ht="31.2" x14ac:dyDescent="0.6">
      <c r="J10" s="23">
        <f>GETPIVOTDATA("Gender",calculations!$A$3)</f>
        <v>21</v>
      </c>
      <c r="K10" s="24" t="s">
        <v>108</v>
      </c>
    </row>
    <row r="11" spans="7:16" ht="45" x14ac:dyDescent="0.75">
      <c r="H11" s="25">
        <f>GETPIVOTDATA(" Extra Hours Amount",calculations!$D$3)</f>
        <v>140830</v>
      </c>
      <c r="L11" s="37"/>
      <c r="P11" s="38"/>
    </row>
    <row r="12" spans="7:16" ht="33.6" x14ac:dyDescent="0.65">
      <c r="I12" s="26"/>
      <c r="J12" s="27"/>
    </row>
    <row r="13" spans="7:16" ht="33.6" x14ac:dyDescent="0.65">
      <c r="H13" s="28">
        <f>GETPIVOTDATA(" Extra Hours",calculations!$F$3)</f>
        <v>1752.25</v>
      </c>
      <c r="I13" s="29"/>
    </row>
    <row r="16" spans="7:16" ht="30" x14ac:dyDescent="0.5">
      <c r="I16" s="30">
        <f>IFERROR(GETPIVOTDATA("Name",calculations!$H$11,"Position "," Sr. Cameraman")," ")</f>
        <v>15</v>
      </c>
      <c r="J16" s="30">
        <f>IFERROR(GETPIVOTDATA("Name",calculations!$H$11,"Position ","Assistant ")," ")</f>
        <v>4</v>
      </c>
      <c r="K16" s="30">
        <f>IFERROR(GETPIVOTDATA("Name",calculations!$H$11,"Position ","Coordinator")," ")</f>
        <v>2</v>
      </c>
    </row>
    <row r="17" spans="8:15" ht="31.2" x14ac:dyDescent="0.6">
      <c r="H17" s="28">
        <f>GETPIVOTDATA("Missing Amount",calculations!$D$11)</f>
        <v>-28615.499999999989</v>
      </c>
    </row>
    <row r="18" spans="8:15" ht="45" x14ac:dyDescent="0.75">
      <c r="L18" s="37"/>
      <c r="M18" s="38">
        <f>calculations!F104</f>
        <v>0.37840952084791002</v>
      </c>
      <c r="N18" s="38"/>
      <c r="O18" s="38">
        <f>calculations!F103</f>
        <v>0.62159047915208998</v>
      </c>
    </row>
    <row r="19" spans="8:15" ht="45" x14ac:dyDescent="0.75">
      <c r="H19" s="28">
        <f>GETPIVOTDATA("Missing Hours",calculations!$F$11)</f>
        <v>-348.64999999999986</v>
      </c>
      <c r="I19" s="31">
        <f>IFERROR(GETPIVOTDATA("Name",calculations!$F$21,"Nationality","Jordanian")," ")</f>
        <v>2</v>
      </c>
      <c r="J19" s="31">
        <f>IFERROR(GETPIVOTDATA("Name",calculations!$F$21,"Nationality","Egyptian")," ")</f>
        <v>5</v>
      </c>
      <c r="K19" s="31">
        <f>IFERROR(GETPIVOTDATA("Name",calculations!$F$21,"Nationality","Palestinian"),"")</f>
        <v>1</v>
      </c>
      <c r="L19" s="40"/>
      <c r="M19" s="39">
        <f>calculations!E104</f>
        <v>1460244.5</v>
      </c>
      <c r="N19" s="39"/>
      <c r="O19" s="39">
        <f>calculations!E103</f>
        <v>2398655.5</v>
      </c>
    </row>
    <row r="20" spans="8:15" ht="30" x14ac:dyDescent="0.5">
      <c r="I20" s="31">
        <f>IFERROR(GETPIVOTDATA("Name",calculations!$F$21,"Nationality","Lebanese")," ")</f>
        <v>4</v>
      </c>
      <c r="J20" s="32">
        <f>IFERROR(GETPIVOTDATA("Name",calculations!$F$21,"Nationality","Indian")," ")</f>
        <v>1</v>
      </c>
      <c r="K20" s="31">
        <f>IFERROR(GETPIVOTDATA("Name",calculations!$F$21,"Nationality","Tunisia")," ")</f>
        <v>2</v>
      </c>
    </row>
    <row r="21" spans="8:15" ht="30" x14ac:dyDescent="0.5">
      <c r="I21" s="31">
        <f>IFERROR(GETPIVOTDATA("Name",calculations!$F$21,"Nationality","Pakistani")," ")</f>
        <v>2</v>
      </c>
      <c r="J21" s="31">
        <f>IFERROR(GETPIVOTDATA("Name",calculations!$F$21,"Nationality","Iranian")," ")</f>
        <v>2</v>
      </c>
      <c r="K21" s="31">
        <f>IFERROR(GETPIVOTDATA("Name",calculations!$F$21,"Nationality","United Kingdom")," ")</f>
        <v>2</v>
      </c>
    </row>
    <row r="22" spans="8:15" ht="30" x14ac:dyDescent="0.5">
      <c r="K22" s="31"/>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xr2:uid="{6C33923B-06A0-47DA-8377-BC0B4D7DCD4A}">
          <x14:colorSeries theme="0" tint="-0.499984740745262"/>
          <x14:colorNegative rgb="FFD00000"/>
          <x14:colorAxis rgb="FF000000"/>
          <x14:colorMarkers rgb="FFD00000"/>
          <x14:colorFirst rgb="FFD00000"/>
          <x14:colorLast rgb="FFD00000"/>
          <x14:colorHigh rgb="FFD00000"/>
          <x14:colorLow rgb="FFD00000"/>
          <x14:sparklines>
            <x14:sparkline>
              <xm:f>calculations!E27:E47</xm:f>
              <xm:sqref>O3</xm:sqref>
            </x14:sparkline>
          </x14:sparklines>
        </x14:sparklineGroup>
        <x14:sparklineGroup type="column" displayEmptyCellsAs="gap" xr2:uid="{2695C572-CD4F-437C-95F2-FB647C6F22AC}">
          <x14:colorSeries theme="0" tint="-0.499984740745262"/>
          <x14:colorNegative theme="5"/>
          <x14:colorAxis rgb="FF000000"/>
          <x14:colorMarkers theme="4" tint="-0.499984740745262"/>
          <x14:colorFirst theme="4" tint="0.39997558519241921"/>
          <x14:colorLast theme="4" tint="0.39997558519241921"/>
          <x14:colorHigh theme="4"/>
          <x14:colorLow theme="4"/>
          <x14:sparklines>
            <x14:sparkline>
              <xm:f>calculations!D27:D47</xm:f>
              <xm:sqref>L3</xm:sqref>
            </x14:sparkline>
          </x14:sparklines>
        </x14:sparklineGroup>
        <x14:sparklineGroup type="column" displayEmptyCellsAs="gap" xr2:uid="{8DD9C01C-E7E6-4313-A161-B04526176D3D}">
          <x14:colorSeries theme="0" tint="-0.499984740745262"/>
          <x14:colorNegative rgb="FF000000"/>
          <x14:colorAxis rgb="FF000000"/>
          <x14:colorMarkers rgb="FF000000"/>
          <x14:colorFirst rgb="FF000000"/>
          <x14:colorLast rgb="FF000000"/>
          <x14:colorHigh rgb="FF000000"/>
          <x14:colorLow rgb="FF000000"/>
          <x14:sparklines>
            <x14:sparkline>
              <xm:f>calculations!C27:C47</xm:f>
              <xm:sqref>J3</xm:sqref>
            </x14:sparkline>
          </x14:sparklines>
        </x14:sparklineGroup>
        <x14:sparklineGroup displayEmptyCellsAs="gap" xr2:uid="{F1EFB1C5-818E-4FC3-96BA-B3FAC5A0D3CD}">
          <x14:colorSeries theme="0" tint="-0.499984740745262"/>
          <x14:colorNegative rgb="FFD00000"/>
          <x14:colorAxis rgb="FF000000"/>
          <x14:colorMarkers rgb="FFD00000"/>
          <x14:colorFirst rgb="FFD00000"/>
          <x14:colorLast rgb="FFD00000"/>
          <x14:colorHigh rgb="FFD00000"/>
          <x14:colorLow rgb="FFD00000"/>
          <x14:sparklines>
            <x14:sparkline>
              <xm:f>calculations!B27:B47</xm:f>
              <xm:sqref>G3</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4B8F-3876-4071-B45F-B6F829F84EF0}">
  <sheetPr>
    <tabColor theme="1"/>
  </sheetPr>
  <dimension ref="A1:BK22"/>
  <sheetViews>
    <sheetView showRowColHeaders="0" topLeftCell="M1" workbookViewId="0">
      <selection activeCell="N32" sqref="N32"/>
    </sheetView>
  </sheetViews>
  <sheetFormatPr defaultColWidth="8.640625" defaultRowHeight="15.6" x14ac:dyDescent="0.3"/>
  <cols>
    <col min="1" max="1" width="5.85546875" style="1" bestFit="1" customWidth="1"/>
    <col min="2" max="2" width="12.140625" style="1" bestFit="1" customWidth="1"/>
    <col min="3" max="4" width="10.7109375" style="1" bestFit="1" customWidth="1"/>
    <col min="5" max="5" width="5.5" style="1" bestFit="1" customWidth="1"/>
    <col min="6" max="6" width="5.35546875" style="1" bestFit="1" customWidth="1"/>
    <col min="7" max="7" width="8.2109375" style="1" bestFit="1" customWidth="1"/>
    <col min="8" max="8" width="10.85546875" style="1" bestFit="1" customWidth="1"/>
    <col min="9" max="9" width="12" style="1" bestFit="1" customWidth="1"/>
    <col min="10" max="10" width="6.140625" style="1" bestFit="1" customWidth="1"/>
    <col min="11" max="11" width="6.85546875" style="1" bestFit="1" customWidth="1"/>
    <col min="12" max="12" width="9.140625" style="1" bestFit="1" customWidth="1"/>
    <col min="13" max="13" width="10.2109375" style="1" bestFit="1" customWidth="1"/>
    <col min="14" max="14" width="6.140625" style="1" bestFit="1" customWidth="1"/>
    <col min="15" max="15" width="7.140625" style="1" bestFit="1" customWidth="1"/>
    <col min="16" max="16" width="22.640625" style="1" bestFit="1" customWidth="1"/>
    <col min="17" max="17" width="15.2109375" style="1" bestFit="1" customWidth="1"/>
    <col min="18" max="18" width="10.140625" style="1" bestFit="1" customWidth="1"/>
    <col min="19" max="19" width="9.7109375" style="1" bestFit="1" customWidth="1"/>
    <col min="20" max="20" width="11.5" style="1" bestFit="1" customWidth="1"/>
    <col min="21" max="21" width="10.85546875" style="1" bestFit="1" customWidth="1"/>
    <col min="22" max="22" width="10.5" style="1" bestFit="1" customWidth="1"/>
    <col min="23" max="23" width="11.7109375" style="1" bestFit="1" customWidth="1"/>
    <col min="24" max="24" width="9.35546875" style="1" bestFit="1" customWidth="1"/>
    <col min="25" max="25" width="9" style="1" bestFit="1" customWidth="1"/>
    <col min="26" max="26" width="12" style="1" bestFit="1" customWidth="1"/>
    <col min="27" max="27" width="8.35546875" style="1" bestFit="1" customWidth="1"/>
    <col min="28" max="28" width="8" style="1" bestFit="1" customWidth="1"/>
    <col min="29" max="29" width="11.640625" style="1" bestFit="1" customWidth="1"/>
    <col min="30" max="30" width="8.140625" style="1" bestFit="1" customWidth="1"/>
    <col min="31" max="31" width="7.7109375" style="1" bestFit="1" customWidth="1"/>
    <col min="32" max="32" width="12.140625" style="1" bestFit="1" customWidth="1"/>
    <col min="33" max="33" width="8.2109375" style="1" bestFit="1" customWidth="1"/>
    <col min="34" max="34" width="7.85546875" style="1" bestFit="1" customWidth="1"/>
    <col min="35" max="35" width="11.5" style="1" bestFit="1" customWidth="1"/>
    <col min="36" max="36" width="7.7109375" style="1" bestFit="1" customWidth="1"/>
    <col min="37" max="37" width="7.35546875" style="1" bestFit="1" customWidth="1"/>
    <col min="38" max="38" width="11.140625" style="1" bestFit="1" customWidth="1"/>
    <col min="39" max="39" width="9.7109375" style="1" bestFit="1" customWidth="1"/>
    <col min="40" max="40" width="9.35546875" style="1" bestFit="1" customWidth="1"/>
    <col min="41" max="41" width="11.85546875" style="1" bestFit="1" customWidth="1"/>
    <col min="42" max="42" width="12.2109375" style="1" bestFit="1" customWidth="1"/>
    <col min="43" max="43" width="11.85546875" style="1" bestFit="1" customWidth="1"/>
    <col min="44" max="44" width="11.7109375" style="1" bestFit="1" customWidth="1"/>
    <col min="45" max="45" width="10.35546875" style="1" bestFit="1" customWidth="1"/>
    <col min="46" max="46" width="10" style="1" bestFit="1" customWidth="1"/>
    <col min="47" max="47" width="11.640625" style="1" bestFit="1" customWidth="1"/>
    <col min="48" max="48" width="11.85546875" style="1" bestFit="1" customWidth="1"/>
    <col min="49" max="49" width="11.5" style="1" bestFit="1" customWidth="1"/>
    <col min="50" max="50" width="11.85546875" style="1" bestFit="1" customWidth="1"/>
    <col min="51" max="51" width="11.7109375" style="1" bestFit="1" customWidth="1"/>
    <col min="52" max="52" width="11.35546875" style="1" bestFit="1" customWidth="1"/>
    <col min="53" max="53" width="11.7109375" style="1" bestFit="1" customWidth="1"/>
    <col min="54" max="54" width="11.5" style="1" bestFit="1" customWidth="1"/>
    <col min="55" max="55" width="9" style="1" bestFit="1" customWidth="1"/>
    <col min="56" max="56" width="18.35546875" style="1" bestFit="1" customWidth="1"/>
    <col min="57" max="57" width="9.5" style="1" bestFit="1" customWidth="1"/>
    <col min="58" max="58" width="10.85546875" style="1" bestFit="1" customWidth="1"/>
    <col min="59" max="59" width="8.2109375" style="1" bestFit="1" customWidth="1"/>
    <col min="60" max="60" width="13.5" style="1" bestFit="1" customWidth="1"/>
    <col min="61" max="61" width="24.5" style="1" bestFit="1" customWidth="1"/>
    <col min="62" max="62" width="14.5" style="1" bestFit="1" customWidth="1"/>
    <col min="63" max="63" width="19.35546875" style="1" bestFit="1" customWidth="1"/>
    <col min="64" max="16384" width="8.640625" style="1"/>
  </cols>
  <sheetData>
    <row r="1" spans="1:63" ht="31.05"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x14ac:dyDescent="0.3">
      <c r="A2" s="3">
        <v>1</v>
      </c>
      <c r="B2" s="3" t="s">
        <v>80</v>
      </c>
      <c r="C2" s="3" t="s">
        <v>64</v>
      </c>
      <c r="D2" s="3" t="s">
        <v>81</v>
      </c>
      <c r="E2" s="3" t="s">
        <v>68</v>
      </c>
      <c r="F2" s="3" t="s">
        <v>5</v>
      </c>
      <c r="G2" s="3" t="s">
        <v>6</v>
      </c>
      <c r="H2" s="4">
        <v>75</v>
      </c>
      <c r="I2" s="4">
        <v>15000</v>
      </c>
      <c r="J2" s="5">
        <v>43831</v>
      </c>
      <c r="K2" s="5">
        <v>44012</v>
      </c>
      <c r="L2" s="6">
        <v>67.5</v>
      </c>
      <c r="M2" s="6">
        <v>13500</v>
      </c>
      <c r="N2" s="5">
        <v>44013</v>
      </c>
      <c r="O2" s="5">
        <v>44196</v>
      </c>
      <c r="P2" s="7">
        <v>0.1</v>
      </c>
      <c r="Q2" s="4">
        <v>177000</v>
      </c>
      <c r="R2" s="3">
        <v>0</v>
      </c>
      <c r="S2" s="3">
        <v>76</v>
      </c>
      <c r="T2" s="8">
        <v>5700</v>
      </c>
      <c r="U2" s="3">
        <v>200</v>
      </c>
      <c r="V2" s="3">
        <v>200</v>
      </c>
      <c r="W2" s="8">
        <v>20700</v>
      </c>
      <c r="X2" s="3">
        <v>250</v>
      </c>
      <c r="Y2" s="3">
        <v>196</v>
      </c>
      <c r="Z2" s="8">
        <v>14700</v>
      </c>
      <c r="AA2" s="3">
        <v>208</v>
      </c>
      <c r="AB2" s="3">
        <v>225</v>
      </c>
      <c r="AC2" s="8">
        <v>12825</v>
      </c>
      <c r="AD2" s="3">
        <v>208</v>
      </c>
      <c r="AE2" s="3">
        <v>270</v>
      </c>
      <c r="AF2" s="8">
        <v>21525</v>
      </c>
      <c r="AG2" s="3">
        <v>211</v>
      </c>
      <c r="AH2" s="3">
        <v>212</v>
      </c>
      <c r="AI2" s="8">
        <v>20550</v>
      </c>
      <c r="AJ2" s="3">
        <v>100</v>
      </c>
      <c r="AK2" s="3">
        <v>88</v>
      </c>
      <c r="AL2" s="8">
        <v>6675</v>
      </c>
      <c r="AM2" s="3">
        <v>220.9</v>
      </c>
      <c r="AN2" s="3">
        <v>218.5</v>
      </c>
      <c r="AO2" s="8">
        <v>15487.5</v>
      </c>
      <c r="AP2" s="3">
        <v>0</v>
      </c>
      <c r="AQ2" s="3">
        <v>0</v>
      </c>
      <c r="AR2" s="9">
        <v>-180.00000000000043</v>
      </c>
      <c r="AS2" s="3">
        <v>0</v>
      </c>
      <c r="AT2" s="3">
        <v>0</v>
      </c>
      <c r="AU2" s="8">
        <v>0</v>
      </c>
      <c r="AV2" s="3">
        <v>0</v>
      </c>
      <c r="AW2" s="3">
        <v>0</v>
      </c>
      <c r="AX2" s="8">
        <v>0</v>
      </c>
      <c r="AY2" s="3">
        <v>0</v>
      </c>
      <c r="AZ2" s="3">
        <v>0</v>
      </c>
      <c r="BA2" s="8">
        <v>0</v>
      </c>
      <c r="BB2" s="3">
        <v>1397.9</v>
      </c>
      <c r="BC2" s="10">
        <v>1573.5</v>
      </c>
      <c r="BD2" s="8">
        <v>118012.5</v>
      </c>
      <c r="BE2" s="10" t="s">
        <v>98</v>
      </c>
      <c r="BF2" s="10" t="s">
        <v>98</v>
      </c>
      <c r="BG2" s="10">
        <v>175.59999999999991</v>
      </c>
      <c r="BH2" s="10">
        <v>13169.999999999993</v>
      </c>
      <c r="BI2" s="7">
        <v>0.12561699692395728</v>
      </c>
      <c r="BJ2" s="4">
        <v>104842.5</v>
      </c>
      <c r="BK2" s="11">
        <v>0.40766949152542376</v>
      </c>
    </row>
    <row r="3" spans="1:63" x14ac:dyDescent="0.3">
      <c r="A3" s="3">
        <v>2</v>
      </c>
      <c r="B3" s="3" t="s">
        <v>92</v>
      </c>
      <c r="C3" s="3" t="s">
        <v>64</v>
      </c>
      <c r="D3" s="3" t="s">
        <v>93</v>
      </c>
      <c r="E3" s="3" t="s">
        <v>66</v>
      </c>
      <c r="F3" s="3" t="s">
        <v>5</v>
      </c>
      <c r="G3" s="3" t="s">
        <v>6</v>
      </c>
      <c r="H3" s="4">
        <v>75</v>
      </c>
      <c r="I3" s="4">
        <v>15000</v>
      </c>
      <c r="J3" s="5">
        <v>43831</v>
      </c>
      <c r="K3" s="5">
        <v>44012</v>
      </c>
      <c r="L3" s="6">
        <v>67.5</v>
      </c>
      <c r="M3" s="6">
        <v>13500</v>
      </c>
      <c r="N3" s="5">
        <v>44013</v>
      </c>
      <c r="O3" s="5">
        <v>44196</v>
      </c>
      <c r="P3" s="7">
        <v>0.1</v>
      </c>
      <c r="Q3" s="4">
        <v>177000</v>
      </c>
      <c r="R3" s="3">
        <v>176</v>
      </c>
      <c r="S3" s="3">
        <v>170</v>
      </c>
      <c r="T3" s="8">
        <v>12750</v>
      </c>
      <c r="U3" s="3">
        <v>200</v>
      </c>
      <c r="V3" s="3">
        <v>194</v>
      </c>
      <c r="W3" s="8">
        <v>14100</v>
      </c>
      <c r="X3" s="3">
        <v>208</v>
      </c>
      <c r="Y3" s="3">
        <v>208</v>
      </c>
      <c r="Z3" s="8">
        <v>15150</v>
      </c>
      <c r="AA3" s="3">
        <v>208</v>
      </c>
      <c r="AB3" s="3">
        <v>200.5</v>
      </c>
      <c r="AC3" s="8">
        <v>15037.5</v>
      </c>
      <c r="AD3" s="3">
        <v>248</v>
      </c>
      <c r="AE3" s="3">
        <v>226.5</v>
      </c>
      <c r="AF3" s="8">
        <v>16425</v>
      </c>
      <c r="AG3" s="3">
        <v>200</v>
      </c>
      <c r="AH3" s="3">
        <v>184</v>
      </c>
      <c r="AI3" s="8">
        <v>12187.5</v>
      </c>
      <c r="AJ3" s="3">
        <v>100</v>
      </c>
      <c r="AK3" s="3">
        <v>88</v>
      </c>
      <c r="AL3" s="8">
        <v>5400</v>
      </c>
      <c r="AM3" s="3">
        <v>22</v>
      </c>
      <c r="AN3" s="3">
        <v>19</v>
      </c>
      <c r="AO3" s="8">
        <v>525</v>
      </c>
      <c r="AP3" s="3">
        <v>0</v>
      </c>
      <c r="AQ3" s="3">
        <v>0</v>
      </c>
      <c r="AR3" s="9">
        <v>-225</v>
      </c>
      <c r="AS3" s="3">
        <v>0</v>
      </c>
      <c r="AT3" s="3">
        <v>0</v>
      </c>
      <c r="AU3" s="8">
        <v>0</v>
      </c>
      <c r="AV3" s="3">
        <v>0</v>
      </c>
      <c r="AW3" s="3">
        <v>0</v>
      </c>
      <c r="AX3" s="8">
        <v>0</v>
      </c>
      <c r="AY3" s="3">
        <v>0</v>
      </c>
      <c r="AZ3" s="3">
        <v>0</v>
      </c>
      <c r="BA3" s="8">
        <v>0</v>
      </c>
      <c r="BB3" s="3">
        <v>1362</v>
      </c>
      <c r="BC3" s="10">
        <v>1378</v>
      </c>
      <c r="BD3" s="8">
        <v>103350</v>
      </c>
      <c r="BE3" s="10" t="s">
        <v>98</v>
      </c>
      <c r="BF3" s="10" t="s">
        <v>98</v>
      </c>
      <c r="BG3" s="10">
        <v>16</v>
      </c>
      <c r="BH3" s="10">
        <v>1200</v>
      </c>
      <c r="BI3" s="12">
        <v>1.1747430249632892E-2</v>
      </c>
      <c r="BJ3" s="4">
        <v>102150</v>
      </c>
      <c r="BK3" s="7">
        <v>0.42288135593220338</v>
      </c>
    </row>
    <row r="4" spans="1:63" x14ac:dyDescent="0.3">
      <c r="A4" s="3">
        <v>3</v>
      </c>
      <c r="B4" s="3" t="s">
        <v>94</v>
      </c>
      <c r="C4" s="3" t="s">
        <v>64</v>
      </c>
      <c r="D4" s="3" t="s">
        <v>93</v>
      </c>
      <c r="E4" s="3" t="s">
        <v>68</v>
      </c>
      <c r="F4" s="3" t="s">
        <v>5</v>
      </c>
      <c r="G4" s="3" t="s">
        <v>6</v>
      </c>
      <c r="H4" s="4">
        <v>75</v>
      </c>
      <c r="I4" s="4">
        <v>15000</v>
      </c>
      <c r="J4" s="5">
        <v>43831</v>
      </c>
      <c r="K4" s="5">
        <v>44012</v>
      </c>
      <c r="L4" s="6">
        <v>67.5</v>
      </c>
      <c r="M4" s="6">
        <v>13500</v>
      </c>
      <c r="N4" s="5">
        <v>44013</v>
      </c>
      <c r="O4" s="5">
        <v>44196</v>
      </c>
      <c r="P4" s="7">
        <v>0.1</v>
      </c>
      <c r="Q4" s="4">
        <v>177000</v>
      </c>
      <c r="R4" s="3">
        <v>224</v>
      </c>
      <c r="S4" s="3">
        <v>225</v>
      </c>
      <c r="T4" s="8">
        <v>16875</v>
      </c>
      <c r="U4" s="3">
        <v>200</v>
      </c>
      <c r="V4" s="3">
        <v>202</v>
      </c>
      <c r="W4" s="8">
        <v>15225</v>
      </c>
      <c r="X4" s="3">
        <v>200</v>
      </c>
      <c r="Y4" s="3">
        <v>164</v>
      </c>
      <c r="Z4" s="8">
        <v>12450</v>
      </c>
      <c r="AA4" s="3">
        <v>200</v>
      </c>
      <c r="AB4" s="3">
        <v>170</v>
      </c>
      <c r="AC4" s="8">
        <v>10050</v>
      </c>
      <c r="AD4" s="3">
        <v>200</v>
      </c>
      <c r="AE4" s="3">
        <v>95</v>
      </c>
      <c r="AF4" s="8">
        <v>4875</v>
      </c>
      <c r="AG4" s="3">
        <v>200</v>
      </c>
      <c r="AH4" s="3">
        <v>208</v>
      </c>
      <c r="AI4" s="8">
        <v>7725</v>
      </c>
      <c r="AJ4" s="3">
        <v>100</v>
      </c>
      <c r="AK4" s="3">
        <v>88</v>
      </c>
      <c r="AL4" s="8">
        <v>7200</v>
      </c>
      <c r="AM4" s="3">
        <v>22</v>
      </c>
      <c r="AN4" s="3">
        <v>19</v>
      </c>
      <c r="AO4" s="8">
        <v>525</v>
      </c>
      <c r="AP4" s="3">
        <v>0</v>
      </c>
      <c r="AQ4" s="3">
        <v>0</v>
      </c>
      <c r="AR4" s="9">
        <v>-225</v>
      </c>
      <c r="AS4" s="3">
        <v>0</v>
      </c>
      <c r="AT4" s="3">
        <v>0</v>
      </c>
      <c r="AU4" s="8">
        <v>0</v>
      </c>
      <c r="AV4" s="3">
        <v>0</v>
      </c>
      <c r="AW4" s="3">
        <v>0</v>
      </c>
      <c r="AX4" s="8">
        <v>0</v>
      </c>
      <c r="AY4" s="3">
        <v>0</v>
      </c>
      <c r="AZ4" s="3">
        <v>0</v>
      </c>
      <c r="BA4" s="8">
        <v>0</v>
      </c>
      <c r="BB4" s="3">
        <v>1346</v>
      </c>
      <c r="BC4" s="10">
        <v>1259</v>
      </c>
      <c r="BD4" s="8">
        <v>94425</v>
      </c>
      <c r="BE4" s="10">
        <v>-87</v>
      </c>
      <c r="BF4" s="10">
        <v>-6525</v>
      </c>
      <c r="BG4" s="10" t="s">
        <v>98</v>
      </c>
      <c r="BH4" s="10" t="s">
        <v>98</v>
      </c>
      <c r="BI4" s="12">
        <v>-6.4635958395245177E-2</v>
      </c>
      <c r="BJ4" s="4">
        <v>100950</v>
      </c>
      <c r="BK4" s="7">
        <v>0.42966101694915254</v>
      </c>
    </row>
    <row r="5" spans="1:63" x14ac:dyDescent="0.3">
      <c r="A5" s="3">
        <v>4</v>
      </c>
      <c r="B5" s="3" t="s">
        <v>97</v>
      </c>
      <c r="C5" s="3" t="s">
        <v>64</v>
      </c>
      <c r="D5" s="3" t="s">
        <v>96</v>
      </c>
      <c r="E5" s="3" t="s">
        <v>66</v>
      </c>
      <c r="F5" s="3" t="s">
        <v>5</v>
      </c>
      <c r="G5" s="3" t="s">
        <v>6</v>
      </c>
      <c r="H5" s="4">
        <v>110</v>
      </c>
      <c r="I5" s="4">
        <v>22000</v>
      </c>
      <c r="J5" s="5">
        <v>43831</v>
      </c>
      <c r="K5" s="5">
        <v>44012</v>
      </c>
      <c r="L5" s="6">
        <v>99</v>
      </c>
      <c r="M5" s="6">
        <v>19800</v>
      </c>
      <c r="N5" s="5">
        <v>44013</v>
      </c>
      <c r="O5" s="5">
        <v>44196</v>
      </c>
      <c r="P5" s="7">
        <v>0.1</v>
      </c>
      <c r="Q5" s="4">
        <v>259600</v>
      </c>
      <c r="R5" s="3">
        <v>240</v>
      </c>
      <c r="S5" s="3">
        <v>230</v>
      </c>
      <c r="T5" s="8">
        <v>25300</v>
      </c>
      <c r="U5" s="3">
        <v>300</v>
      </c>
      <c r="V5" s="3">
        <v>300</v>
      </c>
      <c r="W5" s="8">
        <v>31900</v>
      </c>
      <c r="X5" s="3">
        <v>312</v>
      </c>
      <c r="Y5" s="3">
        <v>295.5</v>
      </c>
      <c r="Z5" s="8">
        <v>32505</v>
      </c>
      <c r="AA5" s="3">
        <v>340</v>
      </c>
      <c r="AB5" s="3">
        <v>286.5</v>
      </c>
      <c r="AC5" s="8">
        <v>29700</v>
      </c>
      <c r="AD5" s="3">
        <v>336</v>
      </c>
      <c r="AE5" s="3">
        <v>308</v>
      </c>
      <c r="AF5" s="8">
        <v>27995</v>
      </c>
      <c r="AG5" s="3">
        <v>300</v>
      </c>
      <c r="AH5" s="3">
        <v>278</v>
      </c>
      <c r="AI5" s="8">
        <v>27500</v>
      </c>
      <c r="AJ5" s="3">
        <v>100</v>
      </c>
      <c r="AK5" s="3">
        <v>88</v>
      </c>
      <c r="AL5" s="8">
        <v>7260</v>
      </c>
      <c r="AM5" s="3">
        <v>22</v>
      </c>
      <c r="AN5" s="3">
        <v>19</v>
      </c>
      <c r="AO5" s="8">
        <v>770</v>
      </c>
      <c r="AP5" s="3">
        <v>0</v>
      </c>
      <c r="AQ5" s="3">
        <v>0</v>
      </c>
      <c r="AR5" s="9">
        <v>-330</v>
      </c>
      <c r="AS5" s="3">
        <v>0</v>
      </c>
      <c r="AT5" s="3">
        <v>0</v>
      </c>
      <c r="AU5" s="8">
        <v>0</v>
      </c>
      <c r="AV5" s="3">
        <v>0</v>
      </c>
      <c r="AW5" s="3">
        <v>0</v>
      </c>
      <c r="AX5" s="8">
        <v>0</v>
      </c>
      <c r="AY5" s="3">
        <v>0</v>
      </c>
      <c r="AZ5" s="3">
        <v>0</v>
      </c>
      <c r="BA5" s="8">
        <v>0</v>
      </c>
      <c r="BB5" s="3">
        <v>1950</v>
      </c>
      <c r="BC5" s="10">
        <v>1893</v>
      </c>
      <c r="BD5" s="8">
        <v>208230</v>
      </c>
      <c r="BE5" s="10">
        <v>-57</v>
      </c>
      <c r="BF5" s="10">
        <v>-6270</v>
      </c>
      <c r="BG5" s="10" t="s">
        <v>98</v>
      </c>
      <c r="BH5" s="10" t="s">
        <v>98</v>
      </c>
      <c r="BI5" s="12">
        <v>-2.923076923076923E-2</v>
      </c>
      <c r="BJ5" s="4">
        <v>214500</v>
      </c>
      <c r="BK5" s="7">
        <v>0.17372881355932204</v>
      </c>
    </row>
    <row r="6" spans="1:63" x14ac:dyDescent="0.3">
      <c r="A6" s="3">
        <v>5</v>
      </c>
      <c r="B6" s="3" t="s">
        <v>63</v>
      </c>
      <c r="C6" s="3" t="s">
        <v>64</v>
      </c>
      <c r="D6" s="3" t="s">
        <v>65</v>
      </c>
      <c r="E6" s="3" t="s">
        <v>66</v>
      </c>
      <c r="F6" s="3" t="s">
        <v>5</v>
      </c>
      <c r="G6" s="3" t="s">
        <v>6</v>
      </c>
      <c r="H6" s="4">
        <v>100</v>
      </c>
      <c r="I6" s="4">
        <v>20000</v>
      </c>
      <c r="J6" s="5">
        <v>43831</v>
      </c>
      <c r="K6" s="5">
        <v>44012</v>
      </c>
      <c r="L6" s="6">
        <v>90</v>
      </c>
      <c r="M6" s="6">
        <v>18000</v>
      </c>
      <c r="N6" s="5">
        <v>44013</v>
      </c>
      <c r="O6" s="5">
        <v>44196</v>
      </c>
      <c r="P6" s="7">
        <v>0.1</v>
      </c>
      <c r="Q6" s="4">
        <v>236000</v>
      </c>
      <c r="R6" s="3">
        <v>88</v>
      </c>
      <c r="S6" s="3">
        <v>84</v>
      </c>
      <c r="T6" s="8">
        <v>8400</v>
      </c>
      <c r="U6" s="3">
        <v>200</v>
      </c>
      <c r="V6" s="3">
        <v>199</v>
      </c>
      <c r="W6" s="8">
        <v>19500</v>
      </c>
      <c r="X6" s="3">
        <v>216</v>
      </c>
      <c r="Y6" s="3">
        <v>203</v>
      </c>
      <c r="Z6" s="8">
        <v>20200</v>
      </c>
      <c r="AA6" s="3">
        <v>208</v>
      </c>
      <c r="AB6" s="3">
        <v>203.5</v>
      </c>
      <c r="AC6" s="8">
        <v>19050</v>
      </c>
      <c r="AD6" s="3">
        <v>208</v>
      </c>
      <c r="AE6" s="3">
        <v>197.5</v>
      </c>
      <c r="AF6" s="8">
        <v>19300</v>
      </c>
      <c r="AG6" s="3">
        <v>200</v>
      </c>
      <c r="AH6" s="3">
        <v>201.5</v>
      </c>
      <c r="AI6" s="8">
        <v>19100</v>
      </c>
      <c r="AJ6" s="3">
        <v>100</v>
      </c>
      <c r="AK6" s="3">
        <v>88</v>
      </c>
      <c r="AL6" s="8">
        <v>8950</v>
      </c>
      <c r="AM6" s="3">
        <v>22</v>
      </c>
      <c r="AN6" s="3">
        <v>19</v>
      </c>
      <c r="AO6" s="8">
        <v>700</v>
      </c>
      <c r="AP6" s="3">
        <v>0</v>
      </c>
      <c r="AQ6" s="3">
        <v>0</v>
      </c>
      <c r="AR6" s="9">
        <v>-300</v>
      </c>
      <c r="AS6" s="3">
        <v>0</v>
      </c>
      <c r="AT6" s="3">
        <v>0</v>
      </c>
      <c r="AU6" s="8">
        <v>0</v>
      </c>
      <c r="AV6" s="3">
        <v>0</v>
      </c>
      <c r="AW6" s="3">
        <v>0</v>
      </c>
      <c r="AX6" s="8">
        <v>0</v>
      </c>
      <c r="AY6" s="3">
        <v>0</v>
      </c>
      <c r="AZ6" s="3">
        <v>0</v>
      </c>
      <c r="BA6" s="8">
        <v>0</v>
      </c>
      <c r="BB6" s="3">
        <v>1242</v>
      </c>
      <c r="BC6" s="10">
        <v>1283.5</v>
      </c>
      <c r="BD6" s="8">
        <v>128350</v>
      </c>
      <c r="BE6" s="10" t="s">
        <v>98</v>
      </c>
      <c r="BF6" s="10" t="s">
        <v>98</v>
      </c>
      <c r="BG6" s="10">
        <v>41.5</v>
      </c>
      <c r="BH6" s="10">
        <v>4150</v>
      </c>
      <c r="BI6" s="12">
        <v>3.3413848631239938E-2</v>
      </c>
      <c r="BJ6" s="4">
        <v>124200</v>
      </c>
      <c r="BK6" s="7">
        <v>0.47372881355932206</v>
      </c>
    </row>
    <row r="7" spans="1:63" x14ac:dyDescent="0.3">
      <c r="A7" s="3">
        <v>6</v>
      </c>
      <c r="B7" s="3" t="s">
        <v>67</v>
      </c>
      <c r="C7" s="3" t="s">
        <v>64</v>
      </c>
      <c r="D7" s="3" t="s">
        <v>65</v>
      </c>
      <c r="E7" s="3" t="s">
        <v>68</v>
      </c>
      <c r="F7" s="3" t="s">
        <v>5</v>
      </c>
      <c r="G7" s="3" t="s">
        <v>6</v>
      </c>
      <c r="H7" s="4">
        <v>100</v>
      </c>
      <c r="I7" s="4">
        <v>20000</v>
      </c>
      <c r="J7" s="5">
        <v>43831</v>
      </c>
      <c r="K7" s="5">
        <v>44012</v>
      </c>
      <c r="L7" s="6">
        <v>90</v>
      </c>
      <c r="M7" s="6">
        <v>18000</v>
      </c>
      <c r="N7" s="5">
        <v>44013</v>
      </c>
      <c r="O7" s="5">
        <v>44196</v>
      </c>
      <c r="P7" s="7">
        <v>0.1</v>
      </c>
      <c r="Q7" s="4">
        <v>236000</v>
      </c>
      <c r="R7" s="3">
        <v>140</v>
      </c>
      <c r="S7" s="3">
        <v>139</v>
      </c>
      <c r="T7" s="8">
        <v>13900</v>
      </c>
      <c r="U7" s="3">
        <v>200</v>
      </c>
      <c r="V7" s="3">
        <v>212</v>
      </c>
      <c r="W7" s="8">
        <v>21100</v>
      </c>
      <c r="X7" s="3">
        <v>238</v>
      </c>
      <c r="Y7" s="3">
        <v>188</v>
      </c>
      <c r="Z7" s="8">
        <v>20000</v>
      </c>
      <c r="AA7" s="3">
        <v>208</v>
      </c>
      <c r="AB7" s="3">
        <v>208.5</v>
      </c>
      <c r="AC7" s="8">
        <v>15850</v>
      </c>
      <c r="AD7" s="3">
        <v>208</v>
      </c>
      <c r="AE7" s="3">
        <v>216</v>
      </c>
      <c r="AF7" s="8">
        <v>21650</v>
      </c>
      <c r="AG7" s="3">
        <v>216</v>
      </c>
      <c r="AH7" s="3">
        <v>209</v>
      </c>
      <c r="AI7" s="8">
        <v>21700</v>
      </c>
      <c r="AJ7" s="3">
        <v>100</v>
      </c>
      <c r="AK7" s="3">
        <v>88</v>
      </c>
      <c r="AL7" s="8">
        <v>8100</v>
      </c>
      <c r="AM7" s="3">
        <v>200</v>
      </c>
      <c r="AN7" s="3">
        <v>213</v>
      </c>
      <c r="AO7" s="8">
        <v>20100</v>
      </c>
      <c r="AP7" s="3">
        <v>0</v>
      </c>
      <c r="AQ7" s="3">
        <v>0</v>
      </c>
      <c r="AR7" s="9">
        <v>1300</v>
      </c>
      <c r="AS7" s="3">
        <v>0</v>
      </c>
      <c r="AT7" s="3">
        <v>0</v>
      </c>
      <c r="AU7" s="8">
        <v>0</v>
      </c>
      <c r="AV7" s="3">
        <v>0</v>
      </c>
      <c r="AW7" s="3">
        <v>0</v>
      </c>
      <c r="AX7" s="8">
        <v>0</v>
      </c>
      <c r="AY7" s="3">
        <v>0</v>
      </c>
      <c r="AZ7" s="3">
        <v>0</v>
      </c>
      <c r="BA7" s="8">
        <v>0</v>
      </c>
      <c r="BB7" s="3">
        <v>1510</v>
      </c>
      <c r="BC7" s="10">
        <v>1561.5</v>
      </c>
      <c r="BD7" s="8">
        <v>156150</v>
      </c>
      <c r="BE7" s="10" t="s">
        <v>98</v>
      </c>
      <c r="BF7" s="10" t="s">
        <v>98</v>
      </c>
      <c r="BG7" s="10">
        <v>51.5</v>
      </c>
      <c r="BH7" s="10">
        <v>5150</v>
      </c>
      <c r="BI7" s="12">
        <v>3.4105960264900662E-2</v>
      </c>
      <c r="BJ7" s="4">
        <v>151000</v>
      </c>
      <c r="BK7" s="7">
        <v>0.36016949152542371</v>
      </c>
    </row>
    <row r="8" spans="1:63" x14ac:dyDescent="0.3">
      <c r="A8" s="3">
        <v>7</v>
      </c>
      <c r="B8" s="3" t="s">
        <v>95</v>
      </c>
      <c r="C8" s="3" t="s">
        <v>64</v>
      </c>
      <c r="D8" s="3" t="s">
        <v>96</v>
      </c>
      <c r="E8" s="3" t="s">
        <v>66</v>
      </c>
      <c r="F8" s="3" t="s">
        <v>5</v>
      </c>
      <c r="G8" s="3" t="s">
        <v>6</v>
      </c>
      <c r="H8" s="4">
        <v>75</v>
      </c>
      <c r="I8" s="4">
        <v>15000</v>
      </c>
      <c r="J8" s="5">
        <v>43831</v>
      </c>
      <c r="K8" s="5">
        <v>44012</v>
      </c>
      <c r="L8" s="6">
        <v>67.5</v>
      </c>
      <c r="M8" s="6">
        <v>13500</v>
      </c>
      <c r="N8" s="5">
        <v>44013</v>
      </c>
      <c r="O8" s="5">
        <v>44196</v>
      </c>
      <c r="P8" s="7">
        <v>0.1</v>
      </c>
      <c r="Q8" s="4">
        <v>177000</v>
      </c>
      <c r="R8" s="3">
        <v>172</v>
      </c>
      <c r="S8" s="3">
        <v>171.5</v>
      </c>
      <c r="T8" s="8">
        <v>12862.5</v>
      </c>
      <c r="U8" s="3">
        <v>228</v>
      </c>
      <c r="V8" s="3">
        <v>231.5</v>
      </c>
      <c r="W8" s="8">
        <v>17325</v>
      </c>
      <c r="X8" s="3">
        <v>230</v>
      </c>
      <c r="Y8" s="3">
        <v>187</v>
      </c>
      <c r="Z8" s="8">
        <v>14287.5</v>
      </c>
      <c r="AA8" s="3">
        <v>200</v>
      </c>
      <c r="AB8" s="3">
        <v>179</v>
      </c>
      <c r="AC8" s="8">
        <v>10200</v>
      </c>
      <c r="AD8" s="3">
        <v>200</v>
      </c>
      <c r="AE8" s="3">
        <v>161.5</v>
      </c>
      <c r="AF8" s="8">
        <v>10537.5</v>
      </c>
      <c r="AG8" s="3">
        <v>208</v>
      </c>
      <c r="AH8" s="3">
        <v>206</v>
      </c>
      <c r="AI8" s="8">
        <v>12562.5</v>
      </c>
      <c r="AJ8" s="3">
        <v>100</v>
      </c>
      <c r="AK8" s="3">
        <v>88</v>
      </c>
      <c r="AL8" s="8">
        <v>6450</v>
      </c>
      <c r="AM8" s="3">
        <v>22</v>
      </c>
      <c r="AN8" s="3">
        <v>19</v>
      </c>
      <c r="AO8" s="8">
        <v>525</v>
      </c>
      <c r="AP8" s="3">
        <v>0</v>
      </c>
      <c r="AQ8" s="3">
        <v>0</v>
      </c>
      <c r="AR8" s="9">
        <v>-225</v>
      </c>
      <c r="AS8" s="3">
        <v>0</v>
      </c>
      <c r="AT8" s="3">
        <v>0</v>
      </c>
      <c r="AU8" s="8">
        <v>0</v>
      </c>
      <c r="AV8" s="3">
        <v>0</v>
      </c>
      <c r="AW8" s="3">
        <v>0</v>
      </c>
      <c r="AX8" s="8">
        <v>0</v>
      </c>
      <c r="AY8" s="3">
        <v>0</v>
      </c>
      <c r="AZ8" s="3">
        <v>0</v>
      </c>
      <c r="BA8" s="8">
        <v>0</v>
      </c>
      <c r="BB8" s="3">
        <v>1360</v>
      </c>
      <c r="BC8" s="10">
        <v>1331.5</v>
      </c>
      <c r="BD8" s="8">
        <v>99862.5</v>
      </c>
      <c r="BE8" s="10">
        <v>-28.5</v>
      </c>
      <c r="BF8" s="10">
        <v>-2137.5</v>
      </c>
      <c r="BG8" s="10" t="s">
        <v>98</v>
      </c>
      <c r="BH8" s="10" t="s">
        <v>98</v>
      </c>
      <c r="BI8" s="12">
        <v>-2.0955882352941175E-2</v>
      </c>
      <c r="BJ8" s="4">
        <v>102000</v>
      </c>
      <c r="BK8" s="7">
        <v>0.42372881355932202</v>
      </c>
    </row>
    <row r="9" spans="1:63" x14ac:dyDescent="0.3">
      <c r="A9" s="3">
        <v>8</v>
      </c>
      <c r="B9" s="3" t="s">
        <v>82</v>
      </c>
      <c r="C9" s="3" t="s">
        <v>64</v>
      </c>
      <c r="D9" s="3" t="s">
        <v>65</v>
      </c>
      <c r="E9" s="3" t="s">
        <v>66</v>
      </c>
      <c r="F9" s="3" t="s">
        <v>5</v>
      </c>
      <c r="G9" s="3" t="s">
        <v>6</v>
      </c>
      <c r="H9" s="4">
        <v>75</v>
      </c>
      <c r="I9" s="4">
        <v>15000</v>
      </c>
      <c r="J9" s="5">
        <v>43831</v>
      </c>
      <c r="K9" s="5">
        <v>44012</v>
      </c>
      <c r="L9" s="6">
        <v>67.5</v>
      </c>
      <c r="M9" s="6">
        <v>13500</v>
      </c>
      <c r="N9" s="5">
        <v>44013</v>
      </c>
      <c r="O9" s="5">
        <v>44196</v>
      </c>
      <c r="P9" s="7">
        <v>0.1</v>
      </c>
      <c r="Q9" s="4">
        <v>177000</v>
      </c>
      <c r="R9" s="3">
        <v>0</v>
      </c>
      <c r="S9" s="3">
        <v>199</v>
      </c>
      <c r="T9" s="8">
        <v>14925</v>
      </c>
      <c r="U9" s="3">
        <v>200</v>
      </c>
      <c r="V9" s="3">
        <v>200</v>
      </c>
      <c r="W9" s="8">
        <v>29925</v>
      </c>
      <c r="X9" s="3">
        <v>250</v>
      </c>
      <c r="Y9" s="3">
        <v>196</v>
      </c>
      <c r="Z9" s="8">
        <v>14700</v>
      </c>
      <c r="AA9" s="3">
        <v>208</v>
      </c>
      <c r="AB9" s="3">
        <v>225</v>
      </c>
      <c r="AC9" s="8">
        <v>12825</v>
      </c>
      <c r="AD9" s="3">
        <v>200</v>
      </c>
      <c r="AE9" s="3">
        <v>197.5</v>
      </c>
      <c r="AF9" s="8">
        <v>16087.5</v>
      </c>
      <c r="AG9" s="3">
        <v>211</v>
      </c>
      <c r="AH9" s="3">
        <v>212</v>
      </c>
      <c r="AI9" s="8">
        <v>15712.5</v>
      </c>
      <c r="AJ9" s="3">
        <v>100</v>
      </c>
      <c r="AK9" s="3">
        <v>88</v>
      </c>
      <c r="AL9" s="8">
        <v>6675</v>
      </c>
      <c r="AM9" s="3">
        <v>224.2</v>
      </c>
      <c r="AN9" s="3">
        <v>218.75</v>
      </c>
      <c r="AO9" s="8">
        <v>15506.25</v>
      </c>
      <c r="AP9" s="3">
        <v>0</v>
      </c>
      <c r="AQ9" s="3">
        <v>0</v>
      </c>
      <c r="AR9" s="9">
        <v>-408.74999999999915</v>
      </c>
      <c r="AS9" s="3">
        <v>0</v>
      </c>
      <c r="AT9" s="3">
        <v>0</v>
      </c>
      <c r="AU9" s="8">
        <v>0</v>
      </c>
      <c r="AV9" s="3">
        <v>0</v>
      </c>
      <c r="AW9" s="3">
        <v>0</v>
      </c>
      <c r="AX9" s="8">
        <v>0</v>
      </c>
      <c r="AY9" s="3">
        <v>0</v>
      </c>
      <c r="AZ9" s="3">
        <v>0</v>
      </c>
      <c r="BA9" s="8">
        <v>0</v>
      </c>
      <c r="BB9" s="3">
        <v>1393.2</v>
      </c>
      <c r="BC9" s="10">
        <v>1624.25</v>
      </c>
      <c r="BD9" s="8">
        <v>121818.75</v>
      </c>
      <c r="BE9" s="10" t="s">
        <v>98</v>
      </c>
      <c r="BF9" s="10" t="s">
        <v>98</v>
      </c>
      <c r="BG9" s="10">
        <v>231.04999999999995</v>
      </c>
      <c r="BH9" s="10">
        <v>17328.749999999996</v>
      </c>
      <c r="BI9" s="12">
        <v>0.16584122882572491</v>
      </c>
      <c r="BJ9" s="4">
        <v>104490</v>
      </c>
      <c r="BK9" s="7">
        <v>0.40966101694915252</v>
      </c>
    </row>
    <row r="10" spans="1:63" x14ac:dyDescent="0.3">
      <c r="A10" s="3">
        <v>9</v>
      </c>
      <c r="B10" s="3" t="s">
        <v>77</v>
      </c>
      <c r="C10" s="3" t="s">
        <v>64</v>
      </c>
      <c r="D10" s="3" t="s">
        <v>78</v>
      </c>
      <c r="E10" s="3" t="s">
        <v>68</v>
      </c>
      <c r="F10" s="3" t="s">
        <v>5</v>
      </c>
      <c r="G10" s="3" t="s">
        <v>6</v>
      </c>
      <c r="H10" s="4">
        <v>75</v>
      </c>
      <c r="I10" s="4">
        <v>15000</v>
      </c>
      <c r="J10" s="5">
        <v>43831</v>
      </c>
      <c r="K10" s="5">
        <v>44012</v>
      </c>
      <c r="L10" s="6">
        <v>67.5</v>
      </c>
      <c r="M10" s="6">
        <v>13500</v>
      </c>
      <c r="N10" s="5">
        <v>44013</v>
      </c>
      <c r="O10" s="5">
        <v>44196</v>
      </c>
      <c r="P10" s="7">
        <v>0.1</v>
      </c>
      <c r="Q10" s="4">
        <v>177000</v>
      </c>
      <c r="R10" s="3">
        <v>0</v>
      </c>
      <c r="S10" s="3">
        <v>76</v>
      </c>
      <c r="T10" s="8">
        <v>5700</v>
      </c>
      <c r="U10" s="3">
        <v>200</v>
      </c>
      <c r="V10" s="3">
        <v>200</v>
      </c>
      <c r="W10" s="8">
        <v>20700</v>
      </c>
      <c r="X10" s="3">
        <v>250</v>
      </c>
      <c r="Y10" s="3">
        <v>196</v>
      </c>
      <c r="Z10" s="8">
        <v>14700</v>
      </c>
      <c r="AA10" s="3">
        <v>208</v>
      </c>
      <c r="AB10" s="3">
        <v>225</v>
      </c>
      <c r="AC10" s="8">
        <v>12825</v>
      </c>
      <c r="AD10" s="3">
        <v>208</v>
      </c>
      <c r="AE10" s="3">
        <v>270</v>
      </c>
      <c r="AF10" s="8">
        <v>21525</v>
      </c>
      <c r="AG10" s="3">
        <v>211</v>
      </c>
      <c r="AH10" s="3">
        <v>212</v>
      </c>
      <c r="AI10" s="8">
        <v>20550</v>
      </c>
      <c r="AJ10" s="3">
        <v>100</v>
      </c>
      <c r="AK10" s="3">
        <v>88</v>
      </c>
      <c r="AL10" s="8">
        <v>6675</v>
      </c>
      <c r="AM10" s="3">
        <v>214.3</v>
      </c>
      <c r="AN10" s="3">
        <v>218</v>
      </c>
      <c r="AO10" s="8">
        <v>15450</v>
      </c>
      <c r="AP10" s="3">
        <v>0</v>
      </c>
      <c r="AQ10" s="3">
        <v>0</v>
      </c>
      <c r="AR10" s="9">
        <v>277.49999999999915</v>
      </c>
      <c r="AS10" s="3">
        <v>0</v>
      </c>
      <c r="AT10" s="3">
        <v>0</v>
      </c>
      <c r="AU10" s="8">
        <v>0</v>
      </c>
      <c r="AV10" s="3">
        <v>0</v>
      </c>
      <c r="AW10" s="3">
        <v>0</v>
      </c>
      <c r="AX10" s="8">
        <v>0</v>
      </c>
      <c r="AY10" s="3">
        <v>0</v>
      </c>
      <c r="AZ10" s="3">
        <v>0</v>
      </c>
      <c r="BA10" s="8">
        <v>0</v>
      </c>
      <c r="BB10" s="3">
        <v>1391.3</v>
      </c>
      <c r="BC10" s="10">
        <v>1573</v>
      </c>
      <c r="BD10" s="8">
        <v>117975</v>
      </c>
      <c r="BE10" s="10" t="s">
        <v>98</v>
      </c>
      <c r="BF10" s="10" t="s">
        <v>98</v>
      </c>
      <c r="BG10" s="10">
        <v>181.70000000000005</v>
      </c>
      <c r="BH10" s="10">
        <v>13627.500000000004</v>
      </c>
      <c r="BI10" s="12">
        <v>0.13059728311650978</v>
      </c>
      <c r="BJ10" s="4">
        <v>104347.5</v>
      </c>
      <c r="BK10" s="7">
        <v>0.41046610169491526</v>
      </c>
    </row>
    <row r="11" spans="1:63" x14ac:dyDescent="0.3">
      <c r="A11" s="3">
        <v>11</v>
      </c>
      <c r="B11" s="3" t="s">
        <v>87</v>
      </c>
      <c r="C11" s="13" t="s">
        <v>73</v>
      </c>
      <c r="D11" s="3" t="s">
        <v>88</v>
      </c>
      <c r="E11" s="3" t="s">
        <v>66</v>
      </c>
      <c r="F11" s="3" t="s">
        <v>5</v>
      </c>
      <c r="G11" s="3" t="s">
        <v>6</v>
      </c>
      <c r="H11" s="4">
        <v>75</v>
      </c>
      <c r="I11" s="4">
        <v>15000</v>
      </c>
      <c r="J11" s="5">
        <v>43831</v>
      </c>
      <c r="K11" s="5">
        <v>44012</v>
      </c>
      <c r="L11" s="6">
        <v>67.5</v>
      </c>
      <c r="M11" s="6">
        <v>13500</v>
      </c>
      <c r="N11" s="5">
        <v>44013</v>
      </c>
      <c r="O11" s="5">
        <v>44196</v>
      </c>
      <c r="P11" s="7">
        <v>0.1</v>
      </c>
      <c r="Q11" s="4">
        <v>177000</v>
      </c>
      <c r="R11" s="3">
        <v>128</v>
      </c>
      <c r="S11" s="3">
        <v>132</v>
      </c>
      <c r="T11" s="8">
        <v>9900</v>
      </c>
      <c r="U11" s="3">
        <v>200</v>
      </c>
      <c r="V11" s="3">
        <v>200</v>
      </c>
      <c r="W11" s="8">
        <v>15300</v>
      </c>
      <c r="X11" s="3">
        <v>207</v>
      </c>
      <c r="Y11" s="3">
        <v>218</v>
      </c>
      <c r="Z11" s="8">
        <v>16350</v>
      </c>
      <c r="AA11" s="3">
        <v>208</v>
      </c>
      <c r="AB11" s="3">
        <v>199</v>
      </c>
      <c r="AC11" s="8">
        <v>15750</v>
      </c>
      <c r="AD11" s="3">
        <v>200</v>
      </c>
      <c r="AE11" s="3">
        <v>178</v>
      </c>
      <c r="AF11" s="8">
        <v>12675</v>
      </c>
      <c r="AG11" s="3">
        <v>200</v>
      </c>
      <c r="AH11" s="3">
        <v>208</v>
      </c>
      <c r="AI11" s="8">
        <v>13950</v>
      </c>
      <c r="AJ11" s="3">
        <v>100</v>
      </c>
      <c r="AK11" s="3">
        <v>88</v>
      </c>
      <c r="AL11" s="8">
        <v>7200</v>
      </c>
      <c r="AM11" s="3">
        <v>22</v>
      </c>
      <c r="AN11" s="3">
        <v>19</v>
      </c>
      <c r="AO11" s="8">
        <v>525</v>
      </c>
      <c r="AP11" s="3">
        <v>0</v>
      </c>
      <c r="AQ11" s="3">
        <v>0</v>
      </c>
      <c r="AR11" s="9">
        <v>-225</v>
      </c>
      <c r="AS11" s="3">
        <v>0</v>
      </c>
      <c r="AT11" s="3">
        <v>0</v>
      </c>
      <c r="AU11" s="8">
        <v>0</v>
      </c>
      <c r="AV11" s="3">
        <v>0</v>
      </c>
      <c r="AW11" s="3">
        <v>0</v>
      </c>
      <c r="AX11" s="8">
        <v>0</v>
      </c>
      <c r="AY11" s="3">
        <v>0</v>
      </c>
      <c r="AZ11" s="3">
        <v>0</v>
      </c>
      <c r="BA11" s="8">
        <v>0</v>
      </c>
      <c r="BB11" s="3">
        <v>1265</v>
      </c>
      <c r="BC11" s="10">
        <v>1330</v>
      </c>
      <c r="BD11" s="8">
        <v>99750</v>
      </c>
      <c r="BE11" s="10" t="s">
        <v>98</v>
      </c>
      <c r="BF11" s="10" t="s">
        <v>98</v>
      </c>
      <c r="BG11" s="10">
        <v>65</v>
      </c>
      <c r="BH11" s="10">
        <v>4875</v>
      </c>
      <c r="BI11" s="12">
        <v>5.1383399209486168E-2</v>
      </c>
      <c r="BJ11" s="4">
        <v>94875</v>
      </c>
      <c r="BK11" s="7">
        <v>0.46398305084745761</v>
      </c>
    </row>
    <row r="12" spans="1:63" x14ac:dyDescent="0.3">
      <c r="A12" s="3">
        <v>12</v>
      </c>
      <c r="B12" s="3" t="s">
        <v>90</v>
      </c>
      <c r="C12" s="3" t="s">
        <v>64</v>
      </c>
      <c r="D12" s="3" t="s">
        <v>91</v>
      </c>
      <c r="E12" s="3" t="s">
        <v>68</v>
      </c>
      <c r="F12" s="3" t="s">
        <v>5</v>
      </c>
      <c r="G12" s="3" t="s">
        <v>6</v>
      </c>
      <c r="H12" s="4">
        <v>75</v>
      </c>
      <c r="I12" s="4">
        <v>15000</v>
      </c>
      <c r="J12" s="5">
        <v>43831</v>
      </c>
      <c r="K12" s="5">
        <v>44012</v>
      </c>
      <c r="L12" s="6">
        <v>67.5</v>
      </c>
      <c r="M12" s="6">
        <v>13500</v>
      </c>
      <c r="N12" s="5">
        <v>44013</v>
      </c>
      <c r="O12" s="5">
        <v>44196</v>
      </c>
      <c r="P12" s="7">
        <v>0.1</v>
      </c>
      <c r="Q12" s="4">
        <v>177000</v>
      </c>
      <c r="R12" s="3">
        <v>88</v>
      </c>
      <c r="S12" s="3">
        <v>94</v>
      </c>
      <c r="T12" s="8">
        <v>7050</v>
      </c>
      <c r="U12" s="3">
        <v>192</v>
      </c>
      <c r="V12" s="3">
        <v>208.5</v>
      </c>
      <c r="W12" s="8">
        <v>16087.5</v>
      </c>
      <c r="X12" s="3">
        <v>239</v>
      </c>
      <c r="Y12" s="3">
        <v>199.5</v>
      </c>
      <c r="Z12" s="8">
        <v>16200</v>
      </c>
      <c r="AA12" s="3">
        <v>208</v>
      </c>
      <c r="AB12" s="3">
        <v>181</v>
      </c>
      <c r="AC12" s="8">
        <v>10612.5</v>
      </c>
      <c r="AD12" s="3">
        <v>200</v>
      </c>
      <c r="AE12" s="3">
        <v>128</v>
      </c>
      <c r="AF12" s="8">
        <v>7575</v>
      </c>
      <c r="AG12" s="3">
        <v>208</v>
      </c>
      <c r="AH12" s="3">
        <v>194</v>
      </c>
      <c r="AI12" s="8">
        <v>9150</v>
      </c>
      <c r="AJ12" s="3">
        <v>100</v>
      </c>
      <c r="AK12" s="3">
        <v>88</v>
      </c>
      <c r="AL12" s="8">
        <v>5550</v>
      </c>
      <c r="AM12" s="3">
        <v>22</v>
      </c>
      <c r="AN12" s="3">
        <v>19</v>
      </c>
      <c r="AO12" s="8">
        <v>525</v>
      </c>
      <c r="AP12" s="3">
        <v>0</v>
      </c>
      <c r="AQ12" s="3">
        <v>0</v>
      </c>
      <c r="AR12" s="9">
        <v>-225</v>
      </c>
      <c r="AS12" s="3">
        <v>0</v>
      </c>
      <c r="AT12" s="3">
        <v>0</v>
      </c>
      <c r="AU12" s="8">
        <v>0</v>
      </c>
      <c r="AV12" s="3">
        <v>0</v>
      </c>
      <c r="AW12" s="3">
        <v>0</v>
      </c>
      <c r="AX12" s="8">
        <v>0</v>
      </c>
      <c r="AY12" s="3">
        <v>0</v>
      </c>
      <c r="AZ12" s="3">
        <v>0</v>
      </c>
      <c r="BA12" s="8">
        <v>0</v>
      </c>
      <c r="BB12" s="3">
        <v>1257</v>
      </c>
      <c r="BC12" s="10">
        <v>1200</v>
      </c>
      <c r="BD12" s="8">
        <v>90000</v>
      </c>
      <c r="BE12" s="10">
        <v>-57</v>
      </c>
      <c r="BF12" s="10">
        <v>-4275</v>
      </c>
      <c r="BG12" s="10" t="s">
        <v>98</v>
      </c>
      <c r="BH12" s="10" t="s">
        <v>98</v>
      </c>
      <c r="BI12" s="12">
        <v>-4.5346062052505964E-2</v>
      </c>
      <c r="BJ12" s="4">
        <v>94275</v>
      </c>
      <c r="BK12" s="7">
        <v>0.46737288135593219</v>
      </c>
    </row>
    <row r="13" spans="1:63" x14ac:dyDescent="0.3">
      <c r="A13" s="3">
        <v>13</v>
      </c>
      <c r="B13" s="3" t="s">
        <v>83</v>
      </c>
      <c r="C13" s="3" t="s">
        <v>64</v>
      </c>
      <c r="D13" s="3" t="s">
        <v>65</v>
      </c>
      <c r="E13" s="3" t="s">
        <v>66</v>
      </c>
      <c r="F13" s="3" t="s">
        <v>5</v>
      </c>
      <c r="G13" s="3" t="s">
        <v>6</v>
      </c>
      <c r="H13" s="4">
        <v>75</v>
      </c>
      <c r="I13" s="4">
        <v>15000</v>
      </c>
      <c r="J13" s="5">
        <v>43831</v>
      </c>
      <c r="K13" s="5">
        <v>44012</v>
      </c>
      <c r="L13" s="6">
        <v>67.5</v>
      </c>
      <c r="M13" s="6">
        <v>13500</v>
      </c>
      <c r="N13" s="5">
        <v>44013</v>
      </c>
      <c r="O13" s="5">
        <v>44196</v>
      </c>
      <c r="P13" s="7">
        <v>0.1</v>
      </c>
      <c r="Q13" s="4">
        <v>177000</v>
      </c>
      <c r="R13" s="3">
        <v>88</v>
      </c>
      <c r="S13" s="3">
        <v>93</v>
      </c>
      <c r="T13" s="8">
        <v>6975</v>
      </c>
      <c r="U13" s="3">
        <v>200</v>
      </c>
      <c r="V13" s="3">
        <v>200</v>
      </c>
      <c r="W13" s="8">
        <v>15375</v>
      </c>
      <c r="X13" s="3">
        <v>250</v>
      </c>
      <c r="Y13" s="3">
        <v>196</v>
      </c>
      <c r="Z13" s="8">
        <v>14700</v>
      </c>
      <c r="AA13" s="3">
        <v>208</v>
      </c>
      <c r="AB13" s="3">
        <v>179</v>
      </c>
      <c r="AC13" s="8">
        <v>9375</v>
      </c>
      <c r="AD13" s="3">
        <v>200</v>
      </c>
      <c r="AE13" s="3">
        <v>155</v>
      </c>
      <c r="AF13" s="8">
        <v>9450</v>
      </c>
      <c r="AG13" s="3">
        <v>200</v>
      </c>
      <c r="AH13" s="3">
        <v>206.5</v>
      </c>
      <c r="AI13" s="8">
        <v>12112.5</v>
      </c>
      <c r="AJ13" s="3">
        <v>100</v>
      </c>
      <c r="AK13" s="3">
        <v>88</v>
      </c>
      <c r="AL13" s="8">
        <v>7087.5</v>
      </c>
      <c r="AM13" s="3">
        <v>227.5</v>
      </c>
      <c r="AN13" s="3">
        <v>219</v>
      </c>
      <c r="AO13" s="8">
        <v>15525</v>
      </c>
      <c r="AP13" s="3">
        <v>0</v>
      </c>
      <c r="AQ13" s="3">
        <v>0</v>
      </c>
      <c r="AR13" s="9">
        <v>-637.5</v>
      </c>
      <c r="AS13" s="3">
        <v>0</v>
      </c>
      <c r="AT13" s="3">
        <v>0</v>
      </c>
      <c r="AU13" s="8">
        <v>0</v>
      </c>
      <c r="AV13" s="3">
        <v>0</v>
      </c>
      <c r="AW13" s="3">
        <v>0</v>
      </c>
      <c r="AX13" s="8">
        <v>0</v>
      </c>
      <c r="AY13" s="3">
        <v>0</v>
      </c>
      <c r="AZ13" s="3">
        <v>0</v>
      </c>
      <c r="BA13" s="8">
        <v>0</v>
      </c>
      <c r="BB13" s="3">
        <v>1473.5</v>
      </c>
      <c r="BC13" s="10">
        <v>1424.5</v>
      </c>
      <c r="BD13" s="8">
        <v>106837.5</v>
      </c>
      <c r="BE13" s="10">
        <v>-49</v>
      </c>
      <c r="BF13" s="10">
        <v>-3675</v>
      </c>
      <c r="BG13" s="10" t="s">
        <v>98</v>
      </c>
      <c r="BH13" s="10" t="s">
        <v>98</v>
      </c>
      <c r="BI13" s="12">
        <v>-3.3254156769596199E-2</v>
      </c>
      <c r="BJ13" s="4">
        <v>110512.5</v>
      </c>
      <c r="BK13" s="7">
        <v>0.37563559322033896</v>
      </c>
    </row>
    <row r="14" spans="1:63" x14ac:dyDescent="0.3">
      <c r="A14" s="3">
        <v>14</v>
      </c>
      <c r="B14" s="3" t="s">
        <v>84</v>
      </c>
      <c r="C14" s="3" t="s">
        <v>64</v>
      </c>
      <c r="D14" s="3" t="s">
        <v>81</v>
      </c>
      <c r="E14" s="3" t="s">
        <v>66</v>
      </c>
      <c r="F14" s="3" t="s">
        <v>5</v>
      </c>
      <c r="G14" s="3" t="s">
        <v>6</v>
      </c>
      <c r="H14" s="4">
        <v>100</v>
      </c>
      <c r="I14" s="4">
        <v>20000</v>
      </c>
      <c r="J14" s="5">
        <v>43831</v>
      </c>
      <c r="K14" s="5">
        <v>44012</v>
      </c>
      <c r="L14" s="6">
        <v>90</v>
      </c>
      <c r="M14" s="6">
        <v>18000</v>
      </c>
      <c r="N14" s="5">
        <v>44013</v>
      </c>
      <c r="O14" s="5">
        <v>44196</v>
      </c>
      <c r="P14" s="7">
        <v>0.1</v>
      </c>
      <c r="Q14" s="4">
        <v>236000</v>
      </c>
      <c r="R14" s="3">
        <v>88</v>
      </c>
      <c r="S14" s="3">
        <v>91</v>
      </c>
      <c r="T14" s="8">
        <v>9100</v>
      </c>
      <c r="U14" s="3">
        <v>200</v>
      </c>
      <c r="V14" s="3">
        <v>219</v>
      </c>
      <c r="W14" s="8">
        <v>22200</v>
      </c>
      <c r="X14" s="3">
        <v>250</v>
      </c>
      <c r="Y14" s="3">
        <v>196</v>
      </c>
      <c r="Z14" s="8">
        <v>21500</v>
      </c>
      <c r="AA14" s="3">
        <v>208</v>
      </c>
      <c r="AB14" s="3">
        <v>188.5</v>
      </c>
      <c r="AC14" s="8">
        <v>13450</v>
      </c>
      <c r="AD14" s="3">
        <v>200</v>
      </c>
      <c r="AE14" s="3">
        <v>143</v>
      </c>
      <c r="AF14" s="8">
        <v>12350</v>
      </c>
      <c r="AG14" s="3">
        <v>200</v>
      </c>
      <c r="AH14" s="3">
        <v>205</v>
      </c>
      <c r="AI14" s="8">
        <v>14800</v>
      </c>
      <c r="AJ14" s="3">
        <v>100</v>
      </c>
      <c r="AK14" s="3">
        <v>88</v>
      </c>
      <c r="AL14" s="8">
        <v>9300</v>
      </c>
      <c r="AM14" s="3">
        <v>230.8</v>
      </c>
      <c r="AN14" s="3">
        <v>219.25</v>
      </c>
      <c r="AO14" s="8">
        <v>20725</v>
      </c>
      <c r="AP14" s="3">
        <v>0</v>
      </c>
      <c r="AQ14" s="3">
        <v>0</v>
      </c>
      <c r="AR14" s="9">
        <v>-1155.0000000000011</v>
      </c>
      <c r="AS14" s="3">
        <v>0</v>
      </c>
      <c r="AT14" s="3">
        <v>0</v>
      </c>
      <c r="AU14" s="8">
        <v>0</v>
      </c>
      <c r="AV14" s="3">
        <v>0</v>
      </c>
      <c r="AW14" s="3">
        <v>0</v>
      </c>
      <c r="AX14" s="8">
        <v>0</v>
      </c>
      <c r="AY14" s="3">
        <v>0</v>
      </c>
      <c r="AZ14" s="3">
        <v>0</v>
      </c>
      <c r="BA14" s="8">
        <v>0</v>
      </c>
      <c r="BB14" s="3">
        <v>1476.8</v>
      </c>
      <c r="BC14" s="10">
        <v>1437.75</v>
      </c>
      <c r="BD14" s="8">
        <v>143775</v>
      </c>
      <c r="BE14" s="10">
        <v>-39.049999999999955</v>
      </c>
      <c r="BF14" s="10">
        <v>-3904.9999999999955</v>
      </c>
      <c r="BG14" s="10" t="s">
        <v>98</v>
      </c>
      <c r="BH14" s="10" t="s">
        <v>98</v>
      </c>
      <c r="BI14" s="12">
        <v>-2.6442307692307661E-2</v>
      </c>
      <c r="BJ14" s="4">
        <v>147680</v>
      </c>
      <c r="BK14" s="7">
        <v>0.3742372881355932</v>
      </c>
    </row>
    <row r="15" spans="1:63" x14ac:dyDescent="0.3">
      <c r="A15" s="3">
        <v>15</v>
      </c>
      <c r="B15" s="3" t="s">
        <v>69</v>
      </c>
      <c r="C15" s="3" t="s">
        <v>64</v>
      </c>
      <c r="D15" s="3" t="s">
        <v>65</v>
      </c>
      <c r="E15" s="3" t="s">
        <v>68</v>
      </c>
      <c r="F15" s="3" t="s">
        <v>5</v>
      </c>
      <c r="G15" s="3" t="s">
        <v>6</v>
      </c>
      <c r="H15" s="4">
        <v>100</v>
      </c>
      <c r="I15" s="4">
        <v>20000</v>
      </c>
      <c r="J15" s="5">
        <v>43831</v>
      </c>
      <c r="K15" s="5">
        <v>44012</v>
      </c>
      <c r="L15" s="6">
        <v>90</v>
      </c>
      <c r="M15" s="6">
        <v>18000</v>
      </c>
      <c r="N15" s="5">
        <v>44013</v>
      </c>
      <c r="O15" s="5">
        <v>44196</v>
      </c>
      <c r="P15" s="7">
        <v>0.1</v>
      </c>
      <c r="Q15" s="4">
        <v>236000</v>
      </c>
      <c r="R15" s="3">
        <v>90</v>
      </c>
      <c r="S15" s="3">
        <v>98</v>
      </c>
      <c r="T15" s="8">
        <v>9800</v>
      </c>
      <c r="U15" s="3">
        <v>196</v>
      </c>
      <c r="V15" s="3">
        <v>226</v>
      </c>
      <c r="W15" s="8">
        <v>23400</v>
      </c>
      <c r="X15" s="3">
        <v>236</v>
      </c>
      <c r="Y15" s="3">
        <v>233</v>
      </c>
      <c r="Z15" s="8">
        <v>26300</v>
      </c>
      <c r="AA15" s="3">
        <v>208</v>
      </c>
      <c r="AB15" s="3">
        <v>184.5</v>
      </c>
      <c r="AC15" s="8">
        <v>18150</v>
      </c>
      <c r="AD15" s="3">
        <v>168</v>
      </c>
      <c r="AE15" s="3">
        <v>153</v>
      </c>
      <c r="AF15" s="8">
        <v>12950</v>
      </c>
      <c r="AG15" s="3">
        <v>200</v>
      </c>
      <c r="AH15" s="3">
        <v>213</v>
      </c>
      <c r="AI15" s="8">
        <v>19800</v>
      </c>
      <c r="AJ15" s="3">
        <v>100</v>
      </c>
      <c r="AK15" s="3">
        <v>88</v>
      </c>
      <c r="AL15" s="8">
        <v>10100</v>
      </c>
      <c r="AM15" s="3">
        <v>200</v>
      </c>
      <c r="AN15" s="3">
        <v>219</v>
      </c>
      <c r="AO15" s="8">
        <v>20700</v>
      </c>
      <c r="AP15" s="3">
        <v>0</v>
      </c>
      <c r="AQ15" s="3">
        <v>0</v>
      </c>
      <c r="AR15" s="9">
        <v>1900</v>
      </c>
      <c r="AS15" s="3">
        <v>0</v>
      </c>
      <c r="AT15" s="3">
        <v>0</v>
      </c>
      <c r="AU15" s="8">
        <v>0</v>
      </c>
      <c r="AV15" s="3">
        <v>0</v>
      </c>
      <c r="AW15" s="3">
        <v>0</v>
      </c>
      <c r="AX15" s="8">
        <v>0</v>
      </c>
      <c r="AY15" s="3">
        <v>0</v>
      </c>
      <c r="AZ15" s="3">
        <v>0</v>
      </c>
      <c r="BA15" s="8">
        <v>0</v>
      </c>
      <c r="BB15" s="3">
        <v>1398</v>
      </c>
      <c r="BC15" s="10">
        <v>1502.5</v>
      </c>
      <c r="BD15" s="8">
        <v>150250</v>
      </c>
      <c r="BE15" s="10" t="s">
        <v>98</v>
      </c>
      <c r="BF15" s="10" t="s">
        <v>98</v>
      </c>
      <c r="BG15" s="10">
        <v>104.5</v>
      </c>
      <c r="BH15" s="10">
        <v>10450</v>
      </c>
      <c r="BI15" s="12">
        <v>7.4749642346208872E-2</v>
      </c>
      <c r="BJ15" s="4">
        <v>139800</v>
      </c>
      <c r="BK15" s="7">
        <v>0.40762711864406781</v>
      </c>
    </row>
    <row r="16" spans="1:63" x14ac:dyDescent="0.3">
      <c r="A16" s="3">
        <v>16</v>
      </c>
      <c r="B16" s="3" t="s">
        <v>85</v>
      </c>
      <c r="C16" s="3" t="s">
        <v>64</v>
      </c>
      <c r="D16" s="3" t="s">
        <v>81</v>
      </c>
      <c r="E16" s="3" t="s">
        <v>66</v>
      </c>
      <c r="F16" s="3" t="s">
        <v>5</v>
      </c>
      <c r="G16" s="3" t="s">
        <v>6</v>
      </c>
      <c r="H16" s="4">
        <v>80</v>
      </c>
      <c r="I16" s="4">
        <v>16000</v>
      </c>
      <c r="J16" s="5">
        <v>43831</v>
      </c>
      <c r="K16" s="5">
        <v>44012</v>
      </c>
      <c r="L16" s="6">
        <v>72</v>
      </c>
      <c r="M16" s="6">
        <v>14400</v>
      </c>
      <c r="N16" s="5">
        <v>44013</v>
      </c>
      <c r="O16" s="5">
        <v>44196</v>
      </c>
      <c r="P16" s="7">
        <v>0.1</v>
      </c>
      <c r="Q16" s="4">
        <v>188800</v>
      </c>
      <c r="R16" s="3">
        <v>107</v>
      </c>
      <c r="S16" s="3">
        <v>117.5</v>
      </c>
      <c r="T16" s="8">
        <v>9400</v>
      </c>
      <c r="U16" s="3">
        <v>182</v>
      </c>
      <c r="V16" s="3">
        <v>184</v>
      </c>
      <c r="W16" s="8">
        <v>15560</v>
      </c>
      <c r="X16" s="3">
        <v>219</v>
      </c>
      <c r="Y16" s="3">
        <v>217</v>
      </c>
      <c r="Z16" s="8">
        <v>17520</v>
      </c>
      <c r="AA16" s="3">
        <v>208</v>
      </c>
      <c r="AB16" s="3">
        <v>171</v>
      </c>
      <c r="AC16" s="8">
        <v>13520</v>
      </c>
      <c r="AD16" s="3">
        <v>184</v>
      </c>
      <c r="AE16" s="3">
        <v>181</v>
      </c>
      <c r="AF16" s="8">
        <v>11520</v>
      </c>
      <c r="AG16" s="3">
        <v>219</v>
      </c>
      <c r="AH16" s="3">
        <v>178</v>
      </c>
      <c r="AI16" s="8">
        <v>14000</v>
      </c>
      <c r="AJ16" s="3">
        <v>100</v>
      </c>
      <c r="AK16" s="3">
        <v>88</v>
      </c>
      <c r="AL16" s="8">
        <v>3760</v>
      </c>
      <c r="AM16" s="3">
        <v>234.1</v>
      </c>
      <c r="AN16" s="3">
        <v>219.5</v>
      </c>
      <c r="AO16" s="8">
        <v>16600</v>
      </c>
      <c r="AP16" s="3">
        <v>0</v>
      </c>
      <c r="AQ16" s="3">
        <v>0</v>
      </c>
      <c r="AR16" s="9">
        <v>-1167.9999999999995</v>
      </c>
      <c r="AS16" s="3">
        <v>0</v>
      </c>
      <c r="AT16" s="3">
        <v>0</v>
      </c>
      <c r="AU16" s="8">
        <v>0</v>
      </c>
      <c r="AV16" s="3">
        <v>0</v>
      </c>
      <c r="AW16" s="3">
        <v>0</v>
      </c>
      <c r="AX16" s="8">
        <v>0</v>
      </c>
      <c r="AY16" s="3">
        <v>0</v>
      </c>
      <c r="AZ16" s="3">
        <v>0</v>
      </c>
      <c r="BA16" s="8">
        <v>0</v>
      </c>
      <c r="BB16" s="3">
        <v>1453.1</v>
      </c>
      <c r="BC16" s="10">
        <v>1444</v>
      </c>
      <c r="BD16" s="8">
        <v>115520</v>
      </c>
      <c r="BE16" s="10">
        <v>-9.0999999999999091</v>
      </c>
      <c r="BF16" s="10">
        <v>-727.99999999999272</v>
      </c>
      <c r="BG16" s="10" t="s">
        <v>98</v>
      </c>
      <c r="BH16" s="10" t="s">
        <v>98</v>
      </c>
      <c r="BI16" s="12">
        <v>-6.2624733328744816E-3</v>
      </c>
      <c r="BJ16" s="4">
        <v>116248</v>
      </c>
      <c r="BK16" s="7">
        <v>0.38427966101694916</v>
      </c>
    </row>
    <row r="17" spans="1:63" x14ac:dyDescent="0.3">
      <c r="A17" s="3">
        <v>17</v>
      </c>
      <c r="B17" s="3" t="s">
        <v>72</v>
      </c>
      <c r="C17" s="13" t="s">
        <v>73</v>
      </c>
      <c r="D17" s="3" t="s">
        <v>74</v>
      </c>
      <c r="E17" s="3" t="s">
        <v>68</v>
      </c>
      <c r="F17" s="3" t="s">
        <v>5</v>
      </c>
      <c r="G17" s="3" t="s">
        <v>6</v>
      </c>
      <c r="H17" s="4">
        <v>50</v>
      </c>
      <c r="I17" s="4">
        <v>10000</v>
      </c>
      <c r="J17" s="5">
        <v>43831</v>
      </c>
      <c r="K17" s="5">
        <v>44012</v>
      </c>
      <c r="L17" s="6">
        <v>47.5</v>
      </c>
      <c r="M17" s="6">
        <v>9500</v>
      </c>
      <c r="N17" s="5">
        <v>44013</v>
      </c>
      <c r="O17" s="5">
        <v>44196</v>
      </c>
      <c r="P17" s="7">
        <v>0.05</v>
      </c>
      <c r="Q17" s="4">
        <v>124000</v>
      </c>
      <c r="R17" s="3">
        <v>72</v>
      </c>
      <c r="S17" s="3">
        <v>76</v>
      </c>
      <c r="T17" s="8">
        <v>3800</v>
      </c>
      <c r="U17" s="3">
        <v>200</v>
      </c>
      <c r="V17" s="3">
        <v>222</v>
      </c>
      <c r="W17" s="8">
        <v>11300</v>
      </c>
      <c r="X17" s="3">
        <v>236</v>
      </c>
      <c r="Y17" s="3">
        <v>191.5</v>
      </c>
      <c r="Z17" s="8">
        <v>10675</v>
      </c>
      <c r="AA17" s="3">
        <v>208</v>
      </c>
      <c r="AB17" s="3">
        <v>216</v>
      </c>
      <c r="AC17" s="8">
        <v>8575</v>
      </c>
      <c r="AD17" s="3">
        <v>200</v>
      </c>
      <c r="AE17" s="3">
        <v>238.5</v>
      </c>
      <c r="AF17" s="8">
        <v>12325</v>
      </c>
      <c r="AG17" s="3">
        <v>200</v>
      </c>
      <c r="AH17" s="3">
        <v>224.5</v>
      </c>
      <c r="AI17" s="8">
        <v>13150</v>
      </c>
      <c r="AJ17" s="3">
        <v>100</v>
      </c>
      <c r="AK17" s="3">
        <v>88</v>
      </c>
      <c r="AL17" s="8">
        <v>5625</v>
      </c>
      <c r="AM17" s="3">
        <v>211</v>
      </c>
      <c r="AN17" s="3">
        <v>212</v>
      </c>
      <c r="AO17" s="8">
        <v>10000</v>
      </c>
      <c r="AP17" s="3">
        <v>0</v>
      </c>
      <c r="AQ17" s="3">
        <v>0</v>
      </c>
      <c r="AR17" s="9">
        <v>50</v>
      </c>
      <c r="AS17" s="3">
        <v>0</v>
      </c>
      <c r="AT17" s="3">
        <v>0</v>
      </c>
      <c r="AU17" s="8">
        <v>0</v>
      </c>
      <c r="AV17" s="3">
        <v>0</v>
      </c>
      <c r="AW17" s="3">
        <v>0</v>
      </c>
      <c r="AX17" s="8">
        <v>0</v>
      </c>
      <c r="AY17" s="3">
        <v>0</v>
      </c>
      <c r="AZ17" s="3">
        <v>0</v>
      </c>
      <c r="BA17" s="8">
        <v>0</v>
      </c>
      <c r="BB17" s="3">
        <v>1427</v>
      </c>
      <c r="BC17" s="10">
        <v>1556.5</v>
      </c>
      <c r="BD17" s="8">
        <v>77825</v>
      </c>
      <c r="BE17" s="10" t="s">
        <v>98</v>
      </c>
      <c r="BF17" s="10" t="s">
        <v>98</v>
      </c>
      <c r="BG17" s="10">
        <v>129.5</v>
      </c>
      <c r="BH17" s="10">
        <v>6475</v>
      </c>
      <c r="BI17" s="12">
        <v>9.0749824807288021E-2</v>
      </c>
      <c r="BJ17" s="4">
        <v>71350</v>
      </c>
      <c r="BK17" s="7">
        <v>0.42459677419354841</v>
      </c>
    </row>
    <row r="18" spans="1:63" x14ac:dyDescent="0.3">
      <c r="A18" s="3">
        <v>18</v>
      </c>
      <c r="B18" s="3" t="s">
        <v>89</v>
      </c>
      <c r="C18" s="13" t="s">
        <v>73</v>
      </c>
      <c r="D18" s="3" t="s">
        <v>88</v>
      </c>
      <c r="E18" s="3" t="s">
        <v>66</v>
      </c>
      <c r="F18" s="3" t="s">
        <v>5</v>
      </c>
      <c r="G18" s="3" t="s">
        <v>6</v>
      </c>
      <c r="H18" s="4">
        <v>50</v>
      </c>
      <c r="I18" s="4">
        <v>10000</v>
      </c>
      <c r="J18" s="5">
        <v>43831</v>
      </c>
      <c r="K18" s="5">
        <v>44012</v>
      </c>
      <c r="L18" s="6">
        <v>47.5</v>
      </c>
      <c r="M18" s="6">
        <v>9500</v>
      </c>
      <c r="N18" s="5">
        <v>44013</v>
      </c>
      <c r="O18" s="5">
        <v>44196</v>
      </c>
      <c r="P18" s="7">
        <v>0.05</v>
      </c>
      <c r="Q18" s="4">
        <v>124000</v>
      </c>
      <c r="R18" s="3">
        <v>72</v>
      </c>
      <c r="S18" s="3">
        <v>74</v>
      </c>
      <c r="T18" s="8">
        <v>3700</v>
      </c>
      <c r="U18" s="3">
        <v>200</v>
      </c>
      <c r="V18" s="3">
        <v>210</v>
      </c>
      <c r="W18" s="8">
        <v>10600</v>
      </c>
      <c r="X18" s="3">
        <v>233</v>
      </c>
      <c r="Y18" s="3">
        <v>183.5</v>
      </c>
      <c r="Z18" s="8">
        <v>9675</v>
      </c>
      <c r="AA18" s="3">
        <v>208</v>
      </c>
      <c r="AB18" s="3">
        <v>164.5</v>
      </c>
      <c r="AC18" s="8">
        <v>5750</v>
      </c>
      <c r="AD18" s="3">
        <v>200</v>
      </c>
      <c r="AE18" s="3">
        <v>177</v>
      </c>
      <c r="AF18" s="8">
        <v>6675</v>
      </c>
      <c r="AG18" s="3">
        <v>200</v>
      </c>
      <c r="AH18" s="3">
        <v>209</v>
      </c>
      <c r="AI18" s="8">
        <v>9300</v>
      </c>
      <c r="AJ18" s="3">
        <v>100</v>
      </c>
      <c r="AK18" s="3">
        <v>88</v>
      </c>
      <c r="AL18" s="8">
        <v>4850</v>
      </c>
      <c r="AM18" s="3">
        <v>22</v>
      </c>
      <c r="AN18" s="3">
        <v>19</v>
      </c>
      <c r="AO18" s="8">
        <v>350</v>
      </c>
      <c r="AP18" s="3">
        <v>0</v>
      </c>
      <c r="AQ18" s="3">
        <v>0</v>
      </c>
      <c r="AR18" s="9">
        <v>-150</v>
      </c>
      <c r="AS18" s="3">
        <v>0</v>
      </c>
      <c r="AT18" s="3">
        <v>0</v>
      </c>
      <c r="AU18" s="8">
        <v>0</v>
      </c>
      <c r="AV18" s="3">
        <v>0</v>
      </c>
      <c r="AW18" s="3">
        <v>0</v>
      </c>
      <c r="AX18" s="8">
        <v>0</v>
      </c>
      <c r="AY18" s="3">
        <v>0</v>
      </c>
      <c r="AZ18" s="3">
        <v>0</v>
      </c>
      <c r="BA18" s="8">
        <v>0</v>
      </c>
      <c r="BB18" s="3">
        <v>1235</v>
      </c>
      <c r="BC18" s="10">
        <v>1213</v>
      </c>
      <c r="BD18" s="8">
        <v>60650</v>
      </c>
      <c r="BE18" s="10">
        <v>-22</v>
      </c>
      <c r="BF18" s="10">
        <v>-1100</v>
      </c>
      <c r="BG18" s="10" t="s">
        <v>98</v>
      </c>
      <c r="BH18" s="10" t="s">
        <v>98</v>
      </c>
      <c r="BI18" s="12">
        <v>-1.7813765182186234E-2</v>
      </c>
      <c r="BJ18" s="4">
        <v>61750</v>
      </c>
      <c r="BK18" s="7">
        <v>0.50201612903225812</v>
      </c>
    </row>
    <row r="19" spans="1:63" x14ac:dyDescent="0.3">
      <c r="A19" s="3">
        <v>19</v>
      </c>
      <c r="B19" s="3" t="s">
        <v>70</v>
      </c>
      <c r="C19" s="3" t="s">
        <v>64</v>
      </c>
      <c r="D19" s="3" t="s">
        <v>71</v>
      </c>
      <c r="E19" s="3" t="s">
        <v>68</v>
      </c>
      <c r="F19" s="3" t="s">
        <v>5</v>
      </c>
      <c r="G19" s="3" t="s">
        <v>6</v>
      </c>
      <c r="H19" s="4">
        <v>100</v>
      </c>
      <c r="I19" s="4">
        <v>20000</v>
      </c>
      <c r="J19" s="5">
        <v>43831</v>
      </c>
      <c r="K19" s="5">
        <v>44012</v>
      </c>
      <c r="L19" s="6">
        <v>90</v>
      </c>
      <c r="M19" s="6">
        <v>18000</v>
      </c>
      <c r="N19" s="5">
        <v>44013</v>
      </c>
      <c r="O19" s="5">
        <v>44196</v>
      </c>
      <c r="P19" s="7">
        <v>0.1</v>
      </c>
      <c r="Q19" s="4">
        <v>236000</v>
      </c>
      <c r="R19" s="3">
        <v>64</v>
      </c>
      <c r="S19" s="3">
        <v>72</v>
      </c>
      <c r="T19" s="8">
        <v>7200</v>
      </c>
      <c r="U19" s="3">
        <v>200</v>
      </c>
      <c r="V19" s="3">
        <v>222</v>
      </c>
      <c r="W19" s="8">
        <v>23000</v>
      </c>
      <c r="X19" s="3">
        <v>212</v>
      </c>
      <c r="Y19" s="3">
        <v>241</v>
      </c>
      <c r="Z19" s="8">
        <v>26300</v>
      </c>
      <c r="AA19" s="3">
        <v>208</v>
      </c>
      <c r="AB19" s="3">
        <v>206.5</v>
      </c>
      <c r="AC19" s="8">
        <v>23550</v>
      </c>
      <c r="AD19" s="3">
        <v>200</v>
      </c>
      <c r="AE19" s="3">
        <v>233</v>
      </c>
      <c r="AF19" s="8">
        <v>23150</v>
      </c>
      <c r="AG19" s="3">
        <v>200</v>
      </c>
      <c r="AH19" s="3">
        <v>219</v>
      </c>
      <c r="AI19" s="8">
        <v>25200</v>
      </c>
      <c r="AJ19" s="3">
        <v>100</v>
      </c>
      <c r="AK19" s="3">
        <v>88</v>
      </c>
      <c r="AL19" s="8">
        <v>10700</v>
      </c>
      <c r="AM19" s="3">
        <v>200</v>
      </c>
      <c r="AN19" s="3">
        <v>224.5</v>
      </c>
      <c r="AO19" s="8">
        <v>21250</v>
      </c>
      <c r="AP19" s="3">
        <v>0</v>
      </c>
      <c r="AQ19" s="3">
        <v>0</v>
      </c>
      <c r="AR19" s="9">
        <v>2450</v>
      </c>
      <c r="AS19" s="3">
        <v>0</v>
      </c>
      <c r="AT19" s="3">
        <v>0</v>
      </c>
      <c r="AU19" s="8">
        <v>0</v>
      </c>
      <c r="AV19" s="3">
        <v>0</v>
      </c>
      <c r="AW19" s="3">
        <v>0</v>
      </c>
      <c r="AX19" s="8">
        <v>0</v>
      </c>
      <c r="AY19" s="3">
        <v>0</v>
      </c>
      <c r="AZ19" s="3">
        <v>0</v>
      </c>
      <c r="BA19" s="8">
        <v>0</v>
      </c>
      <c r="BB19" s="3">
        <v>1384</v>
      </c>
      <c r="BC19" s="10">
        <v>1594</v>
      </c>
      <c r="BD19" s="8">
        <v>159400</v>
      </c>
      <c r="BE19" s="10" t="s">
        <v>98</v>
      </c>
      <c r="BF19" s="10" t="s">
        <v>98</v>
      </c>
      <c r="BG19" s="10">
        <v>210</v>
      </c>
      <c r="BH19" s="10">
        <v>21000</v>
      </c>
      <c r="BI19" s="12">
        <v>0.15173410404624277</v>
      </c>
      <c r="BJ19" s="4">
        <v>138400</v>
      </c>
      <c r="BK19" s="7">
        <v>0.41355932203389828</v>
      </c>
    </row>
    <row r="20" spans="1:63" x14ac:dyDescent="0.3">
      <c r="A20" s="3">
        <v>20</v>
      </c>
      <c r="B20" s="3" t="s">
        <v>86</v>
      </c>
      <c r="C20" s="13" t="s">
        <v>73</v>
      </c>
      <c r="D20" s="3" t="s">
        <v>81</v>
      </c>
      <c r="E20" s="3" t="s">
        <v>66</v>
      </c>
      <c r="F20" s="3" t="s">
        <v>5</v>
      </c>
      <c r="G20" s="3" t="s">
        <v>6</v>
      </c>
      <c r="H20" s="4">
        <v>85</v>
      </c>
      <c r="I20" s="4">
        <v>17000</v>
      </c>
      <c r="J20" s="5">
        <v>43831</v>
      </c>
      <c r="K20" s="5">
        <v>44012</v>
      </c>
      <c r="L20" s="6">
        <v>76.5</v>
      </c>
      <c r="M20" s="6">
        <v>15300</v>
      </c>
      <c r="N20" s="5">
        <v>44013</v>
      </c>
      <c r="O20" s="5">
        <v>44196</v>
      </c>
      <c r="P20" s="7">
        <v>0.1</v>
      </c>
      <c r="Q20" s="4">
        <v>200600</v>
      </c>
      <c r="R20" s="3">
        <v>64</v>
      </c>
      <c r="S20" s="3">
        <v>67.5</v>
      </c>
      <c r="T20" s="8">
        <v>5737.5</v>
      </c>
      <c r="U20" s="3">
        <v>200</v>
      </c>
      <c r="V20" s="3">
        <v>220.5</v>
      </c>
      <c r="W20" s="8">
        <v>19040</v>
      </c>
      <c r="X20" s="3">
        <v>200</v>
      </c>
      <c r="Y20" s="3">
        <v>208</v>
      </c>
      <c r="Z20" s="8">
        <v>19422.5</v>
      </c>
      <c r="AA20" s="3">
        <v>208</v>
      </c>
      <c r="AB20" s="3">
        <v>203</v>
      </c>
      <c r="AC20" s="8">
        <v>17935</v>
      </c>
      <c r="AD20" s="3">
        <v>200</v>
      </c>
      <c r="AE20" s="3">
        <v>208</v>
      </c>
      <c r="AF20" s="8">
        <v>17255</v>
      </c>
      <c r="AG20" s="3">
        <v>200</v>
      </c>
      <c r="AH20" s="3">
        <v>217</v>
      </c>
      <c r="AI20" s="8">
        <v>19125</v>
      </c>
      <c r="AJ20" s="3">
        <v>100</v>
      </c>
      <c r="AK20" s="3">
        <v>88</v>
      </c>
      <c r="AL20" s="8">
        <v>8925</v>
      </c>
      <c r="AM20" s="3">
        <v>22</v>
      </c>
      <c r="AN20" s="3">
        <v>19</v>
      </c>
      <c r="AO20" s="8">
        <v>595</v>
      </c>
      <c r="AP20" s="3">
        <v>0</v>
      </c>
      <c r="AQ20" s="3">
        <v>0</v>
      </c>
      <c r="AR20" s="9">
        <v>-255</v>
      </c>
      <c r="AS20" s="3">
        <v>0</v>
      </c>
      <c r="AT20" s="3">
        <v>0</v>
      </c>
      <c r="AU20" s="8">
        <v>0</v>
      </c>
      <c r="AV20" s="3">
        <v>0</v>
      </c>
      <c r="AW20" s="3">
        <v>0</v>
      </c>
      <c r="AX20" s="8">
        <v>0</v>
      </c>
      <c r="AY20" s="3">
        <v>0</v>
      </c>
      <c r="AZ20" s="3">
        <v>0</v>
      </c>
      <c r="BA20" s="8">
        <v>0</v>
      </c>
      <c r="BB20" s="3">
        <v>1194</v>
      </c>
      <c r="BC20" s="10">
        <v>1319</v>
      </c>
      <c r="BD20" s="8">
        <v>112115</v>
      </c>
      <c r="BE20" s="10" t="s">
        <v>98</v>
      </c>
      <c r="BF20" s="10" t="s">
        <v>98</v>
      </c>
      <c r="BG20" s="10">
        <v>125</v>
      </c>
      <c r="BH20" s="10">
        <v>10625</v>
      </c>
      <c r="BI20" s="12">
        <v>0.10469011725293133</v>
      </c>
      <c r="BJ20" s="4">
        <v>101490</v>
      </c>
      <c r="BK20" s="7">
        <v>0.49406779661016947</v>
      </c>
    </row>
    <row r="21" spans="1:63" x14ac:dyDescent="0.3">
      <c r="A21" s="3">
        <v>21</v>
      </c>
      <c r="B21" s="3" t="s">
        <v>75</v>
      </c>
      <c r="C21" s="13" t="s">
        <v>76</v>
      </c>
      <c r="D21" s="3" t="s">
        <v>74</v>
      </c>
      <c r="E21" s="3" t="s">
        <v>68</v>
      </c>
      <c r="F21" s="3" t="s">
        <v>5</v>
      </c>
      <c r="G21" s="3" t="s">
        <v>6</v>
      </c>
      <c r="H21" s="4">
        <v>80</v>
      </c>
      <c r="I21" s="4">
        <v>16000</v>
      </c>
      <c r="J21" s="5">
        <v>43831</v>
      </c>
      <c r="K21" s="5">
        <v>44012</v>
      </c>
      <c r="L21" s="6">
        <v>72</v>
      </c>
      <c r="M21" s="6">
        <v>14400</v>
      </c>
      <c r="N21" s="5">
        <v>44013</v>
      </c>
      <c r="O21" s="5">
        <v>44196</v>
      </c>
      <c r="P21" s="7">
        <v>0.1</v>
      </c>
      <c r="Q21" s="4">
        <v>188800</v>
      </c>
      <c r="R21" s="3">
        <v>0</v>
      </c>
      <c r="S21" s="3">
        <v>76</v>
      </c>
      <c r="T21" s="8">
        <v>6080</v>
      </c>
      <c r="U21" s="3">
        <v>177</v>
      </c>
      <c r="V21" s="3">
        <v>185.5</v>
      </c>
      <c r="W21" s="8">
        <v>20920</v>
      </c>
      <c r="X21" s="3">
        <v>250</v>
      </c>
      <c r="Y21" s="3">
        <v>245</v>
      </c>
      <c r="Z21" s="8">
        <v>20280</v>
      </c>
      <c r="AA21" s="3">
        <v>208</v>
      </c>
      <c r="AB21" s="3">
        <v>225</v>
      </c>
      <c r="AC21" s="8">
        <v>17600</v>
      </c>
      <c r="AD21" s="3">
        <v>208</v>
      </c>
      <c r="AE21" s="3">
        <v>270</v>
      </c>
      <c r="AF21" s="8">
        <v>22960</v>
      </c>
      <c r="AG21" s="3">
        <v>211</v>
      </c>
      <c r="AH21" s="3">
        <v>212</v>
      </c>
      <c r="AI21" s="8">
        <v>21920</v>
      </c>
      <c r="AJ21" s="3">
        <v>100</v>
      </c>
      <c r="AK21" s="3">
        <v>88</v>
      </c>
      <c r="AL21" s="8">
        <v>7120</v>
      </c>
      <c r="AM21" s="3">
        <v>211</v>
      </c>
      <c r="AN21" s="3">
        <v>217.75</v>
      </c>
      <c r="AO21" s="8">
        <v>16460</v>
      </c>
      <c r="AP21" s="3">
        <v>0</v>
      </c>
      <c r="AQ21" s="3">
        <v>0</v>
      </c>
      <c r="AR21" s="9">
        <v>540</v>
      </c>
      <c r="AS21" s="3">
        <v>0</v>
      </c>
      <c r="AT21" s="3">
        <v>0</v>
      </c>
      <c r="AU21" s="8">
        <v>0</v>
      </c>
      <c r="AV21" s="3">
        <v>0</v>
      </c>
      <c r="AW21" s="3">
        <v>0</v>
      </c>
      <c r="AX21" s="8">
        <v>0</v>
      </c>
      <c r="AY21" s="3">
        <v>0</v>
      </c>
      <c r="AZ21" s="3">
        <v>0</v>
      </c>
      <c r="BA21" s="8">
        <v>0</v>
      </c>
      <c r="BB21" s="3">
        <v>1365</v>
      </c>
      <c r="BC21" s="10">
        <v>1607.25</v>
      </c>
      <c r="BD21" s="8">
        <v>128580</v>
      </c>
      <c r="BE21" s="10" t="s">
        <v>98</v>
      </c>
      <c r="BF21" s="10" t="s">
        <v>98</v>
      </c>
      <c r="BG21" s="10">
        <v>242.25</v>
      </c>
      <c r="BH21" s="10">
        <v>19380</v>
      </c>
      <c r="BI21" s="12">
        <v>0.17747252747252748</v>
      </c>
      <c r="BJ21" s="4">
        <v>109200</v>
      </c>
      <c r="BK21" s="7">
        <v>0.42161016949152541</v>
      </c>
    </row>
    <row r="22" spans="1:63" x14ac:dyDescent="0.3">
      <c r="A22" s="3">
        <v>22</v>
      </c>
      <c r="B22" s="3" t="s">
        <v>79</v>
      </c>
      <c r="C22" s="13" t="s">
        <v>76</v>
      </c>
      <c r="D22" s="3" t="s">
        <v>78</v>
      </c>
      <c r="E22" s="3" t="s">
        <v>68</v>
      </c>
      <c r="F22" s="3" t="s">
        <v>5</v>
      </c>
      <c r="G22" s="3" t="s">
        <v>6</v>
      </c>
      <c r="H22" s="4">
        <v>75</v>
      </c>
      <c r="I22" s="4">
        <v>15000</v>
      </c>
      <c r="J22" s="5">
        <v>43831</v>
      </c>
      <c r="K22" s="5">
        <v>43861</v>
      </c>
      <c r="L22" s="6">
        <v>67.5</v>
      </c>
      <c r="M22" s="6">
        <v>13500</v>
      </c>
      <c r="N22" s="5">
        <v>0</v>
      </c>
      <c r="O22" s="5">
        <v>0</v>
      </c>
      <c r="P22" s="7">
        <v>0.1</v>
      </c>
      <c r="Q22" s="4">
        <v>100</v>
      </c>
      <c r="R22" s="3">
        <v>0</v>
      </c>
      <c r="S22" s="3">
        <v>76</v>
      </c>
      <c r="T22" s="8">
        <v>5700</v>
      </c>
      <c r="U22" s="3">
        <v>200</v>
      </c>
      <c r="V22" s="3">
        <v>200</v>
      </c>
      <c r="W22" s="8">
        <v>20700</v>
      </c>
      <c r="X22" s="3">
        <v>250</v>
      </c>
      <c r="Y22" s="3">
        <v>196</v>
      </c>
      <c r="Z22" s="8">
        <v>14700</v>
      </c>
      <c r="AA22" s="3">
        <v>208</v>
      </c>
      <c r="AB22" s="3">
        <v>225</v>
      </c>
      <c r="AC22" s="8">
        <v>12825</v>
      </c>
      <c r="AD22" s="3">
        <v>208</v>
      </c>
      <c r="AE22" s="3">
        <v>270</v>
      </c>
      <c r="AF22" s="8">
        <v>21525</v>
      </c>
      <c r="AG22" s="3">
        <v>211</v>
      </c>
      <c r="AH22" s="3">
        <v>212</v>
      </c>
      <c r="AI22" s="8">
        <v>20550</v>
      </c>
      <c r="AJ22" s="3">
        <v>100</v>
      </c>
      <c r="AK22" s="3">
        <v>88</v>
      </c>
      <c r="AL22" s="8">
        <v>6675</v>
      </c>
      <c r="AM22" s="3">
        <v>217.6</v>
      </c>
      <c r="AN22" s="3">
        <v>218.25</v>
      </c>
      <c r="AO22" s="8">
        <v>15468.75</v>
      </c>
      <c r="AP22" s="3">
        <v>0</v>
      </c>
      <c r="AQ22" s="3">
        <v>0</v>
      </c>
      <c r="AR22" s="9">
        <v>48.750000000000426</v>
      </c>
      <c r="AS22" s="3">
        <v>0</v>
      </c>
      <c r="AT22" s="3">
        <v>0</v>
      </c>
      <c r="AU22" s="8">
        <v>0</v>
      </c>
      <c r="AV22" s="3">
        <v>0</v>
      </c>
      <c r="AW22" s="3">
        <v>0</v>
      </c>
      <c r="AX22" s="8">
        <v>0</v>
      </c>
      <c r="AY22" s="3">
        <v>0</v>
      </c>
      <c r="AZ22" s="3">
        <v>0</v>
      </c>
      <c r="BA22" s="8">
        <v>0</v>
      </c>
      <c r="BB22" s="3">
        <v>1394.6</v>
      </c>
      <c r="BC22" s="10">
        <v>1573.25</v>
      </c>
      <c r="BD22" s="8">
        <v>117993.75</v>
      </c>
      <c r="BE22" s="10" t="s">
        <v>98</v>
      </c>
      <c r="BF22" s="10" t="s">
        <v>98</v>
      </c>
      <c r="BG22" s="10">
        <v>178.65000000000009</v>
      </c>
      <c r="BH22" s="10">
        <v>13398.750000000007</v>
      </c>
      <c r="BI22" s="12">
        <v>0.12810124766958275</v>
      </c>
      <c r="BJ22" s="4">
        <v>104595</v>
      </c>
      <c r="BK22" s="7">
        <v>-1044.95</v>
      </c>
    </row>
  </sheetData>
  <sortState xmlns:xlrd2="http://schemas.microsoft.com/office/spreadsheetml/2017/richdata2" ref="A2:BK22">
    <sortCondition ref="A2:A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calculations</vt:lpstr>
      <vt:lpstr>dashboard</vt:lpstr>
      <vt:lpst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13# Working hours and expenses analysis for Commercials Production Companies Dashboard</dc:title>
  <dc:subject>www.other-levels.com</dc:subject>
  <dc:creator>www.other-levels.com</dc:creator>
  <cp:keywords/>
  <dc:description>Copyright © 2022 Other Level's. All rights reserved
"Any illegal reproduction of this content in any form will result in immediate action against the person concerned."</dc:description>
  <cp:lastModifiedBy>Asus Vivobook</cp:lastModifiedBy>
  <dcterms:created xsi:type="dcterms:W3CDTF">2021-08-19T19:44:26Z</dcterms:created>
  <dcterms:modified xsi:type="dcterms:W3CDTF">2023-08-19T19:35:14Z</dcterms:modified>
  <cp:category/>
</cp:coreProperties>
</file>