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I\Excel DCIFUENTES\"/>
    </mc:Choice>
  </mc:AlternateContent>
  <xr:revisionPtr revIDLastSave="0" documentId="13_ncr:1_{B6CAE173-AFBE-42EC-842E-6BA0ABE39868}" xr6:coauthVersionLast="36" xr6:coauthVersionMax="36" xr10:uidLastSave="{00000000-0000-0000-0000-000000000000}"/>
  <bookViews>
    <workbookView xWindow="0" yWindow="0" windowWidth="24720" windowHeight="10725" xr2:uid="{5DE03E94-EF70-40B8-98D6-27217C89475A}"/>
  </bookViews>
  <sheets>
    <sheet name="Main" sheetId="1" r:id="rId1"/>
    <sheet name="Tables" sheetId="2" r:id="rId2"/>
    <sheet name="Table B" sheetId="3" r:id="rId3"/>
    <sheet name="Table D" sheetId="4" r:id="rId4"/>
    <sheet name="Table Q" sheetId="5" r:id="rId5"/>
    <sheet name="Thread table" sheetId="8" r:id="rId6"/>
  </sheets>
  <definedNames>
    <definedName name="_xlnm._FilterDatabase" localSheetId="2" hidden="1">'Table B'!$A$4:$I$441</definedName>
    <definedName name="BearingType">Tables!$B$236:$B$253</definedName>
    <definedName name="FlightThick">Tables!$B$366:$H$366</definedName>
    <definedName name="FlightType">Tables!$A$55:$A$58</definedName>
    <definedName name="MatType">'Table B'!$A$5:$A$436</definedName>
    <definedName name="PipeSize">Tables!$A$309:$A$333</definedName>
    <definedName name="QtyPaddles">Tables!$A$61:$A$65</definedName>
    <definedName name="ScrewGrade">'Thread table'!$G$2:$J$2</definedName>
    <definedName name="ScrewInc">Tables!$A$381:$A$390</definedName>
    <definedName name="ScrewSize">'Thread table'!$A$3:$A$16</definedName>
    <definedName name="ScrwDiam">'Table D'!$B$4:$B$13</definedName>
    <definedName name="ScrwPitch">Tables!$D$46:$D$51</definedName>
    <definedName name="ShaftSize">'Table Q'!#REF!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2" i="1"/>
  <c r="D19" i="1" l="1"/>
  <c r="D237" i="2" l="1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36" i="2"/>
  <c r="B83" i="1"/>
  <c r="H48" i="2"/>
  <c r="H46" i="2"/>
  <c r="B54" i="1" l="1"/>
  <c r="B41" i="1"/>
  <c r="B96" i="1"/>
  <c r="H312" i="2"/>
  <c r="H313" i="2"/>
  <c r="H316" i="2"/>
  <c r="H317" i="2"/>
  <c r="H320" i="2"/>
  <c r="H321" i="2"/>
  <c r="H324" i="2"/>
  <c r="H325" i="2"/>
  <c r="H328" i="2"/>
  <c r="H329" i="2"/>
  <c r="H332" i="2"/>
  <c r="H333" i="2"/>
  <c r="D376" i="2"/>
  <c r="E376" i="2" s="1"/>
  <c r="F376" i="2" s="1"/>
  <c r="G376" i="2" s="1"/>
  <c r="H376" i="2" s="1"/>
  <c r="C376" i="2"/>
  <c r="C375" i="2"/>
  <c r="D375" i="2" s="1"/>
  <c r="E375" i="2" s="1"/>
  <c r="F375" i="2" s="1"/>
  <c r="G375" i="2" s="1"/>
  <c r="H375" i="2" s="1"/>
  <c r="C374" i="2"/>
  <c r="D374" i="2" s="1"/>
  <c r="E374" i="2" s="1"/>
  <c r="F374" i="2" s="1"/>
  <c r="G374" i="2" s="1"/>
  <c r="H374" i="2" s="1"/>
  <c r="C373" i="2"/>
  <c r="D373" i="2" s="1"/>
  <c r="E373" i="2" s="1"/>
  <c r="F373" i="2" s="1"/>
  <c r="G373" i="2" s="1"/>
  <c r="H373" i="2" s="1"/>
  <c r="C372" i="2"/>
  <c r="D372" i="2" s="1"/>
  <c r="E372" i="2" s="1"/>
  <c r="F372" i="2" s="1"/>
  <c r="G372" i="2" s="1"/>
  <c r="H372" i="2" s="1"/>
  <c r="C371" i="2"/>
  <c r="D371" i="2" s="1"/>
  <c r="E371" i="2" s="1"/>
  <c r="F371" i="2" s="1"/>
  <c r="G371" i="2" s="1"/>
  <c r="H371" i="2" s="1"/>
  <c r="C370" i="2"/>
  <c r="D370" i="2" s="1"/>
  <c r="E370" i="2" s="1"/>
  <c r="F370" i="2" s="1"/>
  <c r="G370" i="2" s="1"/>
  <c r="H370" i="2" s="1"/>
  <c r="C369" i="2"/>
  <c r="D369" i="2" s="1"/>
  <c r="E369" i="2" s="1"/>
  <c r="F369" i="2" s="1"/>
  <c r="G369" i="2" s="1"/>
  <c r="H369" i="2" s="1"/>
  <c r="C368" i="2"/>
  <c r="D368" i="2" s="1"/>
  <c r="E368" i="2" s="1"/>
  <c r="F368" i="2" s="1"/>
  <c r="G368" i="2" s="1"/>
  <c r="H368" i="2" s="1"/>
  <c r="C97" i="1" s="1"/>
  <c r="B97" i="1" s="1"/>
  <c r="G313" i="2"/>
  <c r="G317" i="2"/>
  <c r="F310" i="2"/>
  <c r="G310" i="2" s="1"/>
  <c r="F311" i="2"/>
  <c r="G311" i="2" s="1"/>
  <c r="F312" i="2"/>
  <c r="G312" i="2" s="1"/>
  <c r="F313" i="2"/>
  <c r="F314" i="2"/>
  <c r="G314" i="2" s="1"/>
  <c r="F315" i="2"/>
  <c r="G315" i="2" s="1"/>
  <c r="F316" i="2"/>
  <c r="G316" i="2" s="1"/>
  <c r="F317" i="2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09" i="2"/>
  <c r="G309" i="2" s="1"/>
  <c r="C98" i="1" s="1"/>
  <c r="B111" i="1"/>
  <c r="B112" i="1" s="1"/>
  <c r="C112" i="1" s="1"/>
  <c r="C99" i="1" l="1"/>
  <c r="B99" i="1" s="1"/>
  <c r="H331" i="2"/>
  <c r="H327" i="2"/>
  <c r="H323" i="2"/>
  <c r="H319" i="2"/>
  <c r="H315" i="2"/>
  <c r="H311" i="2"/>
  <c r="H309" i="2"/>
  <c r="H330" i="2"/>
  <c r="H326" i="2"/>
  <c r="H322" i="2"/>
  <c r="B100" i="1" s="1"/>
  <c r="C100" i="1" s="1"/>
  <c r="H318" i="2"/>
  <c r="H314" i="2"/>
  <c r="H310" i="2"/>
  <c r="B98" i="1"/>
  <c r="B101" i="1" l="1"/>
  <c r="C101" i="1" l="1"/>
  <c r="E9" i="1" s="1"/>
  <c r="D9" i="1"/>
  <c r="F9" i="1" s="1"/>
  <c r="C110" i="1" l="1"/>
  <c r="B109" i="1"/>
  <c r="B110" i="1" l="1"/>
  <c r="C109" i="1" l="1"/>
  <c r="B108" i="1"/>
  <c r="B95" i="1"/>
  <c r="B48" i="1"/>
  <c r="B62" i="1"/>
  <c r="B71" i="1" s="1"/>
  <c r="B52" i="1"/>
  <c r="B53" i="1" s="1"/>
  <c r="B39" i="1"/>
  <c r="B43" i="1" s="1"/>
  <c r="C5" i="1"/>
  <c r="C6" i="1"/>
  <c r="C4" i="1"/>
  <c r="C63" i="1"/>
  <c r="B63" i="1" s="1"/>
  <c r="B82" i="1"/>
  <c r="B84" i="1"/>
  <c r="B5" i="1"/>
  <c r="C80" i="1"/>
  <c r="B64" i="1"/>
  <c r="C64" i="1" s="1"/>
  <c r="B44" i="1"/>
  <c r="B57" i="1"/>
  <c r="F50" i="2"/>
  <c r="D47" i="2"/>
  <c r="D49" i="2"/>
  <c r="F49" i="2" s="1"/>
  <c r="I4" i="3"/>
  <c r="H4" i="3"/>
  <c r="F4" i="3"/>
  <c r="G4" i="3"/>
  <c r="E4" i="3"/>
  <c r="B4" i="3"/>
  <c r="C4" i="3"/>
  <c r="D4" i="3"/>
  <c r="A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5" i="3"/>
  <c r="G124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M63" i="3" s="1"/>
  <c r="G185" i="3"/>
  <c r="G186" i="3"/>
  <c r="G187" i="3"/>
  <c r="G188" i="3"/>
  <c r="G189" i="3"/>
  <c r="G190" i="3"/>
  <c r="G191" i="3"/>
  <c r="G192" i="3"/>
  <c r="G193" i="3"/>
  <c r="M198" i="3" s="1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M23" i="3" s="1"/>
  <c r="G218" i="3"/>
  <c r="G219" i="3"/>
  <c r="M24" i="3" s="1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M67" i="3" s="1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M206" i="3" s="1"/>
  <c r="G265" i="3"/>
  <c r="M207" i="3" s="1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M158" i="3" s="1"/>
  <c r="G282" i="3"/>
  <c r="G283" i="3"/>
  <c r="G284" i="3"/>
  <c r="M111" i="3" s="1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M266" i="3" s="1"/>
  <c r="G298" i="3"/>
  <c r="G299" i="3"/>
  <c r="G300" i="3"/>
  <c r="G301" i="3"/>
  <c r="G302" i="3"/>
  <c r="G303" i="3"/>
  <c r="G304" i="3"/>
  <c r="G305" i="3"/>
  <c r="G306" i="3"/>
  <c r="G307" i="3"/>
  <c r="M213" i="3" s="1"/>
  <c r="G308" i="3"/>
  <c r="G309" i="3"/>
  <c r="G310" i="3"/>
  <c r="G311" i="3"/>
  <c r="G312" i="3"/>
  <c r="G313" i="3"/>
  <c r="G314" i="3"/>
  <c r="G315" i="3"/>
  <c r="M76" i="3" s="1"/>
  <c r="G316" i="3"/>
  <c r="G317" i="3"/>
  <c r="G318" i="3"/>
  <c r="G319" i="3"/>
  <c r="G320" i="3"/>
  <c r="G321" i="3"/>
  <c r="G322" i="3"/>
  <c r="G323" i="3"/>
  <c r="G324" i="3"/>
  <c r="M114" i="3" s="1"/>
  <c r="G325" i="3"/>
  <c r="M79" i="3" s="1"/>
  <c r="G326" i="3"/>
  <c r="G327" i="3"/>
  <c r="M37" i="3" s="1"/>
  <c r="G328" i="3"/>
  <c r="M270" i="3" s="1"/>
  <c r="G329" i="3"/>
  <c r="M214" i="3" s="1"/>
  <c r="G330" i="3"/>
  <c r="G331" i="3"/>
  <c r="G332" i="3"/>
  <c r="G333" i="3"/>
  <c r="G334" i="3"/>
  <c r="G335" i="3"/>
  <c r="G336" i="3"/>
  <c r="M118" i="3" s="1"/>
  <c r="G337" i="3"/>
  <c r="G338" i="3"/>
  <c r="G339" i="3"/>
  <c r="G340" i="3"/>
  <c r="M119" i="3" s="1"/>
  <c r="G341" i="3"/>
  <c r="G342" i="3"/>
  <c r="G343" i="3"/>
  <c r="G344" i="3"/>
  <c r="M302" i="3" s="1"/>
  <c r="G345" i="3"/>
  <c r="G346" i="3"/>
  <c r="G347" i="3"/>
  <c r="G348" i="3"/>
  <c r="G349" i="3"/>
  <c r="G350" i="3"/>
  <c r="G351" i="3"/>
  <c r="M120" i="3" s="1"/>
  <c r="G352" i="3"/>
  <c r="G353" i="3"/>
  <c r="G354" i="3"/>
  <c r="M216" i="3" s="1"/>
  <c r="G355" i="3"/>
  <c r="G356" i="3"/>
  <c r="G357" i="3"/>
  <c r="G358" i="3"/>
  <c r="G359" i="3"/>
  <c r="G360" i="3"/>
  <c r="G361" i="3"/>
  <c r="M366" i="3" s="1"/>
  <c r="G362" i="3"/>
  <c r="G363" i="3"/>
  <c r="G364" i="3"/>
  <c r="G365" i="3"/>
  <c r="G366" i="3"/>
  <c r="G367" i="3"/>
  <c r="G368" i="3"/>
  <c r="G369" i="3"/>
  <c r="G370" i="3"/>
  <c r="G371" i="3"/>
  <c r="G372" i="3"/>
  <c r="M274" i="3" s="1"/>
  <c r="G373" i="3"/>
  <c r="G374" i="3"/>
  <c r="G375" i="3"/>
  <c r="G376" i="3"/>
  <c r="M82" i="3" s="1"/>
  <c r="G377" i="3"/>
  <c r="M83" i="3" s="1"/>
  <c r="G378" i="3"/>
  <c r="M84" i="3" s="1"/>
  <c r="G379" i="3"/>
  <c r="G380" i="3"/>
  <c r="G381" i="3"/>
  <c r="M122" i="3" s="1"/>
  <c r="G382" i="3"/>
  <c r="G383" i="3"/>
  <c r="G384" i="3"/>
  <c r="M142" i="3" s="1"/>
  <c r="G385" i="3"/>
  <c r="G386" i="3"/>
  <c r="G387" i="3"/>
  <c r="G388" i="3"/>
  <c r="M218" i="3" s="1"/>
  <c r="G389" i="3"/>
  <c r="G390" i="3"/>
  <c r="G391" i="3"/>
  <c r="M368" i="3" s="1"/>
  <c r="G392" i="3"/>
  <c r="G393" i="3"/>
  <c r="G394" i="3"/>
  <c r="G395" i="3"/>
  <c r="G396" i="3"/>
  <c r="G397" i="3"/>
  <c r="M143" i="3" s="1"/>
  <c r="G398" i="3"/>
  <c r="G399" i="3"/>
  <c r="G400" i="3"/>
  <c r="M370" i="3" s="1"/>
  <c r="G401" i="3"/>
  <c r="M126" i="3" s="1"/>
  <c r="G402" i="3"/>
  <c r="G403" i="3"/>
  <c r="G404" i="3"/>
  <c r="G405" i="3"/>
  <c r="M386" i="3" s="1"/>
  <c r="G406" i="3"/>
  <c r="G407" i="3"/>
  <c r="G408" i="3"/>
  <c r="G409" i="3"/>
  <c r="M162" i="3" s="1"/>
  <c r="G410" i="3"/>
  <c r="G411" i="3"/>
  <c r="G412" i="3"/>
  <c r="M127" i="3" s="1"/>
  <c r="G413" i="3"/>
  <c r="G414" i="3"/>
  <c r="G415" i="3"/>
  <c r="G416" i="3"/>
  <c r="G417" i="3"/>
  <c r="G418" i="3"/>
  <c r="G419" i="3"/>
  <c r="G420" i="3"/>
  <c r="G421" i="3"/>
  <c r="M222" i="3" s="1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M223" i="3" s="1"/>
  <c r="G5" i="3"/>
  <c r="B51" i="1" l="1"/>
  <c r="M165" i="3"/>
  <c r="M121" i="3"/>
  <c r="M17" i="3"/>
  <c r="M176" i="3"/>
  <c r="M220" i="3"/>
  <c r="M128" i="3"/>
  <c r="M397" i="3"/>
  <c r="M305" i="3"/>
  <c r="M124" i="3"/>
  <c r="M161" i="3"/>
  <c r="M45" i="3"/>
  <c r="M41" i="3"/>
  <c r="M217" i="3"/>
  <c r="M380" i="3"/>
  <c r="M40" i="3"/>
  <c r="M364" i="3"/>
  <c r="M253" i="3"/>
  <c r="M141" i="3"/>
  <c r="M272" i="3"/>
  <c r="M77" i="3"/>
  <c r="M405" i="3"/>
  <c r="M404" i="3"/>
  <c r="M173" i="3"/>
  <c r="M212" i="3"/>
  <c r="M72" i="3"/>
  <c r="M233" i="3"/>
  <c r="M208" i="3"/>
  <c r="M28" i="3"/>
  <c r="M265" i="3"/>
  <c r="M352" i="3"/>
  <c r="M264" i="3"/>
  <c r="M65" i="3"/>
  <c r="M64" i="3"/>
  <c r="M61" i="3"/>
  <c r="M136" i="3"/>
  <c r="M189" i="3"/>
  <c r="O189" i="3" s="1"/>
  <c r="M285" i="3"/>
  <c r="M129" i="3"/>
  <c r="M49" i="3"/>
  <c r="M437" i="3"/>
  <c r="M441" i="3"/>
  <c r="M236" i="3"/>
  <c r="M436" i="3"/>
  <c r="M296" i="3"/>
  <c r="M433" i="3"/>
  <c r="M48" i="3"/>
  <c r="M160" i="3"/>
  <c r="M365" i="3"/>
  <c r="M269" i="3"/>
  <c r="M33" i="3"/>
  <c r="M268" i="3"/>
  <c r="M32" i="3"/>
  <c r="M112" i="3"/>
  <c r="M301" i="3"/>
  <c r="M232" i="3"/>
  <c r="M357" i="3"/>
  <c r="M205" i="3"/>
  <c r="M393" i="3"/>
  <c r="M157" i="3"/>
  <c r="M349" i="3"/>
  <c r="O349" i="3" s="1"/>
  <c r="M344" i="3"/>
  <c r="M288" i="3"/>
  <c r="M193" i="3"/>
  <c r="N12" i="3"/>
  <c r="N16" i="3"/>
  <c r="N20" i="3"/>
  <c r="N24" i="3"/>
  <c r="N28" i="3"/>
  <c r="N32" i="3"/>
  <c r="N36" i="3"/>
  <c r="N40" i="3"/>
  <c r="N44" i="3"/>
  <c r="N48" i="3"/>
  <c r="N52" i="3"/>
  <c r="N56" i="3"/>
  <c r="N60" i="3"/>
  <c r="N64" i="3"/>
  <c r="N68" i="3"/>
  <c r="N72" i="3"/>
  <c r="N76" i="3"/>
  <c r="N80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136" i="3"/>
  <c r="N140" i="3"/>
  <c r="N144" i="3"/>
  <c r="N148" i="3"/>
  <c r="N152" i="3"/>
  <c r="N156" i="3"/>
  <c r="N160" i="3"/>
  <c r="N164" i="3"/>
  <c r="N168" i="3"/>
  <c r="N172" i="3"/>
  <c r="N176" i="3"/>
  <c r="N180" i="3"/>
  <c r="N184" i="3"/>
  <c r="N188" i="3"/>
  <c r="N192" i="3"/>
  <c r="N196" i="3"/>
  <c r="N200" i="3"/>
  <c r="N204" i="3"/>
  <c r="N208" i="3"/>
  <c r="N212" i="3"/>
  <c r="N216" i="3"/>
  <c r="N220" i="3"/>
  <c r="O220" i="3" s="1"/>
  <c r="N224" i="3"/>
  <c r="N228" i="3"/>
  <c r="N232" i="3"/>
  <c r="N236" i="3"/>
  <c r="O236" i="3" s="1"/>
  <c r="N240" i="3"/>
  <c r="N244" i="3"/>
  <c r="N248" i="3"/>
  <c r="N252" i="3"/>
  <c r="N256" i="3"/>
  <c r="N260" i="3"/>
  <c r="N264" i="3"/>
  <c r="N268" i="3"/>
  <c r="O268" i="3" s="1"/>
  <c r="N272" i="3"/>
  <c r="N276" i="3"/>
  <c r="N280" i="3"/>
  <c r="N284" i="3"/>
  <c r="N288" i="3"/>
  <c r="N292" i="3"/>
  <c r="N296" i="3"/>
  <c r="N300" i="3"/>
  <c r="N304" i="3"/>
  <c r="N308" i="3"/>
  <c r="N312" i="3"/>
  <c r="N316" i="3"/>
  <c r="N320" i="3"/>
  <c r="N324" i="3"/>
  <c r="N328" i="3"/>
  <c r="N332" i="3"/>
  <c r="N336" i="3"/>
  <c r="N340" i="3"/>
  <c r="N344" i="3"/>
  <c r="N348" i="3"/>
  <c r="N13" i="3"/>
  <c r="N17" i="3"/>
  <c r="N21" i="3"/>
  <c r="N25" i="3"/>
  <c r="N29" i="3"/>
  <c r="N33" i="3"/>
  <c r="N37" i="3"/>
  <c r="N41" i="3"/>
  <c r="N45" i="3"/>
  <c r="N49" i="3"/>
  <c r="N53" i="3"/>
  <c r="N57" i="3"/>
  <c r="N61" i="3"/>
  <c r="N65" i="3"/>
  <c r="N69" i="3"/>
  <c r="N73" i="3"/>
  <c r="N77" i="3"/>
  <c r="N81" i="3"/>
  <c r="N85" i="3"/>
  <c r="N89" i="3"/>
  <c r="N93" i="3"/>
  <c r="N97" i="3"/>
  <c r="N101" i="3"/>
  <c r="N105" i="3"/>
  <c r="N109" i="3"/>
  <c r="N113" i="3"/>
  <c r="N117" i="3"/>
  <c r="N121" i="3"/>
  <c r="N125" i="3"/>
  <c r="N129" i="3"/>
  <c r="N133" i="3"/>
  <c r="N137" i="3"/>
  <c r="N141" i="3"/>
  <c r="N145" i="3"/>
  <c r="N149" i="3"/>
  <c r="N153" i="3"/>
  <c r="N157" i="3"/>
  <c r="N161" i="3"/>
  <c r="N165" i="3"/>
  <c r="N169" i="3"/>
  <c r="N173" i="3"/>
  <c r="N177" i="3"/>
  <c r="N181" i="3"/>
  <c r="N185" i="3"/>
  <c r="N189" i="3"/>
  <c r="N193" i="3"/>
  <c r="N14" i="3"/>
  <c r="N18" i="3"/>
  <c r="N22" i="3"/>
  <c r="N26" i="3"/>
  <c r="N30" i="3"/>
  <c r="N34" i="3"/>
  <c r="N38" i="3"/>
  <c r="N42" i="3"/>
  <c r="N46" i="3"/>
  <c r="N50" i="3"/>
  <c r="N54" i="3"/>
  <c r="N58" i="3"/>
  <c r="N62" i="3"/>
  <c r="N66" i="3"/>
  <c r="N70" i="3"/>
  <c r="N74" i="3"/>
  <c r="N78" i="3"/>
  <c r="N82" i="3"/>
  <c r="N86" i="3"/>
  <c r="N90" i="3"/>
  <c r="N94" i="3"/>
  <c r="N98" i="3"/>
  <c r="N102" i="3"/>
  <c r="N106" i="3"/>
  <c r="N110" i="3"/>
  <c r="N114" i="3"/>
  <c r="N118" i="3"/>
  <c r="N122" i="3"/>
  <c r="N126" i="3"/>
  <c r="N130" i="3"/>
  <c r="N134" i="3"/>
  <c r="N138" i="3"/>
  <c r="N142" i="3"/>
  <c r="N146" i="3"/>
  <c r="N150" i="3"/>
  <c r="N154" i="3"/>
  <c r="N158" i="3"/>
  <c r="N162" i="3"/>
  <c r="N166" i="3"/>
  <c r="N170" i="3"/>
  <c r="N174" i="3"/>
  <c r="N178" i="3"/>
  <c r="N182" i="3"/>
  <c r="N186" i="3"/>
  <c r="N190" i="3"/>
  <c r="N194" i="3"/>
  <c r="N198" i="3"/>
  <c r="N202" i="3"/>
  <c r="N206" i="3"/>
  <c r="N210" i="3"/>
  <c r="N214" i="3"/>
  <c r="N218" i="3"/>
  <c r="N222" i="3"/>
  <c r="N226" i="3"/>
  <c r="N230" i="3"/>
  <c r="N234" i="3"/>
  <c r="N238" i="3"/>
  <c r="N242" i="3"/>
  <c r="N246" i="3"/>
  <c r="N250" i="3"/>
  <c r="N254" i="3"/>
  <c r="N258" i="3"/>
  <c r="N262" i="3"/>
  <c r="N266" i="3"/>
  <c r="N270" i="3"/>
  <c r="N274" i="3"/>
  <c r="N278" i="3"/>
  <c r="N282" i="3"/>
  <c r="N286" i="3"/>
  <c r="N290" i="3"/>
  <c r="N294" i="3"/>
  <c r="N298" i="3"/>
  <c r="N302" i="3"/>
  <c r="N306" i="3"/>
  <c r="N310" i="3"/>
  <c r="N314" i="3"/>
  <c r="N318" i="3"/>
  <c r="N322" i="3"/>
  <c r="N326" i="3"/>
  <c r="N330" i="3"/>
  <c r="N334" i="3"/>
  <c r="N338" i="3"/>
  <c r="N342" i="3"/>
  <c r="N346" i="3"/>
  <c r="N350" i="3"/>
  <c r="N15" i="3"/>
  <c r="N19" i="3"/>
  <c r="N23" i="3"/>
  <c r="N27" i="3"/>
  <c r="N31" i="3"/>
  <c r="N35" i="3"/>
  <c r="N39" i="3"/>
  <c r="N43" i="3"/>
  <c r="N47" i="3"/>
  <c r="N51" i="3"/>
  <c r="N55" i="3"/>
  <c r="N59" i="3"/>
  <c r="N63" i="3"/>
  <c r="N67" i="3"/>
  <c r="N71" i="3"/>
  <c r="N75" i="3"/>
  <c r="N79" i="3"/>
  <c r="N83" i="3"/>
  <c r="N87" i="3"/>
  <c r="N91" i="3"/>
  <c r="N95" i="3"/>
  <c r="N99" i="3"/>
  <c r="N103" i="3"/>
  <c r="N107" i="3"/>
  <c r="N111" i="3"/>
  <c r="N115" i="3"/>
  <c r="N119" i="3"/>
  <c r="N123" i="3"/>
  <c r="N127" i="3"/>
  <c r="N131" i="3"/>
  <c r="N135" i="3"/>
  <c r="N139" i="3"/>
  <c r="N143" i="3"/>
  <c r="N147" i="3"/>
  <c r="N151" i="3"/>
  <c r="N155" i="3"/>
  <c r="N159" i="3"/>
  <c r="N163" i="3"/>
  <c r="N167" i="3"/>
  <c r="N171" i="3"/>
  <c r="N175" i="3"/>
  <c r="N179" i="3"/>
  <c r="N183" i="3"/>
  <c r="N187" i="3"/>
  <c r="N191" i="3"/>
  <c r="N195" i="3"/>
  <c r="N199" i="3"/>
  <c r="N203" i="3"/>
  <c r="N207" i="3"/>
  <c r="N211" i="3"/>
  <c r="N215" i="3"/>
  <c r="N219" i="3"/>
  <c r="N223" i="3"/>
  <c r="N227" i="3"/>
  <c r="N231" i="3"/>
  <c r="N235" i="3"/>
  <c r="N239" i="3"/>
  <c r="N243" i="3"/>
  <c r="N247" i="3"/>
  <c r="N251" i="3"/>
  <c r="N255" i="3"/>
  <c r="N259" i="3"/>
  <c r="N263" i="3"/>
  <c r="N197" i="3"/>
  <c r="N213" i="3"/>
  <c r="N229" i="3"/>
  <c r="N245" i="3"/>
  <c r="N261" i="3"/>
  <c r="N271" i="3"/>
  <c r="N279" i="3"/>
  <c r="N287" i="3"/>
  <c r="N295" i="3"/>
  <c r="N303" i="3"/>
  <c r="N311" i="3"/>
  <c r="N319" i="3"/>
  <c r="N327" i="3"/>
  <c r="N335" i="3"/>
  <c r="N343" i="3"/>
  <c r="N351" i="3"/>
  <c r="N355" i="3"/>
  <c r="N359" i="3"/>
  <c r="N363" i="3"/>
  <c r="N367" i="3"/>
  <c r="N371" i="3"/>
  <c r="N375" i="3"/>
  <c r="N379" i="3"/>
  <c r="N383" i="3"/>
  <c r="N387" i="3"/>
  <c r="N391" i="3"/>
  <c r="N395" i="3"/>
  <c r="N399" i="3"/>
  <c r="N403" i="3"/>
  <c r="N407" i="3"/>
  <c r="N411" i="3"/>
  <c r="N415" i="3"/>
  <c r="N419" i="3"/>
  <c r="N423" i="3"/>
  <c r="N427" i="3"/>
  <c r="N431" i="3"/>
  <c r="N435" i="3"/>
  <c r="N439" i="3"/>
  <c r="N209" i="3"/>
  <c r="N301" i="3"/>
  <c r="N325" i="3"/>
  <c r="N349" i="3"/>
  <c r="N366" i="3"/>
  <c r="N378" i="3"/>
  <c r="N390" i="3"/>
  <c r="N402" i="3"/>
  <c r="N414" i="3"/>
  <c r="N426" i="3"/>
  <c r="N438" i="3"/>
  <c r="N201" i="3"/>
  <c r="N217" i="3"/>
  <c r="N233" i="3"/>
  <c r="N249" i="3"/>
  <c r="N265" i="3"/>
  <c r="N273" i="3"/>
  <c r="N281" i="3"/>
  <c r="N289" i="3"/>
  <c r="N297" i="3"/>
  <c r="N305" i="3"/>
  <c r="N313" i="3"/>
  <c r="N321" i="3"/>
  <c r="N329" i="3"/>
  <c r="N337" i="3"/>
  <c r="N345" i="3"/>
  <c r="N352" i="3"/>
  <c r="N356" i="3"/>
  <c r="N360" i="3"/>
  <c r="N364" i="3"/>
  <c r="N368" i="3"/>
  <c r="N372" i="3"/>
  <c r="N376" i="3"/>
  <c r="N380" i="3"/>
  <c r="N384" i="3"/>
  <c r="N388" i="3"/>
  <c r="N392" i="3"/>
  <c r="N396" i="3"/>
  <c r="N400" i="3"/>
  <c r="N404" i="3"/>
  <c r="N408" i="3"/>
  <c r="N412" i="3"/>
  <c r="N416" i="3"/>
  <c r="N420" i="3"/>
  <c r="N424" i="3"/>
  <c r="N428" i="3"/>
  <c r="N432" i="3"/>
  <c r="N436" i="3"/>
  <c r="N440" i="3"/>
  <c r="N437" i="3"/>
  <c r="N225" i="3"/>
  <c r="N293" i="3"/>
  <c r="N317" i="3"/>
  <c r="N341" i="3"/>
  <c r="N358" i="3"/>
  <c r="N374" i="3"/>
  <c r="N386" i="3"/>
  <c r="N398" i="3"/>
  <c r="N406" i="3"/>
  <c r="N418" i="3"/>
  <c r="N430" i="3"/>
  <c r="N11" i="3"/>
  <c r="N205" i="3"/>
  <c r="N221" i="3"/>
  <c r="N237" i="3"/>
  <c r="N253" i="3"/>
  <c r="N267" i="3"/>
  <c r="N275" i="3"/>
  <c r="N283" i="3"/>
  <c r="N291" i="3"/>
  <c r="N299" i="3"/>
  <c r="N307" i="3"/>
  <c r="N315" i="3"/>
  <c r="N323" i="3"/>
  <c r="N331" i="3"/>
  <c r="N339" i="3"/>
  <c r="N347" i="3"/>
  <c r="N353" i="3"/>
  <c r="N357" i="3"/>
  <c r="N361" i="3"/>
  <c r="N365" i="3"/>
  <c r="N369" i="3"/>
  <c r="N373" i="3"/>
  <c r="N377" i="3"/>
  <c r="N381" i="3"/>
  <c r="N385" i="3"/>
  <c r="N389" i="3"/>
  <c r="N393" i="3"/>
  <c r="N397" i="3"/>
  <c r="N401" i="3"/>
  <c r="N405" i="3"/>
  <c r="N409" i="3"/>
  <c r="N413" i="3"/>
  <c r="N417" i="3"/>
  <c r="N421" i="3"/>
  <c r="N425" i="3"/>
  <c r="N429" i="3"/>
  <c r="N433" i="3"/>
  <c r="N441" i="3"/>
  <c r="N241" i="3"/>
  <c r="N257" i="3"/>
  <c r="N269" i="3"/>
  <c r="N277" i="3"/>
  <c r="N285" i="3"/>
  <c r="O285" i="3" s="1"/>
  <c r="N309" i="3"/>
  <c r="N333" i="3"/>
  <c r="N354" i="3"/>
  <c r="N362" i="3"/>
  <c r="N370" i="3"/>
  <c r="N382" i="3"/>
  <c r="N394" i="3"/>
  <c r="N410" i="3"/>
  <c r="N422" i="3"/>
  <c r="N434" i="3"/>
  <c r="L12" i="3"/>
  <c r="L16" i="3"/>
  <c r="L20" i="3"/>
  <c r="L24" i="3"/>
  <c r="L28" i="3"/>
  <c r="L32" i="3"/>
  <c r="O32" i="3" s="1"/>
  <c r="L36" i="3"/>
  <c r="L40" i="3"/>
  <c r="L44" i="3"/>
  <c r="L48" i="3"/>
  <c r="O48" i="3" s="1"/>
  <c r="L52" i="3"/>
  <c r="L56" i="3"/>
  <c r="L60" i="3"/>
  <c r="L64" i="3"/>
  <c r="L68" i="3"/>
  <c r="L72" i="3"/>
  <c r="L76" i="3"/>
  <c r="L80" i="3"/>
  <c r="L84" i="3"/>
  <c r="L88" i="3"/>
  <c r="L92" i="3"/>
  <c r="L96" i="3"/>
  <c r="L100" i="3"/>
  <c r="L104" i="3"/>
  <c r="L108" i="3"/>
  <c r="L112" i="3"/>
  <c r="O112" i="3" s="1"/>
  <c r="L116" i="3"/>
  <c r="L120" i="3"/>
  <c r="L124" i="3"/>
  <c r="L128" i="3"/>
  <c r="L132" i="3"/>
  <c r="L136" i="3"/>
  <c r="L140" i="3"/>
  <c r="L144" i="3"/>
  <c r="L148" i="3"/>
  <c r="L152" i="3"/>
  <c r="L156" i="3"/>
  <c r="L160" i="3"/>
  <c r="O160" i="3" s="1"/>
  <c r="L164" i="3"/>
  <c r="L168" i="3"/>
  <c r="L172" i="3"/>
  <c r="L176" i="3"/>
  <c r="L180" i="3"/>
  <c r="L184" i="3"/>
  <c r="L188" i="3"/>
  <c r="L192" i="3"/>
  <c r="L196" i="3"/>
  <c r="L200" i="3"/>
  <c r="L204" i="3"/>
  <c r="L208" i="3"/>
  <c r="O208" i="3" s="1"/>
  <c r="L212" i="3"/>
  <c r="L216" i="3"/>
  <c r="L220" i="3"/>
  <c r="L224" i="3"/>
  <c r="L228" i="3"/>
  <c r="L232" i="3"/>
  <c r="L236" i="3"/>
  <c r="L240" i="3"/>
  <c r="L244" i="3"/>
  <c r="L248" i="3"/>
  <c r="L252" i="3"/>
  <c r="L256" i="3"/>
  <c r="L260" i="3"/>
  <c r="L264" i="3"/>
  <c r="L268" i="3"/>
  <c r="L272" i="3"/>
  <c r="L276" i="3"/>
  <c r="L280" i="3"/>
  <c r="L284" i="3"/>
  <c r="L288" i="3"/>
  <c r="O288" i="3" s="1"/>
  <c r="L292" i="3"/>
  <c r="L296" i="3"/>
  <c r="L300" i="3"/>
  <c r="L304" i="3"/>
  <c r="L308" i="3"/>
  <c r="L312" i="3"/>
  <c r="L316" i="3"/>
  <c r="L320" i="3"/>
  <c r="L324" i="3"/>
  <c r="L328" i="3"/>
  <c r="L332" i="3"/>
  <c r="L336" i="3"/>
  <c r="L340" i="3"/>
  <c r="L344" i="3"/>
  <c r="L348" i="3"/>
  <c r="L13" i="3"/>
  <c r="L18" i="3"/>
  <c r="L23" i="3"/>
  <c r="L29" i="3"/>
  <c r="L34" i="3"/>
  <c r="L39" i="3"/>
  <c r="L45" i="3"/>
  <c r="L50" i="3"/>
  <c r="L55" i="3"/>
  <c r="L61" i="3"/>
  <c r="L66" i="3"/>
  <c r="L71" i="3"/>
  <c r="L77" i="3"/>
  <c r="L82" i="3"/>
  <c r="L87" i="3"/>
  <c r="L93" i="3"/>
  <c r="L98" i="3"/>
  <c r="L103" i="3"/>
  <c r="L109" i="3"/>
  <c r="L114" i="3"/>
  <c r="L119" i="3"/>
  <c r="L125" i="3"/>
  <c r="L130" i="3"/>
  <c r="L135" i="3"/>
  <c r="L141" i="3"/>
  <c r="O141" i="3" s="1"/>
  <c r="L146" i="3"/>
  <c r="L151" i="3"/>
  <c r="L157" i="3"/>
  <c r="L162" i="3"/>
  <c r="L167" i="3"/>
  <c r="L173" i="3"/>
  <c r="L178" i="3"/>
  <c r="L183" i="3"/>
  <c r="L189" i="3"/>
  <c r="L194" i="3"/>
  <c r="L199" i="3"/>
  <c r="L205" i="3"/>
  <c r="L210" i="3"/>
  <c r="L215" i="3"/>
  <c r="L221" i="3"/>
  <c r="L226" i="3"/>
  <c r="L231" i="3"/>
  <c r="L237" i="3"/>
  <c r="L242" i="3"/>
  <c r="L247" i="3"/>
  <c r="L253" i="3"/>
  <c r="L258" i="3"/>
  <c r="L263" i="3"/>
  <c r="L269" i="3"/>
  <c r="O269" i="3" s="1"/>
  <c r="L274" i="3"/>
  <c r="L279" i="3"/>
  <c r="L285" i="3"/>
  <c r="L290" i="3"/>
  <c r="L295" i="3"/>
  <c r="L301" i="3"/>
  <c r="L306" i="3"/>
  <c r="L311" i="3"/>
  <c r="L317" i="3"/>
  <c r="L322" i="3"/>
  <c r="L327" i="3"/>
  <c r="L333" i="3"/>
  <c r="L338" i="3"/>
  <c r="L343" i="3"/>
  <c r="L349" i="3"/>
  <c r="L353" i="3"/>
  <c r="L357" i="3"/>
  <c r="L361" i="3"/>
  <c r="L365" i="3"/>
  <c r="L369" i="3"/>
  <c r="L373" i="3"/>
  <c r="L377" i="3"/>
  <c r="L381" i="3"/>
  <c r="L385" i="3"/>
  <c r="L389" i="3"/>
  <c r="L393" i="3"/>
  <c r="L397" i="3"/>
  <c r="L401" i="3"/>
  <c r="L405" i="3"/>
  <c r="L409" i="3"/>
  <c r="L413" i="3"/>
  <c r="L417" i="3"/>
  <c r="L421" i="3"/>
  <c r="L425" i="3"/>
  <c r="L429" i="3"/>
  <c r="L433" i="3"/>
  <c r="L437" i="3"/>
  <c r="L441" i="3"/>
  <c r="L334" i="3"/>
  <c r="L370" i="3"/>
  <c r="L378" i="3"/>
  <c r="L386" i="3"/>
  <c r="L394" i="3"/>
  <c r="L402" i="3"/>
  <c r="L410" i="3"/>
  <c r="L418" i="3"/>
  <c r="L426" i="3"/>
  <c r="L434" i="3"/>
  <c r="L11" i="3"/>
  <c r="L14" i="3"/>
  <c r="L19" i="3"/>
  <c r="L25" i="3"/>
  <c r="L30" i="3"/>
  <c r="L35" i="3"/>
  <c r="L41" i="3"/>
  <c r="L46" i="3"/>
  <c r="L51" i="3"/>
  <c r="L57" i="3"/>
  <c r="L62" i="3"/>
  <c r="L67" i="3"/>
  <c r="L73" i="3"/>
  <c r="L78" i="3"/>
  <c r="L83" i="3"/>
  <c r="L89" i="3"/>
  <c r="L94" i="3"/>
  <c r="L99" i="3"/>
  <c r="L105" i="3"/>
  <c r="L110" i="3"/>
  <c r="L115" i="3"/>
  <c r="L121" i="3"/>
  <c r="L126" i="3"/>
  <c r="L131" i="3"/>
  <c r="L137" i="3"/>
  <c r="L142" i="3"/>
  <c r="L147" i="3"/>
  <c r="L153" i="3"/>
  <c r="L158" i="3"/>
  <c r="L163" i="3"/>
  <c r="L169" i="3"/>
  <c r="L174" i="3"/>
  <c r="L179" i="3"/>
  <c r="L185" i="3"/>
  <c r="L190" i="3"/>
  <c r="L195" i="3"/>
  <c r="L201" i="3"/>
  <c r="L206" i="3"/>
  <c r="L211" i="3"/>
  <c r="L217" i="3"/>
  <c r="O217" i="3" s="1"/>
  <c r="L222" i="3"/>
  <c r="L227" i="3"/>
  <c r="L233" i="3"/>
  <c r="L238" i="3"/>
  <c r="L243" i="3"/>
  <c r="L249" i="3"/>
  <c r="L254" i="3"/>
  <c r="L259" i="3"/>
  <c r="L265" i="3"/>
  <c r="L270" i="3"/>
  <c r="L275" i="3"/>
  <c r="L281" i="3"/>
  <c r="L286" i="3"/>
  <c r="L291" i="3"/>
  <c r="L297" i="3"/>
  <c r="L302" i="3"/>
  <c r="L307" i="3"/>
  <c r="L313" i="3"/>
  <c r="L318" i="3"/>
  <c r="L323" i="3"/>
  <c r="L329" i="3"/>
  <c r="L339" i="3"/>
  <c r="L345" i="3"/>
  <c r="L350" i="3"/>
  <c r="L354" i="3"/>
  <c r="L358" i="3"/>
  <c r="L362" i="3"/>
  <c r="L366" i="3"/>
  <c r="O366" i="3" s="1"/>
  <c r="L374" i="3"/>
  <c r="L382" i="3"/>
  <c r="L390" i="3"/>
  <c r="L398" i="3"/>
  <c r="L406" i="3"/>
  <c r="L414" i="3"/>
  <c r="L422" i="3"/>
  <c r="L430" i="3"/>
  <c r="L438" i="3"/>
  <c r="L15" i="3"/>
  <c r="L21" i="3"/>
  <c r="L26" i="3"/>
  <c r="L31" i="3"/>
  <c r="L37" i="3"/>
  <c r="L42" i="3"/>
  <c r="L47" i="3"/>
  <c r="L53" i="3"/>
  <c r="L58" i="3"/>
  <c r="L63" i="3"/>
  <c r="L69" i="3"/>
  <c r="L74" i="3"/>
  <c r="L79" i="3"/>
  <c r="L85" i="3"/>
  <c r="L90" i="3"/>
  <c r="L95" i="3"/>
  <c r="L101" i="3"/>
  <c r="L106" i="3"/>
  <c r="L111" i="3"/>
  <c r="L117" i="3"/>
  <c r="L122" i="3"/>
  <c r="L127" i="3"/>
  <c r="L133" i="3"/>
  <c r="L138" i="3"/>
  <c r="L143" i="3"/>
  <c r="L149" i="3"/>
  <c r="L154" i="3"/>
  <c r="L159" i="3"/>
  <c r="L165" i="3"/>
  <c r="L170" i="3"/>
  <c r="L175" i="3"/>
  <c r="L181" i="3"/>
  <c r="L186" i="3"/>
  <c r="L191" i="3"/>
  <c r="L197" i="3"/>
  <c r="L202" i="3"/>
  <c r="L207" i="3"/>
  <c r="L213" i="3"/>
  <c r="L218" i="3"/>
  <c r="L223" i="3"/>
  <c r="L229" i="3"/>
  <c r="L234" i="3"/>
  <c r="L239" i="3"/>
  <c r="L245" i="3"/>
  <c r="L250" i="3"/>
  <c r="L255" i="3"/>
  <c r="L261" i="3"/>
  <c r="L266" i="3"/>
  <c r="L271" i="3"/>
  <c r="L277" i="3"/>
  <c r="L282" i="3"/>
  <c r="L287" i="3"/>
  <c r="L293" i="3"/>
  <c r="L298" i="3"/>
  <c r="L303" i="3"/>
  <c r="L309" i="3"/>
  <c r="L314" i="3"/>
  <c r="L319" i="3"/>
  <c r="L325" i="3"/>
  <c r="L330" i="3"/>
  <c r="L335" i="3"/>
  <c r="L341" i="3"/>
  <c r="L346" i="3"/>
  <c r="L351" i="3"/>
  <c r="L355" i="3"/>
  <c r="L359" i="3"/>
  <c r="L363" i="3"/>
  <c r="L367" i="3"/>
  <c r="L371" i="3"/>
  <c r="L375" i="3"/>
  <c r="L379" i="3"/>
  <c r="L383" i="3"/>
  <c r="L387" i="3"/>
  <c r="L391" i="3"/>
  <c r="L395" i="3"/>
  <c r="L399" i="3"/>
  <c r="L403" i="3"/>
  <c r="L407" i="3"/>
  <c r="L411" i="3"/>
  <c r="L415" i="3"/>
  <c r="L419" i="3"/>
  <c r="L423" i="3"/>
  <c r="L431" i="3"/>
  <c r="L435" i="3"/>
  <c r="L439" i="3"/>
  <c r="L17" i="3"/>
  <c r="L38" i="3"/>
  <c r="L59" i="3"/>
  <c r="L81" i="3"/>
  <c r="L102" i="3"/>
  <c r="L123" i="3"/>
  <c r="L145" i="3"/>
  <c r="L166" i="3"/>
  <c r="L187" i="3"/>
  <c r="L209" i="3"/>
  <c r="L230" i="3"/>
  <c r="L251" i="3"/>
  <c r="L273" i="3"/>
  <c r="L294" i="3"/>
  <c r="L315" i="3"/>
  <c r="L337" i="3"/>
  <c r="L356" i="3"/>
  <c r="L372" i="3"/>
  <c r="L388" i="3"/>
  <c r="L404" i="3"/>
  <c r="L420" i="3"/>
  <c r="L432" i="3"/>
  <c r="L75" i="3"/>
  <c r="L139" i="3"/>
  <c r="L203" i="3"/>
  <c r="L289" i="3"/>
  <c r="L352" i="3"/>
  <c r="L400" i="3"/>
  <c r="L22" i="3"/>
  <c r="L43" i="3"/>
  <c r="L65" i="3"/>
  <c r="L86" i="3"/>
  <c r="L107" i="3"/>
  <c r="L129" i="3"/>
  <c r="L150" i="3"/>
  <c r="L171" i="3"/>
  <c r="L193" i="3"/>
  <c r="L214" i="3"/>
  <c r="L235" i="3"/>
  <c r="L257" i="3"/>
  <c r="L278" i="3"/>
  <c r="L299" i="3"/>
  <c r="L321" i="3"/>
  <c r="L342" i="3"/>
  <c r="L360" i="3"/>
  <c r="L376" i="3"/>
  <c r="L392" i="3"/>
  <c r="L408" i="3"/>
  <c r="L424" i="3"/>
  <c r="L436" i="3"/>
  <c r="L33" i="3"/>
  <c r="L118" i="3"/>
  <c r="L182" i="3"/>
  <c r="L246" i="3"/>
  <c r="L310" i="3"/>
  <c r="L368" i="3"/>
  <c r="L416" i="3"/>
  <c r="L27" i="3"/>
  <c r="L49" i="3"/>
  <c r="L70" i="3"/>
  <c r="L91" i="3"/>
  <c r="L113" i="3"/>
  <c r="L134" i="3"/>
  <c r="L155" i="3"/>
  <c r="L177" i="3"/>
  <c r="L198" i="3"/>
  <c r="O198" i="3" s="1"/>
  <c r="L219" i="3"/>
  <c r="L241" i="3"/>
  <c r="L262" i="3"/>
  <c r="L283" i="3"/>
  <c r="L305" i="3"/>
  <c r="L326" i="3"/>
  <c r="L347" i="3"/>
  <c r="L364" i="3"/>
  <c r="L380" i="3"/>
  <c r="L396" i="3"/>
  <c r="L412" i="3"/>
  <c r="L427" i="3"/>
  <c r="L440" i="3"/>
  <c r="L54" i="3"/>
  <c r="L97" i="3"/>
  <c r="L161" i="3"/>
  <c r="L225" i="3"/>
  <c r="L267" i="3"/>
  <c r="L331" i="3"/>
  <c r="L384" i="3"/>
  <c r="L428" i="3"/>
  <c r="K13" i="3"/>
  <c r="K17" i="3"/>
  <c r="K21" i="3"/>
  <c r="K25" i="3"/>
  <c r="K29" i="3"/>
  <c r="K33" i="3"/>
  <c r="K37" i="3"/>
  <c r="K41" i="3"/>
  <c r="K45" i="3"/>
  <c r="K49" i="3"/>
  <c r="K53" i="3"/>
  <c r="K57" i="3"/>
  <c r="K61" i="3"/>
  <c r="K65" i="3"/>
  <c r="K69" i="3"/>
  <c r="K73" i="3"/>
  <c r="K77" i="3"/>
  <c r="K81" i="3"/>
  <c r="K85" i="3"/>
  <c r="K89" i="3"/>
  <c r="K93" i="3"/>
  <c r="K97" i="3"/>
  <c r="K101" i="3"/>
  <c r="K105" i="3"/>
  <c r="K109" i="3"/>
  <c r="K113" i="3"/>
  <c r="K117" i="3"/>
  <c r="K121" i="3"/>
  <c r="K125" i="3"/>
  <c r="K129" i="3"/>
  <c r="K133" i="3"/>
  <c r="K137" i="3"/>
  <c r="K141" i="3"/>
  <c r="K145" i="3"/>
  <c r="K149" i="3"/>
  <c r="K153" i="3"/>
  <c r="K157" i="3"/>
  <c r="K161" i="3"/>
  <c r="K165" i="3"/>
  <c r="K169" i="3"/>
  <c r="K173" i="3"/>
  <c r="K177" i="3"/>
  <c r="K181" i="3"/>
  <c r="K185" i="3"/>
  <c r="K189" i="3"/>
  <c r="K193" i="3"/>
  <c r="K197" i="3"/>
  <c r="K201" i="3"/>
  <c r="K205" i="3"/>
  <c r="K209" i="3"/>
  <c r="K213" i="3"/>
  <c r="K217" i="3"/>
  <c r="K221" i="3"/>
  <c r="K225" i="3"/>
  <c r="K229" i="3"/>
  <c r="K233" i="3"/>
  <c r="K237" i="3"/>
  <c r="K241" i="3"/>
  <c r="K245" i="3"/>
  <c r="K249" i="3"/>
  <c r="K253" i="3"/>
  <c r="K257" i="3"/>
  <c r="K261" i="3"/>
  <c r="K265" i="3"/>
  <c r="K269" i="3"/>
  <c r="K273" i="3"/>
  <c r="K277" i="3"/>
  <c r="K281" i="3"/>
  <c r="K285" i="3"/>
  <c r="K289" i="3"/>
  <c r="K293" i="3"/>
  <c r="K297" i="3"/>
  <c r="K301" i="3"/>
  <c r="K305" i="3"/>
  <c r="K309" i="3"/>
  <c r="K313" i="3"/>
  <c r="K317" i="3"/>
  <c r="K321" i="3"/>
  <c r="K325" i="3"/>
  <c r="K329" i="3"/>
  <c r="K333" i="3"/>
  <c r="K337" i="3"/>
  <c r="K341" i="3"/>
  <c r="K345" i="3"/>
  <c r="K349" i="3"/>
  <c r="K16" i="3"/>
  <c r="K22" i="3"/>
  <c r="K27" i="3"/>
  <c r="K32" i="3"/>
  <c r="K38" i="3"/>
  <c r="K43" i="3"/>
  <c r="K48" i="3"/>
  <c r="K54" i="3"/>
  <c r="K59" i="3"/>
  <c r="K64" i="3"/>
  <c r="K70" i="3"/>
  <c r="K75" i="3"/>
  <c r="K80" i="3"/>
  <c r="K86" i="3"/>
  <c r="K91" i="3"/>
  <c r="K96" i="3"/>
  <c r="K102" i="3"/>
  <c r="K107" i="3"/>
  <c r="K112" i="3"/>
  <c r="K118" i="3"/>
  <c r="K123" i="3"/>
  <c r="K128" i="3"/>
  <c r="O128" i="3" s="1"/>
  <c r="K134" i="3"/>
  <c r="K139" i="3"/>
  <c r="K144" i="3"/>
  <c r="K150" i="3"/>
  <c r="K155" i="3"/>
  <c r="K160" i="3"/>
  <c r="K166" i="3"/>
  <c r="K171" i="3"/>
  <c r="K176" i="3"/>
  <c r="K182" i="3"/>
  <c r="K187" i="3"/>
  <c r="K192" i="3"/>
  <c r="K198" i="3"/>
  <c r="K203" i="3"/>
  <c r="K208" i="3"/>
  <c r="K214" i="3"/>
  <c r="O214" i="3" s="1"/>
  <c r="K219" i="3"/>
  <c r="K224" i="3"/>
  <c r="K230" i="3"/>
  <c r="K235" i="3"/>
  <c r="K240" i="3"/>
  <c r="K246" i="3"/>
  <c r="K251" i="3"/>
  <c r="K256" i="3"/>
  <c r="K262" i="3"/>
  <c r="K267" i="3"/>
  <c r="K272" i="3"/>
  <c r="K278" i="3"/>
  <c r="K283" i="3"/>
  <c r="K288" i="3"/>
  <c r="K294" i="3"/>
  <c r="K299" i="3"/>
  <c r="K304" i="3"/>
  <c r="K310" i="3"/>
  <c r="K315" i="3"/>
  <c r="K320" i="3"/>
  <c r="K326" i="3"/>
  <c r="K331" i="3"/>
  <c r="K336" i="3"/>
  <c r="K342" i="3"/>
  <c r="K347" i="3"/>
  <c r="K352" i="3"/>
  <c r="K356" i="3"/>
  <c r="K360" i="3"/>
  <c r="K364" i="3"/>
  <c r="K368" i="3"/>
  <c r="K372" i="3"/>
  <c r="K376" i="3"/>
  <c r="K380" i="3"/>
  <c r="K384" i="3"/>
  <c r="K388" i="3"/>
  <c r="K392" i="3"/>
  <c r="K396" i="3"/>
  <c r="K400" i="3"/>
  <c r="K404" i="3"/>
  <c r="K408" i="3"/>
  <c r="K412" i="3"/>
  <c r="K416" i="3"/>
  <c r="K420" i="3"/>
  <c r="K424" i="3"/>
  <c r="K428" i="3"/>
  <c r="K432" i="3"/>
  <c r="K436" i="3"/>
  <c r="K14" i="3"/>
  <c r="K20" i="3"/>
  <c r="K28" i="3"/>
  <c r="K35" i="3"/>
  <c r="K42" i="3"/>
  <c r="K50" i="3"/>
  <c r="K56" i="3"/>
  <c r="K63" i="3"/>
  <c r="K71" i="3"/>
  <c r="K78" i="3"/>
  <c r="K84" i="3"/>
  <c r="K92" i="3"/>
  <c r="K99" i="3"/>
  <c r="K106" i="3"/>
  <c r="K114" i="3"/>
  <c r="K120" i="3"/>
  <c r="K127" i="3"/>
  <c r="K135" i="3"/>
  <c r="K142" i="3"/>
  <c r="K148" i="3"/>
  <c r="K156" i="3"/>
  <c r="K163" i="3"/>
  <c r="K170" i="3"/>
  <c r="K178" i="3"/>
  <c r="K184" i="3"/>
  <c r="K191" i="3"/>
  <c r="K199" i="3"/>
  <c r="K206" i="3"/>
  <c r="K212" i="3"/>
  <c r="K220" i="3"/>
  <c r="K227" i="3"/>
  <c r="K234" i="3"/>
  <c r="K242" i="3"/>
  <c r="K248" i="3"/>
  <c r="K255" i="3"/>
  <c r="K263" i="3"/>
  <c r="K270" i="3"/>
  <c r="K276" i="3"/>
  <c r="K284" i="3"/>
  <c r="K291" i="3"/>
  <c r="K298" i="3"/>
  <c r="K306" i="3"/>
  <c r="K312" i="3"/>
  <c r="K319" i="3"/>
  <c r="K327" i="3"/>
  <c r="K334" i="3"/>
  <c r="K340" i="3"/>
  <c r="K348" i="3"/>
  <c r="K354" i="3"/>
  <c r="K359" i="3"/>
  <c r="K365" i="3"/>
  <c r="K370" i="3"/>
  <c r="K375" i="3"/>
  <c r="K381" i="3"/>
  <c r="K386" i="3"/>
  <c r="K391" i="3"/>
  <c r="K397" i="3"/>
  <c r="O397" i="3" s="1"/>
  <c r="K402" i="3"/>
  <c r="K407" i="3"/>
  <c r="K413" i="3"/>
  <c r="K418" i="3"/>
  <c r="K423" i="3"/>
  <c r="K429" i="3"/>
  <c r="K434" i="3"/>
  <c r="K439" i="3"/>
  <c r="K236" i="3"/>
  <c r="K314" i="3"/>
  <c r="K335" i="3"/>
  <c r="K350" i="3"/>
  <c r="K355" i="3"/>
  <c r="K366" i="3"/>
  <c r="K377" i="3"/>
  <c r="K387" i="3"/>
  <c r="K398" i="3"/>
  <c r="K409" i="3"/>
  <c r="K419" i="3"/>
  <c r="K435" i="3"/>
  <c r="K15" i="3"/>
  <c r="K23" i="3"/>
  <c r="K30" i="3"/>
  <c r="K36" i="3"/>
  <c r="K44" i="3"/>
  <c r="K51" i="3"/>
  <c r="K58" i="3"/>
  <c r="K66" i="3"/>
  <c r="K72" i="3"/>
  <c r="K79" i="3"/>
  <c r="K87" i="3"/>
  <c r="K94" i="3"/>
  <c r="K100" i="3"/>
  <c r="K108" i="3"/>
  <c r="K115" i="3"/>
  <c r="K122" i="3"/>
  <c r="K130" i="3"/>
  <c r="K136" i="3"/>
  <c r="K143" i="3"/>
  <c r="K151" i="3"/>
  <c r="K158" i="3"/>
  <c r="K164" i="3"/>
  <c r="K172" i="3"/>
  <c r="K179" i="3"/>
  <c r="K186" i="3"/>
  <c r="K194" i="3"/>
  <c r="K200" i="3"/>
  <c r="K207" i="3"/>
  <c r="K215" i="3"/>
  <c r="K222" i="3"/>
  <c r="K228" i="3"/>
  <c r="K243" i="3"/>
  <c r="K250" i="3"/>
  <c r="K258" i="3"/>
  <c r="K264" i="3"/>
  <c r="K271" i="3"/>
  <c r="K279" i="3"/>
  <c r="K286" i="3"/>
  <c r="K292" i="3"/>
  <c r="K300" i="3"/>
  <c r="K307" i="3"/>
  <c r="K322" i="3"/>
  <c r="K328" i="3"/>
  <c r="K343" i="3"/>
  <c r="K361" i="3"/>
  <c r="K371" i="3"/>
  <c r="K382" i="3"/>
  <c r="K393" i="3"/>
  <c r="K403" i="3"/>
  <c r="K414" i="3"/>
  <c r="K425" i="3"/>
  <c r="K430" i="3"/>
  <c r="K18" i="3"/>
  <c r="K24" i="3"/>
  <c r="K31" i="3"/>
  <c r="K39" i="3"/>
  <c r="K46" i="3"/>
  <c r="K52" i="3"/>
  <c r="K60" i="3"/>
  <c r="K67" i="3"/>
  <c r="O67" i="3" s="1"/>
  <c r="K74" i="3"/>
  <c r="K82" i="3"/>
  <c r="K88" i="3"/>
  <c r="K95" i="3"/>
  <c r="K103" i="3"/>
  <c r="K110" i="3"/>
  <c r="K116" i="3"/>
  <c r="K124" i="3"/>
  <c r="O124" i="3" s="1"/>
  <c r="K131" i="3"/>
  <c r="K138" i="3"/>
  <c r="K146" i="3"/>
  <c r="K152" i="3"/>
  <c r="K159" i="3"/>
  <c r="K167" i="3"/>
  <c r="K174" i="3"/>
  <c r="K180" i="3"/>
  <c r="K188" i="3"/>
  <c r="K195" i="3"/>
  <c r="K202" i="3"/>
  <c r="K210" i="3"/>
  <c r="K216" i="3"/>
  <c r="K223" i="3"/>
  <c r="K231" i="3"/>
  <c r="K238" i="3"/>
  <c r="K244" i="3"/>
  <c r="K252" i="3"/>
  <c r="K259" i="3"/>
  <c r="K266" i="3"/>
  <c r="O266" i="3" s="1"/>
  <c r="K274" i="3"/>
  <c r="K280" i="3"/>
  <c r="K287" i="3"/>
  <c r="K295" i="3"/>
  <c r="K302" i="3"/>
  <c r="K308" i="3"/>
  <c r="K316" i="3"/>
  <c r="K323" i="3"/>
  <c r="K330" i="3"/>
  <c r="K338" i="3"/>
  <c r="K344" i="3"/>
  <c r="K351" i="3"/>
  <c r="K357" i="3"/>
  <c r="K362" i="3"/>
  <c r="K367" i="3"/>
  <c r="K373" i="3"/>
  <c r="K378" i="3"/>
  <c r="K383" i="3"/>
  <c r="K389" i="3"/>
  <c r="K394" i="3"/>
  <c r="K399" i="3"/>
  <c r="K405" i="3"/>
  <c r="K410" i="3"/>
  <c r="K415" i="3"/>
  <c r="K421" i="3"/>
  <c r="K426" i="3"/>
  <c r="K431" i="3"/>
  <c r="K437" i="3"/>
  <c r="K441" i="3"/>
  <c r="K12" i="3"/>
  <c r="K19" i="3"/>
  <c r="K26" i="3"/>
  <c r="K34" i="3"/>
  <c r="K40" i="3"/>
  <c r="K47" i="3"/>
  <c r="K55" i="3"/>
  <c r="K62" i="3"/>
  <c r="K68" i="3"/>
  <c r="K76" i="3"/>
  <c r="K83" i="3"/>
  <c r="K90" i="3"/>
  <c r="K98" i="3"/>
  <c r="K104" i="3"/>
  <c r="K111" i="3"/>
  <c r="O111" i="3" s="1"/>
  <c r="K119" i="3"/>
  <c r="K126" i="3"/>
  <c r="K132" i="3"/>
  <c r="K140" i="3"/>
  <c r="K147" i="3"/>
  <c r="K154" i="3"/>
  <c r="K162" i="3"/>
  <c r="K168" i="3"/>
  <c r="K175" i="3"/>
  <c r="K183" i="3"/>
  <c r="K190" i="3"/>
  <c r="K196" i="3"/>
  <c r="K204" i="3"/>
  <c r="K211" i="3"/>
  <c r="K218" i="3"/>
  <c r="K226" i="3"/>
  <c r="K232" i="3"/>
  <c r="K239" i="3"/>
  <c r="K247" i="3"/>
  <c r="K254" i="3"/>
  <c r="K260" i="3"/>
  <c r="K268" i="3"/>
  <c r="K275" i="3"/>
  <c r="K282" i="3"/>
  <c r="K290" i="3"/>
  <c r="K296" i="3"/>
  <c r="K303" i="3"/>
  <c r="K311" i="3"/>
  <c r="K318" i="3"/>
  <c r="K324" i="3"/>
  <c r="K332" i="3"/>
  <c r="K339" i="3"/>
  <c r="K346" i="3"/>
  <c r="K353" i="3"/>
  <c r="K358" i="3"/>
  <c r="K363" i="3"/>
  <c r="K369" i="3"/>
  <c r="K374" i="3"/>
  <c r="K379" i="3"/>
  <c r="K385" i="3"/>
  <c r="K390" i="3"/>
  <c r="K395" i="3"/>
  <c r="K401" i="3"/>
  <c r="K406" i="3"/>
  <c r="K411" i="3"/>
  <c r="K417" i="3"/>
  <c r="K422" i="3"/>
  <c r="K427" i="3"/>
  <c r="K433" i="3"/>
  <c r="K438" i="3"/>
  <c r="K11" i="3"/>
  <c r="K440" i="3"/>
  <c r="O17" i="3"/>
  <c r="J12" i="3"/>
  <c r="J16" i="3"/>
  <c r="J20" i="3"/>
  <c r="J24" i="3"/>
  <c r="J28" i="3"/>
  <c r="J32" i="3"/>
  <c r="J36" i="3"/>
  <c r="J40" i="3"/>
  <c r="J44" i="3"/>
  <c r="J48" i="3"/>
  <c r="J52" i="3"/>
  <c r="J56" i="3"/>
  <c r="J60" i="3"/>
  <c r="J64" i="3"/>
  <c r="J68" i="3"/>
  <c r="J72" i="3"/>
  <c r="J76" i="3"/>
  <c r="J80" i="3"/>
  <c r="J84" i="3"/>
  <c r="O84" i="3" s="1"/>
  <c r="J88" i="3"/>
  <c r="J92" i="3"/>
  <c r="J96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O212" i="3" s="1"/>
  <c r="J216" i="3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J272" i="3"/>
  <c r="J276" i="3"/>
  <c r="J280" i="3"/>
  <c r="J284" i="3"/>
  <c r="J288" i="3"/>
  <c r="J292" i="3"/>
  <c r="J296" i="3"/>
  <c r="J300" i="3"/>
  <c r="J304" i="3"/>
  <c r="J308" i="3"/>
  <c r="J312" i="3"/>
  <c r="J316" i="3"/>
  <c r="J320" i="3"/>
  <c r="J324" i="3"/>
  <c r="J328" i="3"/>
  <c r="J332" i="3"/>
  <c r="J336" i="3"/>
  <c r="J340" i="3"/>
  <c r="J344" i="3"/>
  <c r="J348" i="3"/>
  <c r="J13" i="3"/>
  <c r="J17" i="3"/>
  <c r="J21" i="3"/>
  <c r="J25" i="3"/>
  <c r="J29" i="3"/>
  <c r="J33" i="3"/>
  <c r="J37" i="3"/>
  <c r="J41" i="3"/>
  <c r="J45" i="3"/>
  <c r="J49" i="3"/>
  <c r="J53" i="3"/>
  <c r="J57" i="3"/>
  <c r="J61" i="3"/>
  <c r="J65" i="3"/>
  <c r="O65" i="3" s="1"/>
  <c r="J69" i="3"/>
  <c r="J73" i="3"/>
  <c r="J77" i="3"/>
  <c r="J81" i="3"/>
  <c r="J85" i="3"/>
  <c r="J89" i="3"/>
  <c r="J93" i="3"/>
  <c r="J97" i="3"/>
  <c r="J101" i="3"/>
  <c r="J105" i="3"/>
  <c r="J109" i="3"/>
  <c r="J113" i="3"/>
  <c r="J117" i="3"/>
  <c r="J121" i="3"/>
  <c r="J125" i="3"/>
  <c r="J129" i="3"/>
  <c r="O129" i="3" s="1"/>
  <c r="J133" i="3"/>
  <c r="J137" i="3"/>
  <c r="J141" i="3"/>
  <c r="J145" i="3"/>
  <c r="J149" i="3"/>
  <c r="J153" i="3"/>
  <c r="J157" i="3"/>
  <c r="J161" i="3"/>
  <c r="O161" i="3" s="1"/>
  <c r="J165" i="3"/>
  <c r="J169" i="3"/>
  <c r="J173" i="3"/>
  <c r="J177" i="3"/>
  <c r="J181" i="3"/>
  <c r="J185" i="3"/>
  <c r="J189" i="3"/>
  <c r="J193" i="3"/>
  <c r="O193" i="3" s="1"/>
  <c r="J197" i="3"/>
  <c r="J201" i="3"/>
  <c r="J205" i="3"/>
  <c r="J209" i="3"/>
  <c r="J213" i="3"/>
  <c r="J217" i="3"/>
  <c r="J221" i="3"/>
  <c r="J225" i="3"/>
  <c r="J229" i="3"/>
  <c r="J233" i="3"/>
  <c r="J237" i="3"/>
  <c r="J241" i="3"/>
  <c r="J245" i="3"/>
  <c r="J249" i="3"/>
  <c r="J253" i="3"/>
  <c r="J257" i="3"/>
  <c r="J261" i="3"/>
  <c r="J265" i="3"/>
  <c r="J269" i="3"/>
  <c r="J273" i="3"/>
  <c r="J277" i="3"/>
  <c r="J281" i="3"/>
  <c r="J285" i="3"/>
  <c r="J289" i="3"/>
  <c r="J293" i="3"/>
  <c r="J297" i="3"/>
  <c r="J301" i="3"/>
  <c r="J305" i="3"/>
  <c r="J309" i="3"/>
  <c r="J313" i="3"/>
  <c r="J317" i="3"/>
  <c r="J14" i="3"/>
  <c r="J18" i="3"/>
  <c r="J22" i="3"/>
  <c r="J26" i="3"/>
  <c r="J30" i="3"/>
  <c r="J34" i="3"/>
  <c r="J38" i="3"/>
  <c r="J42" i="3"/>
  <c r="J46" i="3"/>
  <c r="J50" i="3"/>
  <c r="J54" i="3"/>
  <c r="J58" i="3"/>
  <c r="J62" i="3"/>
  <c r="J66" i="3"/>
  <c r="J70" i="3"/>
  <c r="J74" i="3"/>
  <c r="J78" i="3"/>
  <c r="J82" i="3"/>
  <c r="J86" i="3"/>
  <c r="J90" i="3"/>
  <c r="J94" i="3"/>
  <c r="J98" i="3"/>
  <c r="J102" i="3"/>
  <c r="J106" i="3"/>
  <c r="J110" i="3"/>
  <c r="J114" i="3"/>
  <c r="O114" i="3" s="1"/>
  <c r="J118" i="3"/>
  <c r="J122" i="3"/>
  <c r="J126" i="3"/>
  <c r="O126" i="3" s="1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2" i="3"/>
  <c r="J266" i="3"/>
  <c r="J270" i="3"/>
  <c r="J274" i="3"/>
  <c r="J278" i="3"/>
  <c r="J282" i="3"/>
  <c r="J15" i="3"/>
  <c r="J31" i="3"/>
  <c r="J47" i="3"/>
  <c r="J63" i="3"/>
  <c r="J79" i="3"/>
  <c r="J95" i="3"/>
  <c r="J111" i="3"/>
  <c r="J127" i="3"/>
  <c r="J143" i="3"/>
  <c r="J159" i="3"/>
  <c r="J175" i="3"/>
  <c r="J191" i="3"/>
  <c r="J207" i="3"/>
  <c r="J223" i="3"/>
  <c r="J239" i="3"/>
  <c r="J255" i="3"/>
  <c r="J271" i="3"/>
  <c r="J286" i="3"/>
  <c r="J294" i="3"/>
  <c r="J302" i="3"/>
  <c r="J310" i="3"/>
  <c r="J318" i="3"/>
  <c r="J323" i="3"/>
  <c r="J329" i="3"/>
  <c r="J334" i="3"/>
  <c r="J339" i="3"/>
  <c r="J345" i="3"/>
  <c r="J350" i="3"/>
  <c r="J354" i="3"/>
  <c r="J358" i="3"/>
  <c r="J362" i="3"/>
  <c r="J366" i="3"/>
  <c r="J370" i="3"/>
  <c r="O370" i="3" s="1"/>
  <c r="J374" i="3"/>
  <c r="J378" i="3"/>
  <c r="J382" i="3"/>
  <c r="J386" i="3"/>
  <c r="J390" i="3"/>
  <c r="J394" i="3"/>
  <c r="J398" i="3"/>
  <c r="J402" i="3"/>
  <c r="J406" i="3"/>
  <c r="J410" i="3"/>
  <c r="J414" i="3"/>
  <c r="J418" i="3"/>
  <c r="J422" i="3"/>
  <c r="J426" i="3"/>
  <c r="J430" i="3"/>
  <c r="J434" i="3"/>
  <c r="J438" i="3"/>
  <c r="J11" i="3"/>
  <c r="J436" i="3"/>
  <c r="J440" i="3"/>
  <c r="J27" i="3"/>
  <c r="J59" i="3"/>
  <c r="J75" i="3"/>
  <c r="J91" i="3"/>
  <c r="J123" i="3"/>
  <c r="J155" i="3"/>
  <c r="J187" i="3"/>
  <c r="J219" i="3"/>
  <c r="J251" i="3"/>
  <c r="J283" i="3"/>
  <c r="J299" i="3"/>
  <c r="J307" i="3"/>
  <c r="J322" i="3"/>
  <c r="J333" i="3"/>
  <c r="J343" i="3"/>
  <c r="J353" i="3"/>
  <c r="J361" i="3"/>
  <c r="J369" i="3"/>
  <c r="J377" i="3"/>
  <c r="J385" i="3"/>
  <c r="J393" i="3"/>
  <c r="J397" i="3"/>
  <c r="J405" i="3"/>
  <c r="J413" i="3"/>
  <c r="J421" i="3"/>
  <c r="J429" i="3"/>
  <c r="J441" i="3"/>
  <c r="J19" i="3"/>
  <c r="J35" i="3"/>
  <c r="J51" i="3"/>
  <c r="J67" i="3"/>
  <c r="J83" i="3"/>
  <c r="J99" i="3"/>
  <c r="J115" i="3"/>
  <c r="J131" i="3"/>
  <c r="J147" i="3"/>
  <c r="J163" i="3"/>
  <c r="J179" i="3"/>
  <c r="J195" i="3"/>
  <c r="J211" i="3"/>
  <c r="J227" i="3"/>
  <c r="J243" i="3"/>
  <c r="J259" i="3"/>
  <c r="J275" i="3"/>
  <c r="J287" i="3"/>
  <c r="J295" i="3"/>
  <c r="J303" i="3"/>
  <c r="J311" i="3"/>
  <c r="J319" i="3"/>
  <c r="J325" i="3"/>
  <c r="J330" i="3"/>
  <c r="J335" i="3"/>
  <c r="J341" i="3"/>
  <c r="J346" i="3"/>
  <c r="J351" i="3"/>
  <c r="J355" i="3"/>
  <c r="J359" i="3"/>
  <c r="J363" i="3"/>
  <c r="J367" i="3"/>
  <c r="J371" i="3"/>
  <c r="J375" i="3"/>
  <c r="J379" i="3"/>
  <c r="J383" i="3"/>
  <c r="J387" i="3"/>
  <c r="J391" i="3"/>
  <c r="J395" i="3"/>
  <c r="J399" i="3"/>
  <c r="J403" i="3"/>
  <c r="J407" i="3"/>
  <c r="J411" i="3"/>
  <c r="J415" i="3"/>
  <c r="J419" i="3"/>
  <c r="J423" i="3"/>
  <c r="J427" i="3"/>
  <c r="J431" i="3"/>
  <c r="J435" i="3"/>
  <c r="J439" i="3"/>
  <c r="J432" i="3"/>
  <c r="J43" i="3"/>
  <c r="J107" i="3"/>
  <c r="J139" i="3"/>
  <c r="J171" i="3"/>
  <c r="J203" i="3"/>
  <c r="J235" i="3"/>
  <c r="J267" i="3"/>
  <c r="J291" i="3"/>
  <c r="J315" i="3"/>
  <c r="J327" i="3"/>
  <c r="J338" i="3"/>
  <c r="J349" i="3"/>
  <c r="J357" i="3"/>
  <c r="J365" i="3"/>
  <c r="J373" i="3"/>
  <c r="J381" i="3"/>
  <c r="J389" i="3"/>
  <c r="J401" i="3"/>
  <c r="J409" i="3"/>
  <c r="J417" i="3"/>
  <c r="J425" i="3"/>
  <c r="J433" i="3"/>
  <c r="J437" i="3"/>
  <c r="O437" i="3" s="1"/>
  <c r="J23" i="3"/>
  <c r="J39" i="3"/>
  <c r="J55" i="3"/>
  <c r="J71" i="3"/>
  <c r="J87" i="3"/>
  <c r="J103" i="3"/>
  <c r="J119" i="3"/>
  <c r="J135" i="3"/>
  <c r="J151" i="3"/>
  <c r="J167" i="3"/>
  <c r="J183" i="3"/>
  <c r="J199" i="3"/>
  <c r="J215" i="3"/>
  <c r="J231" i="3"/>
  <c r="J247" i="3"/>
  <c r="J263" i="3"/>
  <c r="J279" i="3"/>
  <c r="J290" i="3"/>
  <c r="J298" i="3"/>
  <c r="J306" i="3"/>
  <c r="J314" i="3"/>
  <c r="J321" i="3"/>
  <c r="J326" i="3"/>
  <c r="J331" i="3"/>
  <c r="J337" i="3"/>
  <c r="J342" i="3"/>
  <c r="J347" i="3"/>
  <c r="J352" i="3"/>
  <c r="J356" i="3"/>
  <c r="J360" i="3"/>
  <c r="J364" i="3"/>
  <c r="J368" i="3"/>
  <c r="J372" i="3"/>
  <c r="J376" i="3"/>
  <c r="J380" i="3"/>
  <c r="J384" i="3"/>
  <c r="J388" i="3"/>
  <c r="J392" i="3"/>
  <c r="J396" i="3"/>
  <c r="J400" i="3"/>
  <c r="J404" i="3"/>
  <c r="J408" i="3"/>
  <c r="J412" i="3"/>
  <c r="J416" i="3"/>
  <c r="J420" i="3"/>
  <c r="J424" i="3"/>
  <c r="J428" i="3"/>
  <c r="O176" i="3"/>
  <c r="O77" i="3"/>
  <c r="O233" i="3"/>
  <c r="O64" i="3"/>
  <c r="O61" i="3"/>
  <c r="O436" i="3"/>
  <c r="O127" i="3"/>
  <c r="O118" i="3"/>
  <c r="O33" i="3"/>
  <c r="O301" i="3"/>
  <c r="O157" i="3"/>
  <c r="M252" i="3"/>
  <c r="O252" i="3" s="1"/>
  <c r="M350" i="3"/>
  <c r="M424" i="3"/>
  <c r="M420" i="3"/>
  <c r="M25" i="3"/>
  <c r="O25" i="3" s="1"/>
  <c r="M20" i="3"/>
  <c r="O20" i="3" s="1"/>
  <c r="M39" i="3"/>
  <c r="M36" i="3"/>
  <c r="M396" i="3"/>
  <c r="M359" i="3"/>
  <c r="M427" i="3"/>
  <c r="M235" i="3"/>
  <c r="M47" i="3"/>
  <c r="O47" i="3" s="1"/>
  <c r="M303" i="3"/>
  <c r="O303" i="3" s="1"/>
  <c r="M382" i="3"/>
  <c r="M78" i="3"/>
  <c r="M362" i="3"/>
  <c r="O362" i="3" s="1"/>
  <c r="M27" i="3"/>
  <c r="M345" i="3"/>
  <c r="O345" i="3" s="1"/>
  <c r="M18" i="3"/>
  <c r="M291" i="3"/>
  <c r="M347" i="3"/>
  <c r="O347" i="3" s="1"/>
  <c r="M434" i="3"/>
  <c r="M383" i="3"/>
  <c r="M354" i="3"/>
  <c r="M263" i="3"/>
  <c r="M155" i="3"/>
  <c r="O155" i="3" s="1"/>
  <c r="M86" i="3"/>
  <c r="M435" i="3"/>
  <c r="M381" i="3"/>
  <c r="O381" i="3" s="1"/>
  <c r="M42" i="3"/>
  <c r="M38" i="3"/>
  <c r="M115" i="3"/>
  <c r="M35" i="3"/>
  <c r="M210" i="3"/>
  <c r="M360" i="3"/>
  <c r="M26" i="3"/>
  <c r="O26" i="3" s="1"/>
  <c r="M342" i="3"/>
  <c r="M363" i="3"/>
  <c r="M239" i="3"/>
  <c r="M195" i="3"/>
  <c r="O195" i="3" s="1"/>
  <c r="M135" i="3"/>
  <c r="M271" i="3"/>
  <c r="M159" i="3"/>
  <c r="M299" i="3"/>
  <c r="M179" i="3"/>
  <c r="O179" i="3" s="1"/>
  <c r="M418" i="3"/>
  <c r="M196" i="3"/>
  <c r="M311" i="3"/>
  <c r="O311" i="3" s="1"/>
  <c r="M276" i="3"/>
  <c r="O276" i="3" s="1"/>
  <c r="M221" i="3"/>
  <c r="M372" i="3"/>
  <c r="M431" i="3"/>
  <c r="O431" i="3" s="1"/>
  <c r="M273" i="3"/>
  <c r="O273" i="3" s="1"/>
  <c r="M81" i="3"/>
  <c r="M430" i="3"/>
  <c r="M80" i="3"/>
  <c r="O80" i="3" s="1"/>
  <c r="M117" i="3"/>
  <c r="M140" i="3"/>
  <c r="M113" i="3"/>
  <c r="M267" i="3"/>
  <c r="M211" i="3"/>
  <c r="O211" i="3" s="1"/>
  <c r="M317" i="3"/>
  <c r="O317" i="3" s="1"/>
  <c r="M110" i="3"/>
  <c r="M209" i="3"/>
  <c r="O209" i="3" s="1"/>
  <c r="M428" i="3"/>
  <c r="O428" i="3" s="1"/>
  <c r="M426" i="3"/>
  <c r="O426" i="3" s="1"/>
  <c r="M300" i="3"/>
  <c r="M343" i="3"/>
  <c r="M287" i="3"/>
  <c r="M194" i="3"/>
  <c r="M192" i="3"/>
  <c r="M57" i="3"/>
  <c r="M188" i="3"/>
  <c r="O188" i="3" s="1"/>
  <c r="M419" i="3"/>
  <c r="M292" i="3"/>
  <c r="M373" i="3"/>
  <c r="M385" i="3"/>
  <c r="O385" i="3" s="1"/>
  <c r="M108" i="3"/>
  <c r="M346" i="3"/>
  <c r="M391" i="3"/>
  <c r="M137" i="3"/>
  <c r="O137" i="3" s="1"/>
  <c r="M390" i="3"/>
  <c r="M87" i="3"/>
  <c r="M439" i="3"/>
  <c r="M175" i="3"/>
  <c r="O175" i="3" s="1"/>
  <c r="M275" i="3"/>
  <c r="M125" i="3"/>
  <c r="O125" i="3" s="1"/>
  <c r="M304" i="3"/>
  <c r="O304" i="3" s="1"/>
  <c r="M85" i="3"/>
  <c r="M440" i="3"/>
  <c r="M438" i="3"/>
  <c r="M163" i="3"/>
  <c r="M219" i="3"/>
  <c r="M306" i="3"/>
  <c r="M432" i="3"/>
  <c r="M376" i="3"/>
  <c r="O376" i="3" s="1"/>
  <c r="M123" i="3"/>
  <c r="M294" i="3"/>
  <c r="M215" i="3"/>
  <c r="M429" i="3"/>
  <c r="O429" i="3" s="1"/>
  <c r="M116" i="3"/>
  <c r="O116" i="3" s="1"/>
  <c r="M293" i="3"/>
  <c r="M361" i="3"/>
  <c r="M73" i="3"/>
  <c r="O73" i="3" s="1"/>
  <c r="M109" i="3"/>
  <c r="M425" i="3"/>
  <c r="M70" i="3"/>
  <c r="M68" i="3"/>
  <c r="O68" i="3" s="1"/>
  <c r="M348" i="3"/>
  <c r="O348" i="3" s="1"/>
  <c r="M154" i="3"/>
  <c r="M153" i="3"/>
  <c r="M62" i="3"/>
  <c r="M152" i="3"/>
  <c r="M421" i="3"/>
  <c r="M298" i="3"/>
  <c r="M59" i="3"/>
  <c r="M423" i="3"/>
  <c r="M227" i="3"/>
  <c r="M134" i="3"/>
  <c r="M132" i="3"/>
  <c r="O132" i="3" s="1"/>
  <c r="M406" i="3"/>
  <c r="M75" i="3"/>
  <c r="O75" i="3" s="1"/>
  <c r="M66" i="3"/>
  <c r="M138" i="3"/>
  <c r="M422" i="3"/>
  <c r="M55" i="3"/>
  <c r="M44" i="3"/>
  <c r="M164" i="3"/>
  <c r="O164" i="3" s="1"/>
  <c r="M369" i="3"/>
  <c r="O369" i="3" s="1"/>
  <c r="M43" i="3"/>
  <c r="M234" i="3"/>
  <c r="M375" i="3"/>
  <c r="M31" i="3"/>
  <c r="M356" i="3"/>
  <c r="M379" i="3"/>
  <c r="M353" i="3"/>
  <c r="O353" i="3" s="1"/>
  <c r="M69" i="3"/>
  <c r="M378" i="3"/>
  <c r="O378" i="3" s="1"/>
  <c r="M415" i="3"/>
  <c r="M395" i="3"/>
  <c r="O395" i="3" s="1"/>
  <c r="M202" i="3"/>
  <c r="O202" i="3" s="1"/>
  <c r="M339" i="3"/>
  <c r="M231" i="3"/>
  <c r="M230" i="3"/>
  <c r="M336" i="3"/>
  <c r="O336" i="3" s="1"/>
  <c r="M104" i="3"/>
  <c r="M171" i="3"/>
  <c r="M197" i="3"/>
  <c r="M22" i="3"/>
  <c r="O22" i="3" s="1"/>
  <c r="M101" i="3"/>
  <c r="M100" i="3"/>
  <c r="M191" i="3"/>
  <c r="O191" i="3" s="1"/>
  <c r="M58" i="3"/>
  <c r="M16" i="3"/>
  <c r="M384" i="3"/>
  <c r="M286" i="3"/>
  <c r="M259" i="3"/>
  <c r="O259" i="3" s="1"/>
  <c r="M319" i="3"/>
  <c r="M313" i="3"/>
  <c r="M312" i="3"/>
  <c r="M401" i="3"/>
  <c r="O401" i="3" s="1"/>
  <c r="M151" i="3"/>
  <c r="M96" i="3"/>
  <c r="M331" i="3"/>
  <c r="M95" i="3"/>
  <c r="M147" i="3"/>
  <c r="M257" i="3"/>
  <c r="M328" i="3"/>
  <c r="M281" i="3"/>
  <c r="O281" i="3" s="1"/>
  <c r="M92" i="3"/>
  <c r="M53" i="3"/>
  <c r="M389" i="3"/>
  <c r="M13" i="3"/>
  <c r="O13" i="3" s="1"/>
  <c r="M325" i="3"/>
  <c r="M244" i="3"/>
  <c r="M323" i="3"/>
  <c r="O323" i="3" s="1"/>
  <c r="M398" i="3"/>
  <c r="O398" i="3" s="1"/>
  <c r="M180" i="3"/>
  <c r="M279" i="3"/>
  <c r="M237" i="3"/>
  <c r="M242" i="3"/>
  <c r="M321" i="3"/>
  <c r="O321" i="3" s="1"/>
  <c r="M89" i="3"/>
  <c r="M50" i="3"/>
  <c r="M130" i="3"/>
  <c r="M371" i="3"/>
  <c r="M46" i="3"/>
  <c r="M367" i="3"/>
  <c r="M174" i="3"/>
  <c r="M318" i="3"/>
  <c r="M34" i="3"/>
  <c r="M74" i="3"/>
  <c r="O74" i="3" s="1"/>
  <c r="M172" i="3"/>
  <c r="O172" i="3" s="1"/>
  <c r="M358" i="3"/>
  <c r="M416" i="3"/>
  <c r="M251" i="3"/>
  <c r="M71" i="3"/>
  <c r="M355" i="3"/>
  <c r="M290" i="3"/>
  <c r="M107" i="3"/>
  <c r="M392" i="3"/>
  <c r="O392" i="3" s="1"/>
  <c r="M351" i="3"/>
  <c r="M407" i="3"/>
  <c r="M139" i="3"/>
  <c r="M289" i="3"/>
  <c r="M156" i="3"/>
  <c r="M338" i="3"/>
  <c r="M199" i="3"/>
  <c r="M374" i="3"/>
  <c r="M103" i="3"/>
  <c r="O103" i="3" s="1"/>
  <c r="M21" i="3"/>
  <c r="M19" i="3"/>
  <c r="O19" i="3" s="1"/>
  <c r="M262" i="3"/>
  <c r="O262" i="3" s="1"/>
  <c r="M60" i="3"/>
  <c r="M411" i="3"/>
  <c r="M238" i="3"/>
  <c r="M190" i="3"/>
  <c r="M56" i="3"/>
  <c r="M187" i="3"/>
  <c r="M316" i="3"/>
  <c r="O316" i="3" s="1"/>
  <c r="M334" i="3"/>
  <c r="M314" i="3"/>
  <c r="O314" i="3" s="1"/>
  <c r="M248" i="3"/>
  <c r="M184" i="3"/>
  <c r="M245" i="3"/>
  <c r="M409" i="3"/>
  <c r="M333" i="3"/>
  <c r="M150" i="3"/>
  <c r="M332" i="3"/>
  <c r="O332" i="3" s="1"/>
  <c r="M377" i="3"/>
  <c r="M330" i="3"/>
  <c r="M133" i="3"/>
  <c r="M94" i="3"/>
  <c r="M182" i="3"/>
  <c r="O182" i="3" s="1"/>
  <c r="M226" i="3"/>
  <c r="M52" i="3"/>
  <c r="O52" i="3" s="1"/>
  <c r="M309" i="3"/>
  <c r="M12" i="3"/>
  <c r="M394" i="3"/>
  <c r="M255" i="3"/>
  <c r="O255" i="3" s="1"/>
  <c r="M408" i="3"/>
  <c r="M387" i="3"/>
  <c r="M225" i="3"/>
  <c r="M178" i="3"/>
  <c r="M131" i="3"/>
  <c r="O131" i="3" s="1"/>
  <c r="M144" i="3"/>
  <c r="M277" i="3"/>
  <c r="M167" i="3"/>
  <c r="O167" i="3" s="1"/>
  <c r="M88" i="3"/>
  <c r="M29" i="3"/>
  <c r="O29" i="3" s="1"/>
  <c r="M249" i="3"/>
  <c r="M106" i="3"/>
  <c r="O106" i="3" s="1"/>
  <c r="M201" i="3"/>
  <c r="O201" i="3" s="1"/>
  <c r="M341" i="3"/>
  <c r="M200" i="3"/>
  <c r="M337" i="3"/>
  <c r="M335" i="3"/>
  <c r="M170" i="3"/>
  <c r="O170" i="3" s="1"/>
  <c r="M414" i="3"/>
  <c r="M410" i="3"/>
  <c r="O410" i="3" s="1"/>
  <c r="M229" i="3"/>
  <c r="M99" i="3"/>
  <c r="M261" i="3"/>
  <c r="M186" i="3"/>
  <c r="M315" i="3"/>
  <c r="O315" i="3" s="1"/>
  <c r="M320" i="3"/>
  <c r="M246" i="3"/>
  <c r="M413" i="3"/>
  <c r="O413" i="3" s="1"/>
  <c r="M283" i="3"/>
  <c r="O283" i="3" s="1"/>
  <c r="M149" i="3"/>
  <c r="M148" i="3"/>
  <c r="M54" i="3"/>
  <c r="M329" i="3"/>
  <c r="O329" i="3" s="1"/>
  <c r="M400" i="3"/>
  <c r="M282" i="3"/>
  <c r="M327" i="3"/>
  <c r="M145" i="3"/>
  <c r="O145" i="3" s="1"/>
  <c r="M51" i="3"/>
  <c r="O51" i="3" s="1"/>
  <c r="M326" i="3"/>
  <c r="M91" i="3"/>
  <c r="M324" i="3"/>
  <c r="O324" i="3" s="1"/>
  <c r="M399" i="3"/>
  <c r="O399" i="3" s="1"/>
  <c r="M181" i="3"/>
  <c r="M243" i="3"/>
  <c r="O243" i="3" s="1"/>
  <c r="M278" i="3"/>
  <c r="O278" i="3" s="1"/>
  <c r="M308" i="3"/>
  <c r="M224" i="3"/>
  <c r="M307" i="3"/>
  <c r="O307" i="3" s="1"/>
  <c r="M166" i="3"/>
  <c r="M295" i="3"/>
  <c r="M30" i="3"/>
  <c r="M250" i="3"/>
  <c r="M204" i="3"/>
  <c r="O204" i="3" s="1"/>
  <c r="M203" i="3"/>
  <c r="O203" i="3" s="1"/>
  <c r="M105" i="3"/>
  <c r="M340" i="3"/>
  <c r="O340" i="3" s="1"/>
  <c r="M240" i="3"/>
  <c r="O240" i="3" s="1"/>
  <c r="M102" i="3"/>
  <c r="O102" i="3" s="1"/>
  <c r="M417" i="3"/>
  <c r="M403" i="3"/>
  <c r="M228" i="3"/>
  <c r="O228" i="3" s="1"/>
  <c r="M98" i="3"/>
  <c r="M169" i="3"/>
  <c r="M168" i="3"/>
  <c r="M185" i="3"/>
  <c r="M260" i="3"/>
  <c r="M247" i="3"/>
  <c r="M402" i="3"/>
  <c r="O402" i="3" s="1"/>
  <c r="M258" i="3"/>
  <c r="M284" i="3"/>
  <c r="M412" i="3"/>
  <c r="M97" i="3"/>
  <c r="O97" i="3" s="1"/>
  <c r="M15" i="3"/>
  <c r="M183" i="3"/>
  <c r="M256" i="3"/>
  <c r="M93" i="3"/>
  <c r="O93" i="3" s="1"/>
  <c r="M146" i="3"/>
  <c r="M310" i="3"/>
  <c r="M14" i="3"/>
  <c r="M280" i="3"/>
  <c r="M90" i="3"/>
  <c r="O90" i="3" s="1"/>
  <c r="M254" i="3"/>
  <c r="M388" i="3"/>
  <c r="M322" i="3"/>
  <c r="M177" i="3"/>
  <c r="O177" i="3" s="1"/>
  <c r="M297" i="3"/>
  <c r="M241" i="3"/>
  <c r="M11" i="3"/>
  <c r="O11" i="3" s="1"/>
  <c r="B81" i="1"/>
  <c r="C81" i="1" s="1"/>
  <c r="B6" i="1"/>
  <c r="B8" i="1" s="1"/>
  <c r="B36" i="1" s="1"/>
  <c r="C53" i="1"/>
  <c r="C106" i="1"/>
  <c r="B106" i="1" s="1"/>
  <c r="B102" i="1" s="1"/>
  <c r="B56" i="1"/>
  <c r="B77" i="1"/>
  <c r="B85" i="1" s="1"/>
  <c r="B40" i="1"/>
  <c r="C40" i="1" s="1"/>
  <c r="B80" i="1"/>
  <c r="B55" i="1"/>
  <c r="B49" i="1" s="1"/>
  <c r="B42" i="1"/>
  <c r="B37" i="1" l="1"/>
  <c r="C37" i="1" s="1"/>
  <c r="B38" i="1"/>
  <c r="O41" i="3"/>
  <c r="O218" i="3"/>
  <c r="O63" i="3"/>
  <c r="O272" i="3"/>
  <c r="O28" i="3"/>
  <c r="O76" i="3"/>
  <c r="O213" i="3"/>
  <c r="O365" i="3"/>
  <c r="O405" i="3"/>
  <c r="O205" i="3"/>
  <c r="O302" i="3"/>
  <c r="O222" i="3"/>
  <c r="O158" i="3"/>
  <c r="O142" i="3"/>
  <c r="O256" i="3"/>
  <c r="O412" i="3"/>
  <c r="O247" i="3"/>
  <c r="O169" i="3"/>
  <c r="O417" i="3"/>
  <c r="O105" i="3"/>
  <c r="O224" i="3"/>
  <c r="O282" i="3"/>
  <c r="O148" i="3"/>
  <c r="O246" i="3"/>
  <c r="O333" i="3"/>
  <c r="O411" i="3"/>
  <c r="O290" i="3"/>
  <c r="O89" i="3"/>
  <c r="O244" i="3"/>
  <c r="O96" i="3"/>
  <c r="O100" i="3"/>
  <c r="O231" i="3"/>
  <c r="O379" i="3"/>
  <c r="O234" i="3"/>
  <c r="O44" i="3"/>
  <c r="O298" i="3"/>
  <c r="O153" i="3"/>
  <c r="O346" i="3"/>
  <c r="O292" i="3"/>
  <c r="O192" i="3"/>
  <c r="O300" i="3"/>
  <c r="O113" i="3"/>
  <c r="O430" i="3"/>
  <c r="O372" i="3"/>
  <c r="O196" i="3"/>
  <c r="O239" i="3"/>
  <c r="O360" i="3"/>
  <c r="O38" i="3"/>
  <c r="O36" i="3"/>
  <c r="O420" i="3"/>
  <c r="O207" i="3"/>
  <c r="O143" i="3"/>
  <c r="O122" i="3"/>
  <c r="O79" i="3"/>
  <c r="O386" i="3"/>
  <c r="O173" i="3"/>
  <c r="O45" i="3"/>
  <c r="O23" i="3"/>
  <c r="O364" i="3"/>
  <c r="O83" i="3"/>
  <c r="O297" i="3"/>
  <c r="O254" i="3"/>
  <c r="O310" i="3"/>
  <c r="O183" i="3"/>
  <c r="O284" i="3"/>
  <c r="O260" i="3"/>
  <c r="O98" i="3"/>
  <c r="O295" i="3"/>
  <c r="O308" i="3"/>
  <c r="O400" i="3"/>
  <c r="O149" i="3"/>
  <c r="O320" i="3"/>
  <c r="O99" i="3"/>
  <c r="O341" i="3"/>
  <c r="O144" i="3"/>
  <c r="O387" i="3"/>
  <c r="O12" i="3"/>
  <c r="O377" i="3"/>
  <c r="O409" i="3"/>
  <c r="O56" i="3"/>
  <c r="O60" i="3"/>
  <c r="O156" i="3"/>
  <c r="O351" i="3"/>
  <c r="O355" i="3"/>
  <c r="O358" i="3"/>
  <c r="O318" i="3"/>
  <c r="O371" i="3"/>
  <c r="O180" i="3"/>
  <c r="O325" i="3"/>
  <c r="O92" i="3"/>
  <c r="O147" i="3"/>
  <c r="O151" i="3"/>
  <c r="O319" i="3"/>
  <c r="O16" i="3"/>
  <c r="O101" i="3"/>
  <c r="O104" i="3"/>
  <c r="O339" i="3"/>
  <c r="O356" i="3"/>
  <c r="O43" i="3"/>
  <c r="O55" i="3"/>
  <c r="O227" i="3"/>
  <c r="O421" i="3"/>
  <c r="O154" i="3"/>
  <c r="O425" i="3"/>
  <c r="O293" i="3"/>
  <c r="O294" i="3"/>
  <c r="O306" i="3"/>
  <c r="O440" i="3"/>
  <c r="O275" i="3"/>
  <c r="O390" i="3"/>
  <c r="O108" i="3"/>
  <c r="O419" i="3"/>
  <c r="O194" i="3"/>
  <c r="O140" i="3"/>
  <c r="O81" i="3"/>
  <c r="O221" i="3"/>
  <c r="O418" i="3"/>
  <c r="O271" i="3"/>
  <c r="O363" i="3"/>
  <c r="O210" i="3"/>
  <c r="O42" i="3"/>
  <c r="O434" i="3"/>
  <c r="O382" i="3"/>
  <c r="O427" i="3"/>
  <c r="O39" i="3"/>
  <c r="O424" i="3"/>
  <c r="O119" i="3"/>
  <c r="O380" i="3"/>
  <c r="O305" i="3"/>
  <c r="O49" i="3"/>
  <c r="O265" i="3"/>
  <c r="O94" i="3"/>
  <c r="O334" i="3"/>
  <c r="O174" i="3"/>
  <c r="O219" i="3"/>
  <c r="O350" i="3"/>
  <c r="O270" i="3"/>
  <c r="O206" i="3"/>
  <c r="O441" i="3"/>
  <c r="O296" i="3"/>
  <c r="O136" i="3"/>
  <c r="O190" i="3"/>
  <c r="O289" i="3"/>
  <c r="O91" i="3"/>
  <c r="O238" i="3"/>
  <c r="O389" i="3"/>
  <c r="O62" i="3"/>
  <c r="O299" i="3"/>
  <c r="O357" i="3"/>
  <c r="O253" i="3"/>
  <c r="O30" i="3"/>
  <c r="O394" i="3"/>
  <c r="O187" i="3"/>
  <c r="O46" i="3"/>
  <c r="O432" i="3"/>
  <c r="O110" i="3"/>
  <c r="O15" i="3"/>
  <c r="O166" i="3"/>
  <c r="O408" i="3"/>
  <c r="O58" i="3"/>
  <c r="O109" i="3"/>
  <c r="O342" i="3"/>
  <c r="O121" i="3"/>
  <c r="O335" i="3"/>
  <c r="O54" i="3"/>
  <c r="O186" i="3"/>
  <c r="O337" i="3"/>
  <c r="O150" i="3"/>
  <c r="O367" i="3"/>
  <c r="O237" i="3"/>
  <c r="O230" i="3"/>
  <c r="O138" i="3"/>
  <c r="O59" i="3"/>
  <c r="O57" i="3"/>
  <c r="O343" i="3"/>
  <c r="O115" i="3"/>
  <c r="O354" i="3"/>
  <c r="O291" i="3"/>
  <c r="O368" i="3"/>
  <c r="O352" i="3"/>
  <c r="O393" i="3"/>
  <c r="O223" i="3"/>
  <c r="O82" i="3"/>
  <c r="O165" i="3"/>
  <c r="O37" i="3"/>
  <c r="O264" i="3"/>
  <c r="O120" i="3"/>
  <c r="O40" i="3"/>
  <c r="O24" i="3"/>
  <c r="O185" i="3"/>
  <c r="O404" i="3"/>
  <c r="O250" i="3"/>
  <c r="O241" i="3"/>
  <c r="O388" i="3"/>
  <c r="O14" i="3"/>
  <c r="O326" i="3"/>
  <c r="O414" i="3"/>
  <c r="O249" i="3"/>
  <c r="O225" i="3"/>
  <c r="O330" i="3"/>
  <c r="O279" i="3"/>
  <c r="O257" i="3"/>
  <c r="O313" i="3"/>
  <c r="O171" i="3"/>
  <c r="O415" i="3"/>
  <c r="O134" i="3"/>
  <c r="O70" i="3"/>
  <c r="O215" i="3"/>
  <c r="O87" i="3"/>
  <c r="O86" i="3"/>
  <c r="O383" i="3"/>
  <c r="O78" i="3"/>
  <c r="O274" i="3"/>
  <c r="O162" i="3"/>
  <c r="O344" i="3"/>
  <c r="O232" i="3"/>
  <c r="O216" i="3"/>
  <c r="O72" i="3"/>
  <c r="O433" i="3"/>
  <c r="O88" i="3"/>
  <c r="O309" i="3"/>
  <c r="O245" i="3"/>
  <c r="O374" i="3"/>
  <c r="O71" i="3"/>
  <c r="O130" i="3"/>
  <c r="O242" i="3"/>
  <c r="O69" i="3"/>
  <c r="O31" i="3"/>
  <c r="O422" i="3"/>
  <c r="O123" i="3"/>
  <c r="O35" i="3"/>
  <c r="O27" i="3"/>
  <c r="O146" i="3"/>
  <c r="O258" i="3"/>
  <c r="O229" i="3"/>
  <c r="O95" i="3"/>
  <c r="O406" i="3"/>
  <c r="O423" i="3"/>
  <c r="O152" i="3"/>
  <c r="O85" i="3"/>
  <c r="O287" i="3"/>
  <c r="O117" i="3"/>
  <c r="O135" i="3"/>
  <c r="O263" i="3"/>
  <c r="O359" i="3"/>
  <c r="O322" i="3"/>
  <c r="O280" i="3"/>
  <c r="O168" i="3"/>
  <c r="O403" i="3"/>
  <c r="O327" i="3"/>
  <c r="O178" i="3"/>
  <c r="O133" i="3"/>
  <c r="O184" i="3"/>
  <c r="O199" i="3"/>
  <c r="O139" i="3"/>
  <c r="O107" i="3"/>
  <c r="O251" i="3"/>
  <c r="O50" i="3"/>
  <c r="O328" i="3"/>
  <c r="O331" i="3"/>
  <c r="O312" i="3"/>
  <c r="O286" i="3"/>
  <c r="O197" i="3"/>
  <c r="O375" i="3"/>
  <c r="O163" i="3"/>
  <c r="O439" i="3"/>
  <c r="O391" i="3"/>
  <c r="O373" i="3"/>
  <c r="O267" i="3"/>
  <c r="O435" i="3"/>
  <c r="O396" i="3"/>
  <c r="O181" i="3"/>
  <c r="O261" i="3"/>
  <c r="O200" i="3"/>
  <c r="O277" i="3"/>
  <c r="O226" i="3"/>
  <c r="O248" i="3"/>
  <c r="O21" i="3"/>
  <c r="O338" i="3"/>
  <c r="O407" i="3"/>
  <c r="O416" i="3"/>
  <c r="O34" i="3"/>
  <c r="O53" i="3"/>
  <c r="O384" i="3"/>
  <c r="O66" i="3"/>
  <c r="O361" i="3"/>
  <c r="O438" i="3"/>
  <c r="O159" i="3"/>
  <c r="O18" i="3"/>
  <c r="O235" i="3"/>
  <c r="C36" i="1"/>
  <c r="C102" i="1"/>
  <c r="B79" i="1" l="1"/>
  <c r="C79" i="1" s="1"/>
  <c r="C51" i="1"/>
  <c r="C49" i="1"/>
  <c r="B50" i="1"/>
  <c r="B73" i="1" l="1"/>
  <c r="C73" i="1" s="1"/>
  <c r="C50" i="1"/>
  <c r="E12" i="1" s="1"/>
  <c r="D12" i="1"/>
  <c r="B35" i="1" l="1"/>
  <c r="C38" i="1"/>
  <c r="B45" i="1" l="1"/>
  <c r="D13" i="1"/>
  <c r="D20" i="1" s="1"/>
  <c r="D21" i="1" s="1"/>
  <c r="B78" i="1"/>
  <c r="B72" i="1" s="1"/>
  <c r="B65" i="1"/>
  <c r="B66" i="1" s="1"/>
  <c r="C72" i="1" l="1"/>
  <c r="B87" i="1"/>
  <c r="B74" i="1" s="1"/>
  <c r="B76" i="1" l="1"/>
  <c r="B75" i="1"/>
  <c r="D4" i="1"/>
  <c r="C74" i="1"/>
  <c r="E4" i="1" s="1"/>
  <c r="D5" i="1" l="1"/>
  <c r="C75" i="1"/>
  <c r="E5" i="1" s="1"/>
  <c r="B93" i="1"/>
  <c r="D6" i="1"/>
  <c r="C76" i="1"/>
  <c r="E6" i="1" s="1"/>
  <c r="B94" i="1" l="1"/>
  <c r="C93" i="1"/>
  <c r="B103" i="1" l="1"/>
  <c r="B113" i="1"/>
  <c r="D8" i="1" s="1"/>
  <c r="F8" i="1" s="1"/>
  <c r="C94" i="1"/>
  <c r="C107" i="1" s="1"/>
  <c r="B107" i="1" s="1"/>
  <c r="B104" i="1" l="1"/>
  <c r="C103" i="1"/>
  <c r="D10" i="1" l="1"/>
  <c r="B105" i="1"/>
  <c r="D11" i="1" s="1"/>
  <c r="F11" i="1" s="1"/>
  <c r="C104" i="1"/>
  <c r="E10" i="1" s="1"/>
</calcChain>
</file>

<file path=xl/sharedStrings.xml><?xml version="1.0" encoding="utf-8"?>
<sst xmlns="http://schemas.openxmlformats.org/spreadsheetml/2006/main" count="2586" uniqueCount="1254">
  <si>
    <t>Type of material</t>
  </si>
  <si>
    <t>Density:</t>
  </si>
  <si>
    <t>Size:</t>
  </si>
  <si>
    <t>Flowability:</t>
  </si>
  <si>
    <t>Abrasiveness:</t>
  </si>
  <si>
    <t>Other Characteristics:</t>
  </si>
  <si>
    <t>Bulk Density</t>
  </si>
  <si>
    <t>avg. lbs/CF</t>
  </si>
  <si>
    <t>Very Fine — 100 mesh and under</t>
  </si>
  <si>
    <t>A</t>
  </si>
  <si>
    <r>
      <t xml:space="preserve">Fine — </t>
    </r>
    <r>
      <rPr>
        <vertAlign val="superscript"/>
        <sz val="7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vertAlign val="subscript"/>
        <sz val="7"/>
        <color rgb="FF181717"/>
        <rFont val="Arial"/>
        <family val="2"/>
      </rPr>
      <t>8</t>
    </r>
    <r>
      <rPr>
        <sz val="8.5"/>
        <color rgb="FF181717"/>
        <rFont val="Arial"/>
        <family val="2"/>
      </rPr>
      <t>” mesh and under</t>
    </r>
  </si>
  <si>
    <t>B</t>
  </si>
  <si>
    <r>
      <t xml:space="preserve">Granular — </t>
    </r>
    <r>
      <rPr>
        <vertAlign val="superscript"/>
        <sz val="7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vertAlign val="subscript"/>
        <sz val="7"/>
        <color rgb="FF181717"/>
        <rFont val="Arial"/>
        <family val="2"/>
      </rPr>
      <t>2</t>
    </r>
    <r>
      <rPr>
        <sz val="8.5"/>
        <color rgb="FF181717"/>
        <rFont val="Arial"/>
        <family val="2"/>
      </rPr>
      <t>” mesh and under</t>
    </r>
  </si>
  <si>
    <t>C</t>
  </si>
  <si>
    <r>
      <t xml:space="preserve">Lumpy — containing lumps over </t>
    </r>
    <r>
      <rPr>
        <vertAlign val="superscript"/>
        <sz val="7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2</t>
    </r>
    <r>
      <rPr>
        <sz val="8.5"/>
        <color rgb="FF181717"/>
        <rFont val="Arial"/>
        <family val="2"/>
      </rPr>
      <t>”</t>
    </r>
  </si>
  <si>
    <t>D</t>
  </si>
  <si>
    <t>Irregular — fibrous, stringy, etc</t>
  </si>
  <si>
    <t>E</t>
  </si>
  <si>
    <t>Very free flowing</t>
  </si>
  <si>
    <t>Free flowing</t>
  </si>
  <si>
    <t>Average flowability</t>
  </si>
  <si>
    <t>Sluggish</t>
  </si>
  <si>
    <t>Mildly abrasive</t>
  </si>
  <si>
    <t>Moderately abrasive</t>
  </si>
  <si>
    <t>Extremely abrasive</t>
  </si>
  <si>
    <t>Builds up &amp; hardens</t>
  </si>
  <si>
    <t>F</t>
  </si>
  <si>
    <t>Generates static electricity</t>
  </si>
  <si>
    <t>G</t>
  </si>
  <si>
    <t>Decomposes — deteriorates in storage</t>
  </si>
  <si>
    <t>H</t>
  </si>
  <si>
    <t>Flammability</t>
  </si>
  <si>
    <t>J</t>
  </si>
  <si>
    <t>Becomes plastic or tends to soften</t>
  </si>
  <si>
    <t>K</t>
  </si>
  <si>
    <t>Very dusty</t>
  </si>
  <si>
    <t>L</t>
  </si>
  <si>
    <t>Aerates and becomes fluid</t>
  </si>
  <si>
    <t>M</t>
  </si>
  <si>
    <t>Explosiveness</t>
  </si>
  <si>
    <t>N</t>
  </si>
  <si>
    <t>Stickiness-adhesion</t>
  </si>
  <si>
    <t>O</t>
  </si>
  <si>
    <t>Contaminable, affecting use</t>
  </si>
  <si>
    <t>P</t>
  </si>
  <si>
    <t>Degradable, affecting use</t>
  </si>
  <si>
    <t>Q</t>
  </si>
  <si>
    <t>Gives off harmful or toxic gas or fumes</t>
  </si>
  <si>
    <t>R</t>
  </si>
  <si>
    <t>Highly corrosive</t>
  </si>
  <si>
    <t>S</t>
  </si>
  <si>
    <t>Mildly corrosive</t>
  </si>
  <si>
    <t>T</t>
  </si>
  <si>
    <t>Hygroscopic</t>
  </si>
  <si>
    <t>U</t>
  </si>
  <si>
    <t>Interlocks, mats or agglomerates</t>
  </si>
  <si>
    <t>V</t>
  </si>
  <si>
    <t>Oils present</t>
  </si>
  <si>
    <t>W</t>
  </si>
  <si>
    <t>Packs under pressure</t>
  </si>
  <si>
    <t>X</t>
  </si>
  <si>
    <t>Very light and fluffy — may be windswept</t>
  </si>
  <si>
    <t>Y</t>
  </si>
  <si>
    <t>Elevated temperature</t>
  </si>
  <si>
    <t>Z</t>
  </si>
  <si>
    <t>Example:
Gluten, Meal = 40B35P (from table B)
40 = Density (40 lbs per cubic foot)
B = Size of material (fine, 1⁄8” mesh and under)
3 = Flowability (average)
5 = Abrasiveness (mild)
P = Other Characteristics (contaminable)</t>
  </si>
  <si>
    <t>Table A</t>
  </si>
  <si>
    <t>LoAding</t>
  </si>
  <si>
    <r>
      <t>F</t>
    </r>
    <r>
      <rPr>
        <b/>
        <sz val="4.5"/>
        <color rgb="FF181717"/>
        <rFont val="Calibri"/>
        <family val="2"/>
        <scheme val="minor"/>
      </rPr>
      <t>m</t>
    </r>
  </si>
  <si>
    <t>Adipic Acid</t>
  </si>
  <si>
    <t>45A35</t>
  </si>
  <si>
    <t>30A</t>
  </si>
  <si>
    <t>2B</t>
  </si>
  <si>
    <t>x</t>
  </si>
  <si>
    <t>Alfalfa Meal</t>
  </si>
  <si>
    <t>18B45WY</t>
  </si>
  <si>
    <t>2D</t>
  </si>
  <si>
    <t>Alfalfa Pellets</t>
  </si>
  <si>
    <t>42C25</t>
  </si>
  <si>
    <t>Alfalfa Seed</t>
  </si>
  <si>
    <t>13B15N</t>
  </si>
  <si>
    <t>1A,1B,1C</t>
  </si>
  <si>
    <t>Almonds, Broken</t>
  </si>
  <si>
    <t>29C35Q</t>
  </si>
  <si>
    <t>Almonds, Whole Shelled</t>
  </si>
  <si>
    <t>Alum, Fine</t>
  </si>
  <si>
    <t>48B35U</t>
  </si>
  <si>
    <t>3D</t>
  </si>
  <si>
    <t>Alum, Lumps</t>
  </si>
  <si>
    <t>55B25</t>
  </si>
  <si>
    <t>2A,2B</t>
  </si>
  <si>
    <t>Alumina</t>
  </si>
  <si>
    <t>58B27MY</t>
  </si>
  <si>
    <t>Alumina Fines</t>
  </si>
  <si>
    <t>35A27MY</t>
  </si>
  <si>
    <t>Alumina Sized or Briquette</t>
  </si>
  <si>
    <t>65D37</t>
  </si>
  <si>
    <t>Aluminate Gel (Aluminate Hydroxide)</t>
  </si>
  <si>
    <t>45B35</t>
  </si>
  <si>
    <t>30B</t>
  </si>
  <si>
    <t>Aluminum Chips, Dry</t>
  </si>
  <si>
    <t>11E45V</t>
  </si>
  <si>
    <t>Aluminum Chips, Oily</t>
  </si>
  <si>
    <t>11E45VY</t>
  </si>
  <si>
    <t>Aluminum Hydrate</t>
  </si>
  <si>
    <t>17C35</t>
  </si>
  <si>
    <t>Aluminum Ore (see Bauxite)</t>
  </si>
  <si>
    <t>Aluminum Oxide</t>
  </si>
  <si>
    <t>90A17MN</t>
  </si>
  <si>
    <t>Aluminum Silicate (Andalusite)</t>
  </si>
  <si>
    <t>49C35S</t>
  </si>
  <si>
    <t>3A,3B</t>
  </si>
  <si>
    <t>Aluminum Sulfate</t>
  </si>
  <si>
    <t>52C25</t>
  </si>
  <si>
    <t>Ammonium Chloride, Crystalline</t>
  </si>
  <si>
    <t>49A45FRS</t>
  </si>
  <si>
    <t>?</t>
  </si>
  <si>
    <t>Ammonium Nitrate</t>
  </si>
  <si>
    <t>54A35NTU</t>
  </si>
  <si>
    <t>Ammonium Sulfate</t>
  </si>
  <si>
    <t>52C35FOTU</t>
  </si>
  <si>
    <t>Antimony Powder</t>
  </si>
  <si>
    <t>A35</t>
  </si>
  <si>
    <t>—</t>
  </si>
  <si>
    <t>Apple Pomace, Dry</t>
  </si>
  <si>
    <t>15C45Y</t>
  </si>
  <si>
    <t>Arsenate of Lead (Lead Arsenate)</t>
  </si>
  <si>
    <t>72A35R</t>
  </si>
  <si>
    <t>Arsenic Oxide (Arsenolite)**</t>
  </si>
  <si>
    <t>110A35R</t>
  </si>
  <si>
    <t>-</t>
  </si>
  <si>
    <t>Arsenic Pulverized</t>
  </si>
  <si>
    <t>30A25R</t>
  </si>
  <si>
    <t>Asbestos-Rock (Ore)</t>
  </si>
  <si>
    <t>81D37R</t>
  </si>
  <si>
    <t>Asbestos-Shredded</t>
  </si>
  <si>
    <t>30E46XY</t>
  </si>
  <si>
    <t>Ash, Black Ground</t>
  </si>
  <si>
    <t>105B35</t>
  </si>
  <si>
    <r>
      <t xml:space="preserve">Ashes, Coal, dry, </t>
    </r>
    <r>
      <rPr>
        <vertAlign val="superscript"/>
        <sz val="7"/>
        <color rgb="FF181717"/>
        <rFont val="Arial"/>
        <family val="2"/>
      </rPr>
      <t>1</t>
    </r>
    <r>
      <rPr>
        <sz val="8"/>
        <color rgb="FF181717"/>
        <rFont val="Arial"/>
        <family val="2"/>
      </rPr>
      <t>⁄</t>
    </r>
    <r>
      <rPr>
        <vertAlign val="subscript"/>
        <sz val="7"/>
        <color rgb="FF181717"/>
        <rFont val="Arial"/>
        <family val="2"/>
      </rPr>
      <t>2</t>
    </r>
    <r>
      <rPr>
        <sz val="8"/>
        <color rgb="FF181717"/>
        <rFont val="Arial"/>
        <family val="2"/>
      </rPr>
      <t>”</t>
    </r>
  </si>
  <si>
    <t>40C46TY</t>
  </si>
  <si>
    <t>Ashes, Coal, dry, 3”</t>
  </si>
  <si>
    <t>38D46T</t>
  </si>
  <si>
    <r>
      <t xml:space="preserve">Ashes, Coal, Wet, </t>
    </r>
    <r>
      <rPr>
        <vertAlign val="superscript"/>
        <sz val="7"/>
        <color rgb="FF181717"/>
        <rFont val="Arial"/>
        <family val="2"/>
      </rPr>
      <t>1</t>
    </r>
    <r>
      <rPr>
        <sz val="8"/>
        <color rgb="FF181717"/>
        <rFont val="Arial"/>
        <family val="2"/>
      </rPr>
      <t>⁄</t>
    </r>
    <r>
      <rPr>
        <vertAlign val="subscript"/>
        <sz val="7"/>
        <color rgb="FF181717"/>
        <rFont val="Arial"/>
        <family val="2"/>
      </rPr>
      <t>2</t>
    </r>
    <r>
      <rPr>
        <sz val="8"/>
        <color rgb="FF181717"/>
        <rFont val="Arial"/>
        <family val="2"/>
      </rPr>
      <t>”</t>
    </r>
  </si>
  <si>
    <t>48C46T</t>
  </si>
  <si>
    <t>Ashes, Coal, Wet, 3”</t>
  </si>
  <si>
    <t>48D46T</t>
  </si>
  <si>
    <t>Ashes, Fly ( Fly Ash)</t>
  </si>
  <si>
    <t>38A36M</t>
  </si>
  <si>
    <t>Aspartic Acid</t>
  </si>
  <si>
    <t>42A35XPLO</t>
  </si>
  <si>
    <r>
      <t xml:space="preserve">Asphalt, Crushed, </t>
    </r>
    <r>
      <rPr>
        <vertAlign val="superscript"/>
        <sz val="7"/>
        <color rgb="FF181717"/>
        <rFont val="Arial"/>
        <family val="2"/>
      </rPr>
      <t>1</t>
    </r>
    <r>
      <rPr>
        <sz val="8"/>
        <color rgb="FF181717"/>
        <rFont val="Arial"/>
        <family val="2"/>
      </rPr>
      <t>⁄</t>
    </r>
    <r>
      <rPr>
        <vertAlign val="subscript"/>
        <sz val="7"/>
        <color rgb="FF181717"/>
        <rFont val="Arial"/>
        <family val="2"/>
      </rPr>
      <t>2</t>
    </r>
    <r>
      <rPr>
        <sz val="8"/>
        <color rgb="FF181717"/>
        <rFont val="Arial"/>
        <family val="2"/>
      </rPr>
      <t>”</t>
    </r>
  </si>
  <si>
    <t>45C45</t>
  </si>
  <si>
    <t>Bagasse</t>
  </si>
  <si>
    <t>9E45RVXY</t>
  </si>
  <si>
    <t>2A,2B,2C</t>
  </si>
  <si>
    <t>Bakelite, Fine</t>
  </si>
  <si>
    <t>38B25</t>
  </si>
  <si>
    <t>Baking Powder</t>
  </si>
  <si>
    <t>48A35</t>
  </si>
  <si>
    <t>1B</t>
  </si>
  <si>
    <t>Baking Soda (Sodium Bicarbonate)</t>
  </si>
  <si>
    <t>48A25</t>
  </si>
  <si>
    <r>
      <t xml:space="preserve">Barite (Barium Sulfate), </t>
    </r>
    <r>
      <rPr>
        <vertAlign val="superscript"/>
        <sz val="7"/>
        <color rgb="FF181717"/>
        <rFont val="Arial"/>
        <family val="2"/>
      </rPr>
      <t>1</t>
    </r>
    <r>
      <rPr>
        <sz val="8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2</t>
    </r>
    <r>
      <rPr>
        <sz val="8"/>
        <color rgb="FF181717"/>
        <rFont val="Arial"/>
        <family val="2"/>
      </rPr>
      <t>” to 3”</t>
    </r>
  </si>
  <si>
    <t>150D36</t>
  </si>
  <si>
    <t>Barite, Powder</t>
  </si>
  <si>
    <t>150A35X</t>
  </si>
  <si>
    <t>Barium Carbonate</t>
  </si>
  <si>
    <t>72A45R</t>
  </si>
  <si>
    <t>Bark, Wood, Refuse</t>
  </si>
  <si>
    <t>15E45TVY</t>
  </si>
  <si>
    <t>Barley, Fine, Ground</t>
  </si>
  <si>
    <t>31B35</t>
  </si>
  <si>
    <t>Barley, Malted</t>
  </si>
  <si>
    <t>31C35</t>
  </si>
  <si>
    <t>Barley, Meal</t>
  </si>
  <si>
    <t>28C35</t>
  </si>
  <si>
    <t>Barley, Whole</t>
  </si>
  <si>
    <t>42B25N</t>
  </si>
  <si>
    <t>Basalt</t>
  </si>
  <si>
    <t>93B27</t>
  </si>
  <si>
    <t>Bauxite, Crushed, 3” (Aluminum Ore)</t>
  </si>
  <si>
    <t>80D36</t>
  </si>
  <si>
    <t>Bauxite, Dry, Ground (Aluminum Ore)</t>
  </si>
  <si>
    <t>68B25</t>
  </si>
  <si>
    <t>Beans, Castor, Meal</t>
  </si>
  <si>
    <t>38B35W</t>
  </si>
  <si>
    <t>Beans, Castor, Whole Shelled</t>
  </si>
  <si>
    <t>36C15W</t>
  </si>
  <si>
    <t>Beans, Navy, Dry</t>
  </si>
  <si>
    <t>48C15</t>
  </si>
  <si>
    <t>Beans, Navy, Steeped</t>
  </si>
  <si>
    <t>60C25</t>
  </si>
  <si>
    <t>Bentonite, 100 Mesh</t>
  </si>
  <si>
    <t>55A25MXY</t>
  </si>
  <si>
    <t>Bentonite, Crude</t>
  </si>
  <si>
    <t>37D45X</t>
  </si>
  <si>
    <t>Benzene Hexachloride</t>
  </si>
  <si>
    <t>56A45R</t>
  </si>
  <si>
    <t>Bicarbonate of Soda (Baking Soda)</t>
  </si>
  <si>
    <t>Blood, Dried</t>
  </si>
  <si>
    <t>40D45U</t>
  </si>
  <si>
    <t>Blood, Ground, Dried</t>
  </si>
  <si>
    <t>30A35U</t>
  </si>
  <si>
    <t>1A,1B,</t>
  </si>
  <si>
    <t>Bone Ash (Tricalcium Phosphate)</t>
  </si>
  <si>
    <t>45A45</t>
  </si>
  <si>
    <t>1A,1B</t>
  </si>
  <si>
    <t>Boneblack</t>
  </si>
  <si>
    <t>23A25Y</t>
  </si>
  <si>
    <t>Bonechar</t>
  </si>
  <si>
    <t>34B35</t>
  </si>
  <si>
    <t>Bonemeal</t>
  </si>
  <si>
    <t>55B35</t>
  </si>
  <si>
    <t>Bones, Crushed</t>
  </si>
  <si>
    <t>43D45</t>
  </si>
  <si>
    <t>Bones, Ground</t>
  </si>
  <si>
    <t>50B35</t>
  </si>
  <si>
    <t>Bones, Whole**</t>
  </si>
  <si>
    <t>43E45V</t>
  </si>
  <si>
    <t>Borate of Lime</t>
  </si>
  <si>
    <t>60A35</t>
  </si>
  <si>
    <r>
      <t xml:space="preserve">Borax Screening, </t>
    </r>
    <r>
      <rPr>
        <vertAlign val="superscript"/>
        <sz val="7"/>
        <color rgb="FF181717"/>
        <rFont val="Arial"/>
        <family val="2"/>
      </rPr>
      <t>1</t>
    </r>
    <r>
      <rPr>
        <sz val="8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2</t>
    </r>
    <r>
      <rPr>
        <sz val="8"/>
        <color rgb="FF181717"/>
        <rFont val="Arial"/>
        <family val="2"/>
      </rPr>
      <t>”</t>
    </r>
  </si>
  <si>
    <t>58C35</t>
  </si>
  <si>
    <r>
      <t>Borax, 1-</t>
    </r>
    <r>
      <rPr>
        <vertAlign val="superscript"/>
        <sz val="7"/>
        <color rgb="FF181717"/>
        <rFont val="Arial"/>
        <family val="2"/>
      </rPr>
      <t>1</t>
    </r>
    <r>
      <rPr>
        <sz val="8"/>
        <color rgb="FF181717"/>
        <rFont val="Arial"/>
        <family val="2"/>
      </rPr>
      <t>⁄</t>
    </r>
    <r>
      <rPr>
        <vertAlign val="subscript"/>
        <sz val="7"/>
        <color rgb="FF181717"/>
        <rFont val="Arial"/>
        <family val="2"/>
      </rPr>
      <t>2</t>
    </r>
    <r>
      <rPr>
        <sz val="8"/>
        <color rgb="FF181717"/>
        <rFont val="Arial"/>
        <family val="2"/>
      </rPr>
      <t>” to 2” Lump</t>
    </r>
  </si>
  <si>
    <t>58D35</t>
  </si>
  <si>
    <t>Borax, 2” to 3” Lump</t>
  </si>
  <si>
    <t>65D35</t>
  </si>
  <si>
    <t>Borax, Fine</t>
  </si>
  <si>
    <t>50B25T</t>
  </si>
  <si>
    <t>Boric Acid, Fine</t>
  </si>
  <si>
    <t>55B25T</t>
  </si>
  <si>
    <t>Boron</t>
  </si>
  <si>
    <t>75A37</t>
  </si>
  <si>
    <t>Bran, Rice-Rye-Wheat</t>
  </si>
  <si>
    <t>18B355NY</t>
  </si>
  <si>
    <t>Braunite (Manganese Oxide)</t>
  </si>
  <si>
    <t>120A36</t>
  </si>
  <si>
    <t>Bread Crumbs</t>
  </si>
  <si>
    <t>23B35PQ</t>
  </si>
  <si>
    <t>Brewer’s Grain, spent, dry</t>
  </si>
  <si>
    <t>22C45</t>
  </si>
  <si>
    <t>Brewer’s Grain, spent, wet</t>
  </si>
  <si>
    <t>58C45T</t>
  </si>
  <si>
    <r>
      <t xml:space="preserve">Brick, Ground, </t>
    </r>
    <r>
      <rPr>
        <vertAlign val="superscript"/>
        <sz val="7"/>
        <color rgb="FF181717"/>
        <rFont val="Arial"/>
        <family val="2"/>
      </rPr>
      <t>1</t>
    </r>
    <r>
      <rPr>
        <sz val="8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8</t>
    </r>
    <r>
      <rPr>
        <sz val="8"/>
        <color rgb="FF181717"/>
        <rFont val="Arial"/>
        <family val="2"/>
      </rPr>
      <t>”</t>
    </r>
  </si>
  <si>
    <t>110B37</t>
  </si>
  <si>
    <t>Bronze Chips</t>
  </si>
  <si>
    <t>40B45</t>
  </si>
  <si>
    <t>Buckwheat</t>
  </si>
  <si>
    <t>40B25N</t>
  </si>
  <si>
    <t>Calcine, Flour</t>
  </si>
  <si>
    <t>80A35</t>
  </si>
  <si>
    <t>Calcium Carbide</t>
  </si>
  <si>
    <t>80D25N</t>
  </si>
  <si>
    <t>Calcium Carbonate (see Limestone)</t>
  </si>
  <si>
    <t>Calcium Fluoride (see Fluorspar)</t>
  </si>
  <si>
    <t>Calcium Hydrate (Lime, Hydrated)</t>
  </si>
  <si>
    <t>40B35LM</t>
  </si>
  <si>
    <t>Calcium Hydroxide (Lime, Hydrated)</t>
  </si>
  <si>
    <t>Calcium Lactate</t>
  </si>
  <si>
    <t>28D45QTR</t>
  </si>
  <si>
    <t>Calcium Oxide (Lime, unslaked)</t>
  </si>
  <si>
    <t>63B35U</t>
  </si>
  <si>
    <t>Calcium Phosphate</t>
  </si>
  <si>
    <t>Calcium Sulfate (see Gypsum)</t>
  </si>
  <si>
    <t>Canola Meal (Rape Seed Meal)**</t>
  </si>
  <si>
    <t>Carbon, Activated, Dry, Fine**</t>
  </si>
  <si>
    <t>Carbon, Black, Pelleted**</t>
  </si>
  <si>
    <t>Carbon, Black, Powder**</t>
  </si>
  <si>
    <t>Carborundum</t>
  </si>
  <si>
    <t>100D27</t>
  </si>
  <si>
    <t>Casein</t>
  </si>
  <si>
    <t>36B35</t>
  </si>
  <si>
    <t>Cashew Nuts</t>
  </si>
  <si>
    <t>35C45</t>
  </si>
  <si>
    <t>Cast Iron, Chips</t>
  </si>
  <si>
    <t>165C45</t>
  </si>
  <si>
    <t>Caustic Soda (Sodium Hydroxide)</t>
  </si>
  <si>
    <t>88B35RSU</t>
  </si>
  <si>
    <t>Caustic Soda, Flakes</t>
  </si>
  <si>
    <t>47C45RSUX</t>
  </si>
  <si>
    <t>Celite (Diatomaceous Earth)</t>
  </si>
  <si>
    <t>14A36Y</t>
  </si>
  <si>
    <t>Cement, Aerated (Portland)</t>
  </si>
  <si>
    <t>68A16M</t>
  </si>
  <si>
    <t>Cement, Clinker</t>
  </si>
  <si>
    <t>85D36</t>
  </si>
  <si>
    <t>Cement, Mortar</t>
  </si>
  <si>
    <t>133B35Q</t>
  </si>
  <si>
    <t>Cement, Portland</t>
  </si>
  <si>
    <t>94A26M</t>
  </si>
  <si>
    <t>Cerrusite (Lead Carbonate)</t>
  </si>
  <si>
    <t>250A35R</t>
  </si>
  <si>
    <t>Chalk, Crushed</t>
  </si>
  <si>
    <t>85D25</t>
  </si>
  <si>
    <t>Chalk, Pulverized</t>
  </si>
  <si>
    <t>71A25MXY</t>
  </si>
  <si>
    <t>Charcoal, Ground</t>
  </si>
  <si>
    <t>23A45</t>
  </si>
  <si>
    <t>Charcoal, Lumps</t>
  </si>
  <si>
    <t>23D45Q</t>
  </si>
  <si>
    <t>Chocolate, Cake Pressed</t>
  </si>
  <si>
    <t>43D25</t>
  </si>
  <si>
    <t>Chrome Ore</t>
  </si>
  <si>
    <t>133D36</t>
  </si>
  <si>
    <t>Cinders, Blast Furnace</t>
  </si>
  <si>
    <t>57D36T</t>
  </si>
  <si>
    <t>Cinders, Coal</t>
  </si>
  <si>
    <t>40D36T</t>
  </si>
  <si>
    <t>Clay (Marl)</t>
  </si>
  <si>
    <t>Clay (see Bentonite, Diat. Earth)</t>
  </si>
  <si>
    <t>Clay (see also Fuller’s Earth, Kaolin &amp; Marl)</t>
  </si>
  <si>
    <t>Clay, Brick, Dry, Fines</t>
  </si>
  <si>
    <t>110C36</t>
  </si>
  <si>
    <t>Clay, Calcined</t>
  </si>
  <si>
    <t>90B36</t>
  </si>
  <si>
    <t>Clay, Ceramic, Dry, Fines</t>
  </si>
  <si>
    <t>70A35P</t>
  </si>
  <si>
    <t>Clay, Dry, Lumpy</t>
  </si>
  <si>
    <t>68D35</t>
  </si>
  <si>
    <t>Clinker, Cement (Cement Clinker)</t>
  </si>
  <si>
    <t>Clover Seed</t>
  </si>
  <si>
    <t>47B25N</t>
  </si>
  <si>
    <t>Coal, Anthracite (River &amp; Culm)</t>
  </si>
  <si>
    <t>58B35TY</t>
  </si>
  <si>
    <r>
      <t xml:space="preserve">Coal, Anthracite, Sized, </t>
    </r>
    <r>
      <rPr>
        <vertAlign val="superscript"/>
        <sz val="7"/>
        <color rgb="FF181717"/>
        <rFont val="Arial"/>
        <family val="2"/>
      </rPr>
      <t>1</t>
    </r>
    <r>
      <rPr>
        <sz val="8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2</t>
    </r>
    <r>
      <rPr>
        <sz val="8"/>
        <color rgb="FF181717"/>
        <rFont val="Arial"/>
        <family val="2"/>
      </rPr>
      <t>”</t>
    </r>
  </si>
  <si>
    <t>55C25</t>
  </si>
  <si>
    <t>Coal, Bituminous, Mined</t>
  </si>
  <si>
    <t>50D35LNYX</t>
  </si>
  <si>
    <t>Coal, Bituminous, Mined, Sized</t>
  </si>
  <si>
    <t>48D35QV</t>
  </si>
  <si>
    <t>Coal, Bituminous, Mined, Slack</t>
  </si>
  <si>
    <t>47C45T</t>
  </si>
  <si>
    <t>Coal, Lignite</t>
  </si>
  <si>
    <t>41D35T</t>
  </si>
  <si>
    <t>Cocoa Beans</t>
  </si>
  <si>
    <t>38C25Q</t>
  </si>
  <si>
    <t>Cocoa, Nibs</t>
  </si>
  <si>
    <t>35C25</t>
  </si>
  <si>
    <t>Cocoa, Powdered</t>
  </si>
  <si>
    <t>33A45XY</t>
  </si>
  <si>
    <t>Coconut, Shredded</t>
  </si>
  <si>
    <t>Coffee, Chaff</t>
  </si>
  <si>
    <t>20B25FZMY</t>
  </si>
  <si>
    <t>Coffee, Green Bean</t>
  </si>
  <si>
    <t>29C25PQ</t>
  </si>
  <si>
    <t>Coffee, Ground, Dry</t>
  </si>
  <si>
    <t>25A35P</t>
  </si>
  <si>
    <t>Coffee, Ground, Wet</t>
  </si>
  <si>
    <t>40A45X</t>
  </si>
  <si>
    <t>Coffee, Roasted Bean</t>
  </si>
  <si>
    <t>25C25PQ</t>
  </si>
  <si>
    <t>Coffee, Soluble</t>
  </si>
  <si>
    <t>19A35PUY</t>
  </si>
  <si>
    <t>Coke, Breeze</t>
  </si>
  <si>
    <t>30C37</t>
  </si>
  <si>
    <t>Coke, Loose</t>
  </si>
  <si>
    <t>30D37</t>
  </si>
  <si>
    <t>Coke, Petrol, Calcined</t>
  </si>
  <si>
    <t>40D37</t>
  </si>
  <si>
    <t>Compost</t>
  </si>
  <si>
    <t>40D45TV</t>
  </si>
  <si>
    <t>Concrete, Pre-Mix Dry</t>
  </si>
  <si>
    <t>103C36U</t>
  </si>
  <si>
    <t>Copper Ore</t>
  </si>
  <si>
    <t>135D36</t>
  </si>
  <si>
    <t>Copper Ore, Crushed</t>
  </si>
  <si>
    <t>125D36</t>
  </si>
  <si>
    <t>Copper Sulphate, (Bluestone, Cupric Sulphate)</t>
  </si>
  <si>
    <t>85C35S</t>
  </si>
  <si>
    <t>Copperas (Ferrous Sulphate)</t>
  </si>
  <si>
    <t>63C35U</t>
  </si>
  <si>
    <t>Copra, Cake Ground</t>
  </si>
  <si>
    <t>43B45HW</t>
  </si>
  <si>
    <t>Copra, Cake, Lumpy</t>
  </si>
  <si>
    <t>28D35HW</t>
  </si>
  <si>
    <t>Copra, Lumpy</t>
  </si>
  <si>
    <t>22E35HW</t>
  </si>
  <si>
    <t>Copra, Meal</t>
  </si>
  <si>
    <t>43B35HW</t>
  </si>
  <si>
    <t>Cork, Fine Ground</t>
  </si>
  <si>
    <t>10B35JNY</t>
  </si>
  <si>
    <t>Cork, Granulated</t>
  </si>
  <si>
    <t>14C35JY</t>
  </si>
  <si>
    <t>Corn Cobs, Ground</t>
  </si>
  <si>
    <t>17C25Y</t>
  </si>
  <si>
    <t>Corn Cobs, Whole*</t>
  </si>
  <si>
    <t>14E45NV</t>
  </si>
  <si>
    <t>Corn Fiber, Dry</t>
  </si>
  <si>
    <t>14B46P</t>
  </si>
  <si>
    <t>Corn Fiber, Wet</t>
  </si>
  <si>
    <t>33B46P</t>
  </si>
  <si>
    <t>Corn Oil, Cake</t>
  </si>
  <si>
    <t>25D45HW</t>
  </si>
  <si>
    <t>Corn, Cracked</t>
  </si>
  <si>
    <t>45B25P</t>
  </si>
  <si>
    <t>Corn, Ear**</t>
  </si>
  <si>
    <t>Corn, Germ, Dry</t>
  </si>
  <si>
    <t>21B35PY</t>
  </si>
  <si>
    <t>Corn, Germ, Wet (50% moisture)</t>
  </si>
  <si>
    <t>30B35PY</t>
  </si>
  <si>
    <t>Corn, Gluten (see Gluten Meal)</t>
  </si>
  <si>
    <t>Corn, Grits</t>
  </si>
  <si>
    <t>43B35P</t>
  </si>
  <si>
    <t>Corn, Seed</t>
  </si>
  <si>
    <t>45C25PQ</t>
  </si>
  <si>
    <t>Corn, Shelled</t>
  </si>
  <si>
    <t>45C25</t>
  </si>
  <si>
    <t>Corn, Starch*</t>
  </si>
  <si>
    <t>38A15MN</t>
  </si>
  <si>
    <t>Corn, Sugar</t>
  </si>
  <si>
    <t>33B35PU</t>
  </si>
  <si>
    <t>Cornmeal</t>
  </si>
  <si>
    <t>36B35P</t>
  </si>
  <si>
    <t>Cottonseed, Cake</t>
  </si>
  <si>
    <t>43C45HW</t>
  </si>
  <si>
    <t>Cottonseed, Dry, Delinted</t>
  </si>
  <si>
    <t>31C25X</t>
  </si>
  <si>
    <t>Cottonseed, Dry, Not Delinted</t>
  </si>
  <si>
    <t>22C45XY</t>
  </si>
  <si>
    <t>Cottonseed, Flakes</t>
  </si>
  <si>
    <t>23C35HWY</t>
  </si>
  <si>
    <t>Cottonseed, Hulls</t>
  </si>
  <si>
    <t>12B35Y</t>
  </si>
  <si>
    <t>Cottonseed, Meal, Expeller</t>
  </si>
  <si>
    <t>28B45HW</t>
  </si>
  <si>
    <t>Cottonseed, Meal, Extracted</t>
  </si>
  <si>
    <t>38B45HW</t>
  </si>
  <si>
    <t>Cottonseed, Meats, Dry</t>
  </si>
  <si>
    <t>40B35HW</t>
  </si>
  <si>
    <t>Cottonseed, Meats, Rolled</t>
  </si>
  <si>
    <t>38C45HW</t>
  </si>
  <si>
    <t>Cracklings, Crushed</t>
  </si>
  <si>
    <t>45D45HW</t>
  </si>
  <si>
    <t>Cryolite, Dust (Sodium Aluminum Fluoride)</t>
  </si>
  <si>
    <t>83A36V</t>
  </si>
  <si>
    <t>Cryolite, Lumpy (Kryalith)</t>
  </si>
  <si>
    <t>100D36</t>
  </si>
  <si>
    <t>Cullet, Fine</t>
  </si>
  <si>
    <t>100C37</t>
  </si>
  <si>
    <t>Cullet, Lump</t>
  </si>
  <si>
    <t>100D37</t>
  </si>
  <si>
    <t>Culm, (Coal, Anthracite)</t>
  </si>
  <si>
    <t>Cupric Sulphate (Copper Sulfate)</t>
  </si>
  <si>
    <t>Diatomaceous Earth (Filter Aid, Precoat)</t>
  </si>
  <si>
    <t>Dicalcium Phosphate</t>
  </si>
  <si>
    <t>Disodium Phosphate</t>
  </si>
  <si>
    <t>28A35</t>
  </si>
  <si>
    <t>Distiller’s Grain, Spent Wet</t>
  </si>
  <si>
    <t>50C45V</t>
  </si>
  <si>
    <t>Distiller’s Grain, Spent Wet w/Syrup</t>
  </si>
  <si>
    <t>56C45VXOH</t>
  </si>
  <si>
    <t>Distiller’s Grain-Spent Dry</t>
  </si>
  <si>
    <t>30B35</t>
  </si>
  <si>
    <t>Dolomite, Crushed</t>
  </si>
  <si>
    <t>90C36</t>
  </si>
  <si>
    <t>Dolomite, Lumpy</t>
  </si>
  <si>
    <t>95D36</t>
  </si>
  <si>
    <t>Earth, Loam, Dry, Loose</t>
  </si>
  <si>
    <t>76C36</t>
  </si>
  <si>
    <t>Ebonite, Crushed</t>
  </si>
  <si>
    <t>67C35</t>
  </si>
  <si>
    <t>Egg Powder</t>
  </si>
  <si>
    <t>16A35MPY</t>
  </si>
  <si>
    <t>Epsom Salts (Magnesium Sulfate)</t>
  </si>
  <si>
    <t>45A35U</t>
  </si>
  <si>
    <t>Feldspar, Ground</t>
  </si>
  <si>
    <t>73A37</t>
  </si>
  <si>
    <t>Feldspar, Lumps</t>
  </si>
  <si>
    <t>95D37</t>
  </si>
  <si>
    <t>Feldspar, Powder</t>
  </si>
  <si>
    <t>100A36</t>
  </si>
  <si>
    <t>Felspar, Screenings</t>
  </si>
  <si>
    <t>78C37</t>
  </si>
  <si>
    <r>
      <t xml:space="preserve">Ferrous Sulfide, </t>
    </r>
    <r>
      <rPr>
        <vertAlign val="superscript"/>
        <sz val="7"/>
        <color rgb="FF181717"/>
        <rFont val="Arial"/>
        <family val="2"/>
      </rPr>
      <t>1</t>
    </r>
    <r>
      <rPr>
        <sz val="8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2</t>
    </r>
    <r>
      <rPr>
        <sz val="8"/>
        <color rgb="FF181717"/>
        <rFont val="Arial"/>
        <family val="2"/>
      </rPr>
      <t>” (Iron Sulfide, Pyrites)</t>
    </r>
  </si>
  <si>
    <t>128C26</t>
  </si>
  <si>
    <t>Ferrous Sulfide, 100M (Iron Sulfide, Pyrites)</t>
  </si>
  <si>
    <t>113A36</t>
  </si>
  <si>
    <t>Ferrous Sulphate (Iron Sulphate, Copperas)</t>
  </si>
  <si>
    <t>Filter-Aid (Diatomaceous Earth, Precoat)</t>
  </si>
  <si>
    <t>Fish Meal</t>
  </si>
  <si>
    <t>38C45HP</t>
  </si>
  <si>
    <t>Fish Scrap</t>
  </si>
  <si>
    <t>45D45H</t>
  </si>
  <si>
    <t>Flaxseed</t>
  </si>
  <si>
    <t>44B35X</t>
  </si>
  <si>
    <t>Flaxseed Cake (Linseed Cake)</t>
  </si>
  <si>
    <t>49D45W</t>
  </si>
  <si>
    <t>Flaxseed Meal (Linseed Meal)</t>
  </si>
  <si>
    <t>35B45W</t>
  </si>
  <si>
    <t>Flour Wheat</t>
  </si>
  <si>
    <t>37A45LP</t>
  </si>
  <si>
    <t>Flue Dust, Basic Oxygen Furnace</t>
  </si>
  <si>
    <t>53A36LM</t>
  </si>
  <si>
    <t>Flue Dust, Blast Furnace</t>
  </si>
  <si>
    <t>118A36</t>
  </si>
  <si>
    <t>Flue Dust, Boiler H. Dry</t>
  </si>
  <si>
    <t>38A36LM</t>
  </si>
  <si>
    <t>Fluorspar, Fine (Calcium Floride)</t>
  </si>
  <si>
    <t>Fluorspar, Lumps</t>
  </si>
  <si>
    <t>Flyash</t>
  </si>
  <si>
    <t>Foundry Sand, Dry (Sand)</t>
  </si>
  <si>
    <t>95D37Z</t>
  </si>
  <si>
    <t>Fuller’s Earth, Calcined</t>
  </si>
  <si>
    <t>40A25</t>
  </si>
  <si>
    <t>Fuller’s Earth, Dry, Raw (Bleach Clay)</t>
  </si>
  <si>
    <t>35A25</t>
  </si>
  <si>
    <t>Fuller’s Earth, Oily, Spent (Spent Bleach Clay)</t>
  </si>
  <si>
    <t>63C45OW</t>
  </si>
  <si>
    <t>Galena (Lead Sulfide)</t>
  </si>
  <si>
    <t>Gelatine, Granulated</t>
  </si>
  <si>
    <t>32B35PU</t>
  </si>
  <si>
    <t>Gilsonite</t>
  </si>
  <si>
    <t>37C35</t>
  </si>
  <si>
    <t>Glass, Batch</t>
  </si>
  <si>
    <t>90C37</t>
  </si>
  <si>
    <t>Glue, Ground</t>
  </si>
  <si>
    <t>40B45U</t>
  </si>
  <si>
    <t>Glue, Pearl</t>
  </si>
  <si>
    <t>40C35U</t>
  </si>
  <si>
    <t>Glue, Veg. Powdered</t>
  </si>
  <si>
    <t>40A45U</t>
  </si>
  <si>
    <t>Gluten, Meal (Dry Corn Gluten)</t>
  </si>
  <si>
    <t>40B35P</t>
  </si>
  <si>
    <t>Gluten, Meal (Wet Corn Gluten)</t>
  </si>
  <si>
    <t>43B35OPH</t>
  </si>
  <si>
    <t>Granite, Fine</t>
  </si>
  <si>
    <t>85C27</t>
  </si>
  <si>
    <t>Grape, Pomace</t>
  </si>
  <si>
    <t>18D45U</t>
  </si>
  <si>
    <t>Graphite Flake (Plumago)</t>
  </si>
  <si>
    <t>40B25LP</t>
  </si>
  <si>
    <t>Graphite Flour</t>
  </si>
  <si>
    <t>28A35LMP</t>
  </si>
  <si>
    <t>Graphite Ore</t>
  </si>
  <si>
    <t>70D35L</t>
  </si>
  <si>
    <t>Guano Dry**</t>
  </si>
  <si>
    <t>70C35</t>
  </si>
  <si>
    <t>Gypsum, Calcined (Plaster of Paris)</t>
  </si>
  <si>
    <t>58B35U</t>
  </si>
  <si>
    <t>Gypsum, Calcined, Powdered (Plaster of Paris)</t>
  </si>
  <si>
    <t>70A35U</t>
  </si>
  <si>
    <t>Gypsum, Raw 1” (Calc. Sulfate, Plast. of Paris)</t>
  </si>
  <si>
    <t>75D25</t>
  </si>
  <si>
    <t>Hay, Chopped**</t>
  </si>
  <si>
    <t>10C35JY</t>
  </si>
  <si>
    <t>Hexanedioic Acid (Adipic Acid)</t>
  </si>
  <si>
    <t>Hominy, Dry</t>
  </si>
  <si>
    <t>43C25D</t>
  </si>
  <si>
    <t>Hops, Spend, Dry</t>
  </si>
  <si>
    <t>35D35</t>
  </si>
  <si>
    <t>Hops, Spent, Wet</t>
  </si>
  <si>
    <t>53D45V</t>
  </si>
  <si>
    <t>Ice, Crushed</t>
  </si>
  <si>
    <t>40D35O</t>
  </si>
  <si>
    <t>Ice, Cubes</t>
  </si>
  <si>
    <t>34D35O</t>
  </si>
  <si>
    <t>Ice, Flaked**</t>
  </si>
  <si>
    <t>43C35O</t>
  </si>
  <si>
    <t>Ice, Shell</t>
  </si>
  <si>
    <t>34D45O</t>
  </si>
  <si>
    <t>Ilmenite Ore (Titanium Dioxide)</t>
  </si>
  <si>
    <t>150D37</t>
  </si>
  <si>
    <t>Iron Ore Concentrate</t>
  </si>
  <si>
    <t>150A37</t>
  </si>
  <si>
    <t>Iron Oxide Pigment</t>
  </si>
  <si>
    <t>25A36LMP</t>
  </si>
  <si>
    <t>Iron Oxide, Millscale</t>
  </si>
  <si>
    <t>75C36</t>
  </si>
  <si>
    <t>Iron Pyrites (see Ferrous Sulfide)</t>
  </si>
  <si>
    <t>Iron Sulfide (see Ferrous Sulfide)</t>
  </si>
  <si>
    <t>Iron Sulphate (Ferrous Sulfate)</t>
  </si>
  <si>
    <t>Iron Vitriol (Ferrous Sulfate)</t>
  </si>
  <si>
    <t>Kafir (Corn)</t>
  </si>
  <si>
    <t>43C25</t>
  </si>
  <si>
    <t>Kaolin Clay</t>
  </si>
  <si>
    <t>63D25</t>
  </si>
  <si>
    <t>Kaolin Clay (Tale)</t>
  </si>
  <si>
    <t>49A35LMP</t>
  </si>
  <si>
    <t>Kryalith (see Cryolite)</t>
  </si>
  <si>
    <t>Lactose</t>
  </si>
  <si>
    <t>32A35PU</t>
  </si>
  <si>
    <t>Lamp Black (see Carbon Black)</t>
  </si>
  <si>
    <t>Lead Arsenate</t>
  </si>
  <si>
    <t>Lead Carbonate (Cerrusite)</t>
  </si>
  <si>
    <r>
      <t xml:space="preserve">Lead Ore, </t>
    </r>
    <r>
      <rPr>
        <vertAlign val="superscript"/>
        <sz val="7"/>
        <color rgb="FF181717"/>
        <rFont val="Arial"/>
        <family val="2"/>
      </rPr>
      <t>1</t>
    </r>
    <r>
      <rPr>
        <sz val="8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2</t>
    </r>
    <r>
      <rPr>
        <sz val="8"/>
        <color rgb="FF181717"/>
        <rFont val="Arial"/>
        <family val="2"/>
      </rPr>
      <t>”</t>
    </r>
  </si>
  <si>
    <t>205C36</t>
  </si>
  <si>
    <r>
      <t xml:space="preserve">Lead Ore, </t>
    </r>
    <r>
      <rPr>
        <vertAlign val="superscript"/>
        <sz val="7"/>
        <color rgb="FF181717"/>
        <rFont val="Arial"/>
        <family val="2"/>
      </rPr>
      <t>1</t>
    </r>
    <r>
      <rPr>
        <sz val="8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8</t>
    </r>
    <r>
      <rPr>
        <sz val="8"/>
        <color rgb="FF181717"/>
        <rFont val="Arial"/>
        <family val="2"/>
      </rPr>
      <t>”</t>
    </r>
  </si>
  <si>
    <t>235B35</t>
  </si>
  <si>
    <t>Lead Oxide (Red Lead, Litharge) 100 Mesh</t>
  </si>
  <si>
    <t>90A35P</t>
  </si>
  <si>
    <t>Lead Oxide (Red Lead, Litharge) 200 Mesh</t>
  </si>
  <si>
    <t>105A35LP</t>
  </si>
  <si>
    <t>Lead Sulphide, 100 Mesh (Galena)</t>
  </si>
  <si>
    <t>Lignite (Coal Lignite)</t>
  </si>
  <si>
    <t>Limanite, Ore, Brown</t>
  </si>
  <si>
    <t>120C47</t>
  </si>
  <si>
    <t>Lime Hydrated (Calcium Hydrate, Hydroxide)</t>
  </si>
  <si>
    <t>Lime Pebble</t>
  </si>
  <si>
    <t>55C25HU</t>
  </si>
  <si>
    <t>Lime, Ground, Unslaked (Quicklime)</t>
  </si>
  <si>
    <t>Lime, Hydrated, Pulverized</t>
  </si>
  <si>
    <t>36A35LM</t>
  </si>
  <si>
    <t>Limestone, Agricultural (Calcium Carbonate)</t>
  </si>
  <si>
    <t>68B35</t>
  </si>
  <si>
    <t>Limestone, Crushed (Calcium Carbonate)</t>
  </si>
  <si>
    <t>88D36</t>
  </si>
  <si>
    <t>Limestone, Dust (Calcium Carbonate)</t>
  </si>
  <si>
    <t>75A46MY</t>
  </si>
  <si>
    <t>Lindane (Benzene Hexachloride)</t>
  </si>
  <si>
    <t>Linseed (Flaxseed)</t>
  </si>
  <si>
    <t>Lithopone</t>
  </si>
  <si>
    <t>48A35MR</t>
  </si>
  <si>
    <t>Magnesium Chloride (Magnesite)</t>
  </si>
  <si>
    <t>33C45</t>
  </si>
  <si>
    <t>Maize (Milo)</t>
  </si>
  <si>
    <t>43B15N</t>
  </si>
  <si>
    <t>Malt, Dry Whole</t>
  </si>
  <si>
    <t>25C35N</t>
  </si>
  <si>
    <t>Malt, Dry, Ground</t>
  </si>
  <si>
    <t>Malt, Meal</t>
  </si>
  <si>
    <t>38B25P</t>
  </si>
  <si>
    <t>Malt, Sprouts</t>
  </si>
  <si>
    <t>14C35P</t>
  </si>
  <si>
    <t>Manganese Dioxide**</t>
  </si>
  <si>
    <t>78A35NRT</t>
  </si>
  <si>
    <t>Manganese Ore</t>
  </si>
  <si>
    <t>133D37</t>
  </si>
  <si>
    <t>Manganese Oxide</t>
  </si>
  <si>
    <t>Manganese Sulfate</t>
  </si>
  <si>
    <t>70C37</t>
  </si>
  <si>
    <t>Marble, Crushed</t>
  </si>
  <si>
    <t>88B37</t>
  </si>
  <si>
    <t>Marl (Clay)</t>
  </si>
  <si>
    <t>Meat, Ground</t>
  </si>
  <si>
    <t>53E45HQTX</t>
  </si>
  <si>
    <t>2A</t>
  </si>
  <si>
    <t>Meat, Scrap (W/bone)</t>
  </si>
  <si>
    <t>40E46H</t>
  </si>
  <si>
    <t>Mica, Flakes</t>
  </si>
  <si>
    <t>20B16MY</t>
  </si>
  <si>
    <t>Mica, Ground</t>
  </si>
  <si>
    <t>14B36</t>
  </si>
  <si>
    <t>Mica, Pulverized</t>
  </si>
  <si>
    <t>14A36M</t>
  </si>
  <si>
    <t>Milk, Dried, Flake</t>
  </si>
  <si>
    <t>6B35PUY</t>
  </si>
  <si>
    <t>Milk, Malted</t>
  </si>
  <si>
    <t>29A45PX</t>
  </si>
  <si>
    <t>Milk, Powdered</t>
  </si>
  <si>
    <t>33B25PM</t>
  </si>
  <si>
    <t>Milk, Sugar</t>
  </si>
  <si>
    <t>32A35PX</t>
  </si>
  <si>
    <t>Milk, Whole, Powdered</t>
  </si>
  <si>
    <t>28B35PUX</t>
  </si>
  <si>
    <t>Mill Scale (Steel)</t>
  </si>
  <si>
    <t>123E46T</t>
  </si>
  <si>
    <t>Milo Maize (Kafir)</t>
  </si>
  <si>
    <t>Milo, Ground (Sorghum Seed, Kafir)</t>
  </si>
  <si>
    <t>34B25</t>
  </si>
  <si>
    <t>Molybdenite Powder</t>
  </si>
  <si>
    <t>107B26</t>
  </si>
  <si>
    <t>Motar, Wet**</t>
  </si>
  <si>
    <t>150E46T</t>
  </si>
  <si>
    <t>Mustard Seed</t>
  </si>
  <si>
    <t>45B15N</t>
  </si>
  <si>
    <t>Naphthalene Flakes</t>
  </si>
  <si>
    <t>Niacin (Nicotinic Acid)</t>
  </si>
  <si>
    <t>35A35P</t>
  </si>
  <si>
    <t>Oat Hulls</t>
  </si>
  <si>
    <t>10B35NY</t>
  </si>
  <si>
    <t>Oats</t>
  </si>
  <si>
    <t>26C25MN</t>
  </si>
  <si>
    <t>Oats, Crimped</t>
  </si>
  <si>
    <t>23C35</t>
  </si>
  <si>
    <t>Oats, Crushed</t>
  </si>
  <si>
    <t>22B45NY</t>
  </si>
  <si>
    <t>Oats, Flour</t>
  </si>
  <si>
    <t>35A35</t>
  </si>
  <si>
    <t>Oats, Rolled</t>
  </si>
  <si>
    <t>22C35NY</t>
  </si>
  <si>
    <t>Oleo (Margarine)</t>
  </si>
  <si>
    <t>59E45HKPWX</t>
  </si>
  <si>
    <t>Orange Peel, Dry</t>
  </si>
  <si>
    <t>Oxalic Acid Crystals – Ethane Diacid Crystals</t>
  </si>
  <si>
    <t>60B35QS</t>
  </si>
  <si>
    <t>Oyster Shells, Ground</t>
  </si>
  <si>
    <t>55C36T</t>
  </si>
  <si>
    <t>Oyster Shells, Whole</t>
  </si>
  <si>
    <t>80D36TV</t>
  </si>
  <si>
    <t>Paper Pulp (4% or less)</t>
  </si>
  <si>
    <t>Paper Pulp (6% to 15%)</t>
  </si>
  <si>
    <r>
      <t xml:space="preserve">Paraffin Cake, </t>
    </r>
    <r>
      <rPr>
        <vertAlign val="superscript"/>
        <sz val="7"/>
        <color rgb="FF181717"/>
        <rFont val="Arial"/>
        <family val="2"/>
      </rPr>
      <t>1</t>
    </r>
    <r>
      <rPr>
        <sz val="8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2</t>
    </r>
    <r>
      <rPr>
        <sz val="8"/>
        <color rgb="FF181717"/>
        <rFont val="Arial"/>
        <family val="2"/>
      </rPr>
      <t>”</t>
    </r>
  </si>
  <si>
    <t>45C45K</t>
  </si>
  <si>
    <t>Peanut Meal</t>
  </si>
  <si>
    <t>30B35P</t>
  </si>
  <si>
    <t>Peanuts, Clean, in shell</t>
  </si>
  <si>
    <t>18D35Q</t>
  </si>
  <si>
    <t>Peanuts, Raw (Uncleaned, Unshelled)</t>
  </si>
  <si>
    <t>18D36Q</t>
  </si>
  <si>
    <t>Peanuts, Shelled</t>
  </si>
  <si>
    <t>40C35Q</t>
  </si>
  <si>
    <t>Peas, Dried</t>
  </si>
  <si>
    <t>48C15NQ</t>
  </si>
  <si>
    <t>Perlite, Expanded</t>
  </si>
  <si>
    <t>10C36</t>
  </si>
  <si>
    <t>Phosphate Acid Fertilizer</t>
  </si>
  <si>
    <t>60B25T</t>
  </si>
  <si>
    <t>Phosphate Disodium (Sodium Phosphate)</t>
  </si>
  <si>
    <t>55A35</t>
  </si>
  <si>
    <t>Phosphate Rock, Broken</t>
  </si>
  <si>
    <t>Phosphate Rock, Pulverized</t>
  </si>
  <si>
    <t>60B36</t>
  </si>
  <si>
    <t>Phosphate Sand</t>
  </si>
  <si>
    <t>95B37</t>
  </si>
  <si>
    <t>Plaster of Paris (see Gypsum)</t>
  </si>
  <si>
    <t>Plumbago (see Graphite)</t>
  </si>
  <si>
    <t>Polyethylene, Resin Pellets</t>
  </si>
  <si>
    <t>33C45Q</t>
  </si>
  <si>
    <t>Polystyrene Beads</t>
  </si>
  <si>
    <t>40B35PQ</t>
  </si>
  <si>
    <t>Polyvinyl Chloride Powder (PVC)</t>
  </si>
  <si>
    <t>25A45KT</t>
  </si>
  <si>
    <t>Polyvinyl, Chloride Pellets</t>
  </si>
  <si>
    <t>25E45KPQT</t>
  </si>
  <si>
    <t>Potash (Muriate) Dry</t>
  </si>
  <si>
    <t>70B37</t>
  </si>
  <si>
    <t>Potash (Muriate) Mine Run</t>
  </si>
  <si>
    <t>75D37</t>
  </si>
  <si>
    <t>Potassium Carbonate</t>
  </si>
  <si>
    <t>51B36</t>
  </si>
  <si>
    <r>
      <t xml:space="preserve">Potassium Nitrate, </t>
    </r>
    <r>
      <rPr>
        <vertAlign val="superscript"/>
        <sz val="7"/>
        <color rgb="FF181717"/>
        <rFont val="Arial"/>
        <family val="2"/>
      </rPr>
      <t>1</t>
    </r>
    <r>
      <rPr>
        <sz val="8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2</t>
    </r>
    <r>
      <rPr>
        <sz val="8"/>
        <color rgb="FF181717"/>
        <rFont val="Arial"/>
        <family val="2"/>
      </rPr>
      <t>” (Saltpeter)</t>
    </r>
  </si>
  <si>
    <t>76C16NT</t>
  </si>
  <si>
    <r>
      <t xml:space="preserve">Potassium Nitrate, </t>
    </r>
    <r>
      <rPr>
        <vertAlign val="superscript"/>
        <sz val="7"/>
        <color rgb="FF181717"/>
        <rFont val="Arial"/>
        <family val="2"/>
      </rPr>
      <t>1</t>
    </r>
    <r>
      <rPr>
        <sz val="8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8</t>
    </r>
    <r>
      <rPr>
        <sz val="8"/>
        <color rgb="FF181717"/>
        <rFont val="Arial"/>
        <family val="2"/>
      </rPr>
      <t>” (Saltpeter)</t>
    </r>
  </si>
  <si>
    <t>80B26NT</t>
  </si>
  <si>
    <t>Potassium Sulfate</t>
  </si>
  <si>
    <t>45B46X</t>
  </si>
  <si>
    <t>Potassium-Chloride Pellets</t>
  </si>
  <si>
    <t>125C25TU</t>
  </si>
  <si>
    <t>Potato Flour</t>
  </si>
  <si>
    <t>48A35MNP</t>
  </si>
  <si>
    <r>
      <t xml:space="preserve">Pumice, </t>
    </r>
    <r>
      <rPr>
        <vertAlign val="superscript"/>
        <sz val="7"/>
        <color rgb="FF181717"/>
        <rFont val="Arial"/>
        <family val="2"/>
      </rPr>
      <t>1</t>
    </r>
    <r>
      <rPr>
        <sz val="8"/>
        <color rgb="FF181717"/>
        <rFont val="Arial"/>
        <family val="2"/>
      </rPr>
      <t>⁄</t>
    </r>
    <r>
      <rPr>
        <vertAlign val="subscript"/>
        <sz val="7"/>
        <color rgb="FF181717"/>
        <rFont val="Arial"/>
        <family val="2"/>
      </rPr>
      <t>8</t>
    </r>
    <r>
      <rPr>
        <sz val="8"/>
        <color rgb="FF181717"/>
        <rFont val="Arial"/>
        <family val="2"/>
      </rPr>
      <t>”</t>
    </r>
  </si>
  <si>
    <t>45B46</t>
  </si>
  <si>
    <t>Pyrite, Pellets</t>
  </si>
  <si>
    <t>125C26</t>
  </si>
  <si>
    <r>
      <t xml:space="preserve">Quartz, </t>
    </r>
    <r>
      <rPr>
        <vertAlign val="superscript"/>
        <sz val="7"/>
        <color rgb="FF181717"/>
        <rFont val="Arial"/>
        <family val="2"/>
      </rPr>
      <t>1</t>
    </r>
    <r>
      <rPr>
        <sz val="8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2</t>
    </r>
    <r>
      <rPr>
        <sz val="8"/>
        <color rgb="FF181717"/>
        <rFont val="Arial"/>
        <family val="2"/>
      </rPr>
      <t>” (Silicon Dioxide)</t>
    </r>
  </si>
  <si>
    <t>Quartz,100 Mesh (Silicon Dioxide)</t>
  </si>
  <si>
    <t>75A27</t>
  </si>
  <si>
    <t>Rape Seed Meal (Canola)</t>
  </si>
  <si>
    <t>Rice, Bran</t>
  </si>
  <si>
    <t>20B35NY</t>
  </si>
  <si>
    <t>Rice, Grits</t>
  </si>
  <si>
    <t>44B35P</t>
  </si>
  <si>
    <t>Rice, Hulled</t>
  </si>
  <si>
    <t>47C25P</t>
  </si>
  <si>
    <t>Rice, Hulls</t>
  </si>
  <si>
    <t>21B35NY</t>
  </si>
  <si>
    <t>Rice, Polished</t>
  </si>
  <si>
    <t>30C15P</t>
  </si>
  <si>
    <t>Rice, Rough</t>
  </si>
  <si>
    <t>34C35N</t>
  </si>
  <si>
    <r>
      <t xml:space="preserve">Rosin, </t>
    </r>
    <r>
      <rPr>
        <vertAlign val="superscript"/>
        <sz val="7"/>
        <color rgb="FF181717"/>
        <rFont val="Arial"/>
        <family val="2"/>
      </rPr>
      <t>1</t>
    </r>
    <r>
      <rPr>
        <sz val="8"/>
        <color rgb="FF181717"/>
        <rFont val="Arial"/>
        <family val="2"/>
      </rPr>
      <t>⁄</t>
    </r>
    <r>
      <rPr>
        <vertAlign val="subscript"/>
        <sz val="7"/>
        <color rgb="FF181717"/>
        <rFont val="Arial"/>
        <family val="2"/>
      </rPr>
      <t>2</t>
    </r>
    <r>
      <rPr>
        <sz val="8"/>
        <color rgb="FF181717"/>
        <rFont val="Arial"/>
        <family val="2"/>
      </rPr>
      <t>”</t>
    </r>
  </si>
  <si>
    <t>67C45Q</t>
  </si>
  <si>
    <t>Rubber, Pelleted</t>
  </si>
  <si>
    <t>53D45</t>
  </si>
  <si>
    <t>Rubber, Reclaimed Ground</t>
  </si>
  <si>
    <t>37C45</t>
  </si>
  <si>
    <t>Rye</t>
  </si>
  <si>
    <t>Rye Bran</t>
  </si>
  <si>
    <t>18B35Y</t>
  </si>
  <si>
    <t>Rye Feed</t>
  </si>
  <si>
    <t>33B35N</t>
  </si>
  <si>
    <t>Rye Meal</t>
  </si>
  <si>
    <t>38B35</t>
  </si>
  <si>
    <t>Rye Middlings</t>
  </si>
  <si>
    <t>42B35</t>
  </si>
  <si>
    <t>Rye, Shorts</t>
  </si>
  <si>
    <t>33C35</t>
  </si>
  <si>
    <t>Safflower Seed (Saffron)</t>
  </si>
  <si>
    <t>Safflower, Cake (Saffron)</t>
  </si>
  <si>
    <t>50D26</t>
  </si>
  <si>
    <t>Safflower, Meal (Saffron)</t>
  </si>
  <si>
    <t>Saffron (see Safflower)</t>
  </si>
  <si>
    <t>Sal Ammoniac (Ammonium Chloride)</t>
  </si>
  <si>
    <t>Salicylic Acid</t>
  </si>
  <si>
    <t>29B37U</t>
  </si>
  <si>
    <t>Salt Cake, Dry Coarse (Sodium Sulfate)</t>
  </si>
  <si>
    <t>85B36TU</t>
  </si>
  <si>
    <t>Salt Cake, Dry Pulverized (Sodium Sulfate)</t>
  </si>
  <si>
    <t>75B36TU</t>
  </si>
  <si>
    <t>Salt, Dry Coarse (Sodium Chloride)</t>
  </si>
  <si>
    <t>53C36TU</t>
  </si>
  <si>
    <t>Salt, Dry Fine (Sodium Chloride)</t>
  </si>
  <si>
    <t>Saltpeter (see Potassium Nitrate)</t>
  </si>
  <si>
    <t>Sand (Resin Coated) Silica</t>
  </si>
  <si>
    <t>104B27</t>
  </si>
  <si>
    <t>Sand (Resin Coated) Zircon</t>
  </si>
  <si>
    <t>115A27</t>
  </si>
  <si>
    <t>Sand Dry Bank (Damp)</t>
  </si>
  <si>
    <t>120B47</t>
  </si>
  <si>
    <t>Sand Dry Bank (Dry)</t>
  </si>
  <si>
    <t>100B37</t>
  </si>
  <si>
    <t>Sand Dry Silica</t>
  </si>
  <si>
    <t>95B27</t>
  </si>
  <si>
    <t>Sand Foundry (Shake Out)</t>
  </si>
  <si>
    <t>Sawdust, Dry</t>
  </si>
  <si>
    <t>12B45UX</t>
  </si>
  <si>
    <t>Sea-Coal</t>
  </si>
  <si>
    <t>65B36</t>
  </si>
  <si>
    <t>Sesame Seed</t>
  </si>
  <si>
    <t>34B26</t>
  </si>
  <si>
    <t>Shale, Crushed</t>
  </si>
  <si>
    <t>88C36</t>
  </si>
  <si>
    <t>Shellac, Powdered or Granulated</t>
  </si>
  <si>
    <t>31B35P</t>
  </si>
  <si>
    <r>
      <t xml:space="preserve">Silica Gel, </t>
    </r>
    <r>
      <rPr>
        <vertAlign val="superscript"/>
        <sz val="7"/>
        <color rgb="FF181717"/>
        <rFont val="Arial"/>
        <family val="2"/>
      </rPr>
      <t>1</t>
    </r>
    <r>
      <rPr>
        <sz val="8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2</t>
    </r>
    <r>
      <rPr>
        <sz val="8"/>
        <color rgb="FF181717"/>
        <rFont val="Arial"/>
        <family val="2"/>
      </rPr>
      <t>” to 3”</t>
    </r>
  </si>
  <si>
    <t>45D37HKQU</t>
  </si>
  <si>
    <t>Silica, Flour</t>
  </si>
  <si>
    <t>80A46</t>
  </si>
  <si>
    <t>Silicon Dioxide (see Quartz)</t>
  </si>
  <si>
    <t>Slag, Blast Furnace Crushed</t>
  </si>
  <si>
    <t>155D37Y</t>
  </si>
  <si>
    <t>Slag, Furnace Granular, Dry</t>
  </si>
  <si>
    <t>63C37</t>
  </si>
  <si>
    <r>
      <t xml:space="preserve">Slate, Crushed, </t>
    </r>
    <r>
      <rPr>
        <vertAlign val="superscript"/>
        <sz val="7"/>
        <color rgb="FF181717"/>
        <rFont val="Arial"/>
        <family val="2"/>
      </rPr>
      <t>1</t>
    </r>
    <r>
      <rPr>
        <sz val="8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2</t>
    </r>
    <r>
      <rPr>
        <sz val="8"/>
        <color rgb="FF181717"/>
        <rFont val="Arial"/>
        <family val="2"/>
      </rPr>
      <t>”</t>
    </r>
  </si>
  <si>
    <t>85C36</t>
  </si>
  <si>
    <r>
      <t xml:space="preserve">Slate, Ground, </t>
    </r>
    <r>
      <rPr>
        <vertAlign val="superscript"/>
        <sz val="7"/>
        <color rgb="FF181717"/>
        <rFont val="Arial"/>
        <family val="2"/>
      </rPr>
      <t>1</t>
    </r>
    <r>
      <rPr>
        <sz val="8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8</t>
    </r>
    <r>
      <rPr>
        <sz val="8"/>
        <color rgb="FF181717"/>
        <rFont val="Arial"/>
        <family val="2"/>
      </rPr>
      <t>”</t>
    </r>
  </si>
  <si>
    <t>84B36</t>
  </si>
  <si>
    <t>Sludge, Sewage, Dried</t>
  </si>
  <si>
    <t>45E47TW</t>
  </si>
  <si>
    <t>Sludge, Sewage, Dry Ground</t>
  </si>
  <si>
    <t>50B46S</t>
  </si>
  <si>
    <t>Soap Detergent</t>
  </si>
  <si>
    <t>33B35FQ</t>
  </si>
  <si>
    <t>Soap, Beads or Granules</t>
  </si>
  <si>
    <t>25B35Q</t>
  </si>
  <si>
    <t>Soap, Chips</t>
  </si>
  <si>
    <t>20C35Q</t>
  </si>
  <si>
    <t>Soap, Flakes</t>
  </si>
  <si>
    <t>10B35QXY</t>
  </si>
  <si>
    <t>Soap, Powder</t>
  </si>
  <si>
    <t>23B25X</t>
  </si>
  <si>
    <t>Soapstone, Talc, Fine</t>
  </si>
  <si>
    <t>45A45XY</t>
  </si>
  <si>
    <t>Soda Ash, Heavy (Sodium Carbonate)</t>
  </si>
  <si>
    <t>Soda Ash, Light (Sodium Carbonate)</t>
  </si>
  <si>
    <t>28A36Y</t>
  </si>
  <si>
    <t>Sodium Aluminate, Ground</t>
  </si>
  <si>
    <t>72B36</t>
  </si>
  <si>
    <t>Sodium Aluminum Fluoride (see Cryolite)</t>
  </si>
  <si>
    <t>Sodium Aluminum Sulphate**</t>
  </si>
  <si>
    <t>75A36</t>
  </si>
  <si>
    <t>Sodium Bentonite (see Bentonite)</t>
  </si>
  <si>
    <t>Sodium Bicarbonate (Baking Soda)</t>
  </si>
  <si>
    <t>Sodium Borate (see Borax)</t>
  </si>
  <si>
    <t>Sodium Carbonate (see Soda Ash)</t>
  </si>
  <si>
    <t>Sodium Chloride (see Salt)</t>
  </si>
  <si>
    <t>Sodium Hydroxide (see Caustic Soda)</t>
  </si>
  <si>
    <t>Sodium Nitrate</t>
  </si>
  <si>
    <t>75D25NS</t>
  </si>
  <si>
    <t>Sodium Phosphate</t>
  </si>
  <si>
    <t>Sodium Sulfate (see Salt Cake)</t>
  </si>
  <si>
    <t>Sodium Sulfite</t>
  </si>
  <si>
    <t>96B46X</t>
  </si>
  <si>
    <t>Sodium, Hydrate (see Caustic Soda)</t>
  </si>
  <si>
    <t>Sorghum, Seed (see Kafir or Milo)</t>
  </si>
  <si>
    <t>Soybean Meal Hot</t>
  </si>
  <si>
    <t>40B35T</t>
  </si>
  <si>
    <t>Soybean Meal, Cold</t>
  </si>
  <si>
    <t>40B35</t>
  </si>
  <si>
    <t>Soybean, Cake</t>
  </si>
  <si>
    <t>42D35W</t>
  </si>
  <si>
    <t>2A,1B,1C</t>
  </si>
  <si>
    <t>MATERIAL</t>
  </si>
  <si>
    <t>MATERIAL CLASS CODE</t>
  </si>
  <si>
    <t>CONVEY LOADING</t>
  </si>
  <si>
    <t>COMPONENT GROUP</t>
  </si>
  <si>
    <t>WEIGHT (LBS/CF)</t>
  </si>
  <si>
    <t>MATERIAL FACTOR</t>
  </si>
  <si>
    <t>VERT.*</t>
  </si>
  <si>
    <t>MIN</t>
  </si>
  <si>
    <t>MAX</t>
  </si>
  <si>
    <t>AVG</t>
  </si>
  <si>
    <t>* Products capable of being conveyed vertically. Those listed as "?" typically require a closer look and a modified design.</t>
  </si>
  <si>
    <t>CATEGORY</t>
  </si>
  <si>
    <t>MATERIAL CHARACTERISTICS</t>
  </si>
  <si>
    <t>CODE DESIGNATION</t>
  </si>
  <si>
    <t>Required Capacity</t>
  </si>
  <si>
    <t>Screw diameter</t>
  </si>
  <si>
    <t>Percent trough load</t>
  </si>
  <si>
    <r>
      <t>SPECIAL SCREW PITCH CAPACITY FACTOR CF</t>
    </r>
    <r>
      <rPr>
        <b/>
        <vertAlign val="subscript"/>
        <sz val="7.5"/>
        <color rgb="FFFFFEFD"/>
        <rFont val="Calibri"/>
        <family val="2"/>
        <scheme val="minor"/>
      </rPr>
      <t>1</t>
    </r>
  </si>
  <si>
    <t>PITCH</t>
  </si>
  <si>
    <t>DESCRIPTION</t>
  </si>
  <si>
    <r>
      <t>CF</t>
    </r>
    <r>
      <rPr>
        <b/>
        <vertAlign val="subscript"/>
        <sz val="7.5"/>
        <color rgb="FF181717"/>
        <rFont val="Calibri"/>
        <family val="2"/>
        <scheme val="minor"/>
      </rPr>
      <t>1</t>
    </r>
  </si>
  <si>
    <t>Standard (full)</t>
  </si>
  <si>
    <t>Short</t>
  </si>
  <si>
    <t>Half</t>
  </si>
  <si>
    <t>Long</t>
  </si>
  <si>
    <r>
      <t>SPECIAL SCREW FLIGHT MODIFICATION CAPACITY FACTOR CF</t>
    </r>
    <r>
      <rPr>
        <b/>
        <vertAlign val="subscript"/>
        <sz val="7.5"/>
        <color rgb="FFFFFEFD"/>
        <rFont val="Calibri"/>
        <family val="2"/>
        <scheme val="minor"/>
      </rPr>
      <t>2</t>
    </r>
  </si>
  <si>
    <t>TYPE OF FLIGHT</t>
  </si>
  <si>
    <t>CONVEYOR LOADING</t>
  </si>
  <si>
    <t>Standard</t>
  </si>
  <si>
    <t>Cut</t>
  </si>
  <si>
    <t>Cut &amp; Folded</t>
  </si>
  <si>
    <t>Ribbon</t>
  </si>
  <si>
    <r>
      <t>SPECIAL SCREW MIXING PADDLE CAPACITY FACTOR CF</t>
    </r>
    <r>
      <rPr>
        <b/>
        <vertAlign val="subscript"/>
        <sz val="7.5"/>
        <color rgb="FFFFFEFD"/>
        <rFont val="Calibri"/>
        <family val="2"/>
        <scheme val="minor"/>
      </rPr>
      <t>3</t>
    </r>
  </si>
  <si>
    <r>
      <t>STD PADDLES PER PITCH SET AT 45</t>
    </r>
    <r>
      <rPr>
        <sz val="12"/>
        <color rgb="FF181717"/>
        <rFont val="Arial"/>
        <family val="2"/>
      </rPr>
      <t>°</t>
    </r>
    <r>
      <rPr>
        <b/>
        <sz val="9"/>
        <color rgb="FF181717"/>
        <rFont val="Calibri"/>
        <family val="2"/>
        <scheme val="minor"/>
      </rPr>
      <t xml:space="preserve"> REVERSE PITCH</t>
    </r>
  </si>
  <si>
    <t>Table C</t>
  </si>
  <si>
    <t>not rec.</t>
  </si>
  <si>
    <t>PERCENT</t>
  </si>
  <si>
    <t>TROUGH LOAD</t>
  </si>
  <si>
    <t>SCREW DIAMETER</t>
  </si>
  <si>
    <t>MAXIMUM</t>
  </si>
  <si>
    <t>RECOMMENDED RPM</t>
  </si>
  <si>
    <r>
      <t>CAPACITY (FT</t>
    </r>
    <r>
      <rPr>
        <b/>
        <vertAlign val="superscript"/>
        <sz val="7"/>
        <color rgb="FF181717"/>
        <rFont val="Calibri"/>
        <family val="2"/>
        <scheme val="minor"/>
      </rPr>
      <t>3</t>
    </r>
    <r>
      <rPr>
        <b/>
        <sz val="8"/>
        <color rgb="FF181717"/>
        <rFont val="Calibri"/>
        <family val="2"/>
        <scheme val="minor"/>
      </rPr>
      <t>/HR) AT MAX RPM</t>
    </r>
  </si>
  <si>
    <r>
      <t>CAPACITY (FT</t>
    </r>
    <r>
      <rPr>
        <b/>
        <vertAlign val="superscript"/>
        <sz val="7"/>
        <color rgb="FF181717"/>
        <rFont val="Calibri"/>
        <family val="2"/>
        <scheme val="minor"/>
      </rPr>
      <t>3</t>
    </r>
    <r>
      <rPr>
        <b/>
        <sz val="8"/>
        <color rgb="FF181717"/>
        <rFont val="Calibri"/>
        <family val="2"/>
        <scheme val="minor"/>
      </rPr>
      <t>/HR) PER RPM</t>
    </r>
  </si>
  <si>
    <t>30% A</t>
  </si>
  <si>
    <t>30% B</t>
  </si>
  <si>
    <t>300*</t>
  </si>
  <si>
    <t>275*</t>
  </si>
  <si>
    <t>255*</t>
  </si>
  <si>
    <t>240*</t>
  </si>
  <si>
    <t>220*</t>
  </si>
  <si>
    <t>210*</t>
  </si>
  <si>
    <t>190*</t>
  </si>
  <si>
    <t>170*</t>
  </si>
  <si>
    <t>115*</t>
  </si>
  <si>
    <t>70*</t>
  </si>
  <si>
    <t>Table D</t>
  </si>
  <si>
    <t>CF1</t>
  </si>
  <si>
    <t>CF2</t>
  </si>
  <si>
    <t>CF3</t>
  </si>
  <si>
    <t>30%A</t>
  </si>
  <si>
    <t>Custom 3/4</t>
  </si>
  <si>
    <t>Custom</t>
  </si>
  <si>
    <t xml:space="preserve">Pitch </t>
  </si>
  <si>
    <t>Diam</t>
  </si>
  <si>
    <t>Pitch</t>
  </si>
  <si>
    <t>Flight data</t>
  </si>
  <si>
    <t>Flight thick</t>
  </si>
  <si>
    <t>Type</t>
  </si>
  <si>
    <t>Paddles</t>
  </si>
  <si>
    <t>Value</t>
  </si>
  <si>
    <t>[Units 1]</t>
  </si>
  <si>
    <t>[Units 2]</t>
  </si>
  <si>
    <t xml:space="preserve">Equivalent Capacity </t>
  </si>
  <si>
    <t>Equivalent Capacity</t>
  </si>
  <si>
    <t>Capacity per rpm</t>
  </si>
  <si>
    <t>SCREW DIA (INCHES)</t>
  </si>
  <si>
    <t>PIPE OD (INCHES)</t>
  </si>
  <si>
    <t xml:space="preserve">RADIAL </t>
  </si>
  <si>
    <t xml:space="preserve">CLEARANCE </t>
  </si>
  <si>
    <t>(INCHES)</t>
  </si>
  <si>
    <t xml:space="preserve">CLASS 1 </t>
  </si>
  <si>
    <t>10% LUMPS MAX LUMP SIZE (IN)</t>
  </si>
  <si>
    <t xml:space="preserve">CLASS 2 </t>
  </si>
  <si>
    <t>25% LUMPS MAX LUMP SIZE (IN)</t>
  </si>
  <si>
    <t xml:space="preserve">CLASS 3 </t>
  </si>
  <si>
    <t>95% LUMPS MAX LUMP SIZE (IN)</t>
  </si>
  <si>
    <r>
      <t xml:space="preserve">2 </t>
    </r>
    <r>
      <rPr>
        <sz val="4.5"/>
        <color rgb="FF181717"/>
        <rFont val="Arial"/>
        <family val="2"/>
      </rPr>
      <t>3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8</t>
    </r>
  </si>
  <si>
    <r>
      <t xml:space="preserve">2 </t>
    </r>
    <r>
      <rPr>
        <sz val="4.5"/>
        <color rgb="FF181717"/>
        <rFont val="Arial"/>
        <family val="2"/>
      </rPr>
      <t>5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16</t>
    </r>
  </si>
  <si>
    <r>
      <t xml:space="preserve">1 </t>
    </r>
    <r>
      <rPr>
        <sz val="4.5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4</t>
    </r>
  </si>
  <si>
    <r>
      <t>3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4</t>
    </r>
  </si>
  <si>
    <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2</t>
    </r>
  </si>
  <si>
    <r>
      <t xml:space="preserve">3 </t>
    </r>
    <r>
      <rPr>
        <vertAlign val="superscript"/>
        <sz val="7"/>
        <color rgb="FF181717"/>
        <rFont val="Arial"/>
        <family val="2"/>
      </rPr>
      <t>13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16</t>
    </r>
  </si>
  <si>
    <r>
      <t xml:space="preserve">2 </t>
    </r>
    <r>
      <rPr>
        <sz val="4.5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4</t>
    </r>
  </si>
  <si>
    <r>
      <t xml:space="preserve">1 </t>
    </r>
    <r>
      <rPr>
        <sz val="4.5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2</t>
    </r>
  </si>
  <si>
    <r>
      <t xml:space="preserve">2 </t>
    </r>
    <r>
      <rPr>
        <sz val="4.5"/>
        <color rgb="FF181717"/>
        <rFont val="Arial"/>
        <family val="2"/>
      </rPr>
      <t>7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8</t>
    </r>
  </si>
  <si>
    <r>
      <t xml:space="preserve">3 </t>
    </r>
    <r>
      <rPr>
        <vertAlign val="superscript"/>
        <sz val="7"/>
        <color rgb="FF181717"/>
        <rFont val="Arial"/>
        <family val="2"/>
      </rPr>
      <t>9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16</t>
    </r>
  </si>
  <si>
    <r>
      <t xml:space="preserve">5 </t>
    </r>
    <r>
      <rPr>
        <sz val="4.5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16</t>
    </r>
  </si>
  <si>
    <r>
      <t xml:space="preserve">2 </t>
    </r>
    <r>
      <rPr>
        <sz val="4.5"/>
        <color rgb="FF181717"/>
        <rFont val="Arial"/>
        <family val="2"/>
      </rPr>
      <t>3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4</t>
    </r>
  </si>
  <si>
    <r>
      <t xml:space="preserve">3 </t>
    </r>
    <r>
      <rPr>
        <vertAlign val="superscript"/>
        <sz val="7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2</t>
    </r>
  </si>
  <si>
    <r>
      <t xml:space="preserve">4 </t>
    </r>
    <r>
      <rPr>
        <sz val="4.5"/>
        <color rgb="FF181717"/>
        <rFont val="Arial"/>
        <family val="2"/>
      </rPr>
      <t>3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4</t>
    </r>
  </si>
  <si>
    <r>
      <t xml:space="preserve">4 </t>
    </r>
    <r>
      <rPr>
        <sz val="4.5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2</t>
    </r>
  </si>
  <si>
    <r>
      <t xml:space="preserve">5 </t>
    </r>
    <r>
      <rPr>
        <sz val="4.5"/>
        <color rgb="FF181717"/>
        <rFont val="Arial"/>
        <family val="2"/>
      </rPr>
      <t>3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4</t>
    </r>
  </si>
  <si>
    <r>
      <t xml:space="preserve">3 </t>
    </r>
    <r>
      <rPr>
        <vertAlign val="superscript"/>
        <sz val="7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4</t>
    </r>
  </si>
  <si>
    <r>
      <t xml:space="preserve">2 </t>
    </r>
    <r>
      <rPr>
        <sz val="4.5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2</t>
    </r>
  </si>
  <si>
    <r>
      <t xml:space="preserve">5 </t>
    </r>
    <r>
      <rPr>
        <sz val="4.5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2</t>
    </r>
  </si>
  <si>
    <r>
      <t xml:space="preserve">5 </t>
    </r>
    <r>
      <rPr>
        <sz val="4.5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4</t>
    </r>
  </si>
  <si>
    <r>
      <t xml:space="preserve">6 </t>
    </r>
    <r>
      <rPr>
        <sz val="4.5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2</t>
    </r>
  </si>
  <si>
    <r>
      <t xml:space="preserve">3 </t>
    </r>
    <r>
      <rPr>
        <vertAlign val="superscript"/>
        <sz val="7"/>
        <color rgb="FF181717"/>
        <rFont val="Arial"/>
        <family val="2"/>
      </rPr>
      <t>3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4</t>
    </r>
  </si>
  <si>
    <r>
      <t xml:space="preserve">6 </t>
    </r>
    <r>
      <rPr>
        <sz val="4.5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4</t>
    </r>
  </si>
  <si>
    <r>
      <t xml:space="preserve">5 </t>
    </r>
    <r>
      <rPr>
        <sz val="4.5"/>
        <color rgb="FF181717"/>
        <rFont val="Arial"/>
        <family val="2"/>
      </rPr>
      <t>9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16</t>
    </r>
  </si>
  <si>
    <r>
      <t xml:space="preserve">5 </t>
    </r>
    <r>
      <rPr>
        <sz val="4.5"/>
        <color rgb="FF181717"/>
        <rFont val="Arial"/>
        <family val="2"/>
      </rPr>
      <t>23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32</t>
    </r>
  </si>
  <si>
    <r>
      <t xml:space="preserve">7 </t>
    </r>
    <r>
      <rPr>
        <sz val="4.5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2</t>
    </r>
  </si>
  <si>
    <r>
      <t xml:space="preserve">4 </t>
    </r>
    <r>
      <rPr>
        <sz val="4.5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4</t>
    </r>
  </si>
  <si>
    <r>
      <t xml:space="preserve">1 </t>
    </r>
    <r>
      <rPr>
        <sz val="4.5"/>
        <color rgb="FF181717"/>
        <rFont val="Arial"/>
        <family val="2"/>
      </rPr>
      <t>3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4</t>
    </r>
  </si>
  <si>
    <r>
      <t xml:space="preserve">7 </t>
    </r>
    <r>
      <rPr>
        <sz val="4.5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4</t>
    </r>
  </si>
  <si>
    <r>
      <t xml:space="preserve">6 </t>
    </r>
    <r>
      <rPr>
        <sz val="4.5"/>
        <color rgb="FF181717"/>
        <rFont val="Arial"/>
        <family val="2"/>
      </rPr>
      <t>23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32</t>
    </r>
  </si>
  <si>
    <r>
      <t xml:space="preserve">8 </t>
    </r>
    <r>
      <rPr>
        <sz val="4.5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2</t>
    </r>
  </si>
  <si>
    <r>
      <t xml:space="preserve">8 </t>
    </r>
    <r>
      <rPr>
        <sz val="4.5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4</t>
    </r>
  </si>
  <si>
    <r>
      <t xml:space="preserve">7 </t>
    </r>
    <r>
      <rPr>
        <sz val="4.5"/>
        <color rgb="FF181717"/>
        <rFont val="Arial"/>
        <family val="2"/>
      </rPr>
      <t>23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32</t>
    </r>
  </si>
  <si>
    <r>
      <t xml:space="preserve">10 </t>
    </r>
    <r>
      <rPr>
        <vertAlign val="superscript"/>
        <sz val="7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vertAlign val="subscript"/>
        <sz val="7"/>
        <color rgb="FF181717"/>
        <rFont val="Arial"/>
        <family val="2"/>
      </rPr>
      <t>4</t>
    </r>
  </si>
  <si>
    <r>
      <t xml:space="preserve">9 </t>
    </r>
    <r>
      <rPr>
        <sz val="4.5"/>
        <color rgb="FF181717"/>
        <rFont val="Arial"/>
        <family val="2"/>
      </rPr>
      <t>23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32</t>
    </r>
  </si>
  <si>
    <t>Table E</t>
  </si>
  <si>
    <t>Length of conveyor</t>
  </si>
  <si>
    <t>Capacity by</t>
  </si>
  <si>
    <t>CAPACITY BY REQUIRED RPM</t>
  </si>
  <si>
    <t>CAPACITY BY REQUIRED FLOW</t>
  </si>
  <si>
    <t>RETENTION TIME</t>
  </si>
  <si>
    <t>Length one pitch</t>
  </si>
  <si>
    <t>Time</t>
  </si>
  <si>
    <t>POWER</t>
  </si>
  <si>
    <t>Density of material</t>
  </si>
  <si>
    <t>Material Factor</t>
  </si>
  <si>
    <t>Hanger bearing HP Factor</t>
  </si>
  <si>
    <t>Flighting modification HP factor</t>
  </si>
  <si>
    <t>Paddle HP factor</t>
  </si>
  <si>
    <t>Overload HP factor</t>
  </si>
  <si>
    <t>Drive effic.</t>
  </si>
  <si>
    <t>Material code</t>
  </si>
  <si>
    <t>Friction HP</t>
  </si>
  <si>
    <t>Material HP</t>
  </si>
  <si>
    <t>Total HP</t>
  </si>
  <si>
    <t>Table G1</t>
  </si>
  <si>
    <t>V-belts and Sheaves</t>
  </si>
  <si>
    <t>Precision Roller Chain on Cut Tooth Sprockets, Open Guard</t>
  </si>
  <si>
    <t>Precision Roller Chain on Cut Tooth Sprockets, Oil Tight Casing</t>
  </si>
  <si>
    <t>Single Reduction Helical Gear Shaft Mounted Speed Reducers and Screw Conveyor Drives</t>
  </si>
  <si>
    <t>Double Reduction Helical Gear Shaft Mounted Speed Reducers and Screw Conveyor Drives</t>
  </si>
  <si>
    <t>Triple Reduction Helical Gear Shaft Mounted Speed Reducers and Screw Conveyor Drives</t>
  </si>
  <si>
    <t>Low Ratio (up to 20:1 range) Enclosed Worm Gear Speed Reducers</t>
  </si>
  <si>
    <t>Medium Ratio (20:1 to 60:1 range) Enclosed Worm Gear Speed Reducers</t>
  </si>
  <si>
    <t>High Ratio (over 60:1 to 100:1 range) Enclosed Worm Gear Speed Reducers</t>
  </si>
  <si>
    <t>Cut Tooth Miter or Bevel Gear, Enclosed Countershaft Box Ends</t>
  </si>
  <si>
    <t>Cut Tooth Spur Gears, Enclosed, for Each Reduction</t>
  </si>
  <si>
    <t>Cut Tooth Miter or Bevel Gear Open Type Countershaft Box Ends</t>
  </si>
  <si>
    <t>Cut Tooth Spur Gears, Open for Each Reduction</t>
  </si>
  <si>
    <t>Cast Tooth Spur Gears, Open for Each Reduction</t>
  </si>
  <si>
    <t>Table H</t>
  </si>
  <si>
    <t xml:space="preserve">TYPE OF </t>
  </si>
  <si>
    <t>FLIGHTING</t>
  </si>
  <si>
    <t>NR</t>
  </si>
  <si>
    <t>Table J</t>
  </si>
  <si>
    <t>Table K</t>
  </si>
  <si>
    <t>SCREW DIA.</t>
  </si>
  <si>
    <r>
      <t>F</t>
    </r>
    <r>
      <rPr>
        <b/>
        <vertAlign val="subscript"/>
        <sz val="7.5"/>
        <color rgb="FF181717"/>
        <rFont val="Arial"/>
        <family val="2"/>
      </rPr>
      <t>D</t>
    </r>
  </si>
  <si>
    <t>Table L</t>
  </si>
  <si>
    <t>Ball</t>
  </si>
  <si>
    <t>B &amp; C</t>
  </si>
  <si>
    <t>Babbitt</t>
  </si>
  <si>
    <t>Bronze</t>
  </si>
  <si>
    <t>Bronze (oil impregnated)</t>
  </si>
  <si>
    <t>Bronze w/Graphite Plugs Canvas Based Phenolic</t>
  </si>
  <si>
    <t>Ertalyte</t>
  </si>
  <si>
    <t>Plastic Resin</t>
  </si>
  <si>
    <t>Ryertex</t>
  </si>
  <si>
    <t>Teflon</t>
  </si>
  <si>
    <t>UHMW</t>
  </si>
  <si>
    <t>Wood (oil impregnated)</t>
  </si>
  <si>
    <t>Req's hardened cplg shaft</t>
  </si>
  <si>
    <t>Chilled Hard Iron</t>
  </si>
  <si>
    <t>Hardened Alloy Sleeve</t>
  </si>
  <si>
    <t>Stellite</t>
  </si>
  <si>
    <t>BEARING TYPE</t>
  </si>
  <si>
    <r>
      <t>FACTOR F</t>
    </r>
    <r>
      <rPr>
        <b/>
        <vertAlign val="subscript"/>
        <sz val="7.5"/>
        <color rgb="FF181717"/>
        <rFont val="Calibri"/>
        <family val="2"/>
        <scheme val="minor"/>
      </rPr>
      <t>B</t>
    </r>
  </si>
  <si>
    <t>Table M</t>
  </si>
  <si>
    <t>Bearing type</t>
  </si>
  <si>
    <t>Conveyor diameter HP Factor</t>
  </si>
  <si>
    <t>Required Capacity (mass flow)</t>
  </si>
  <si>
    <t>Density</t>
  </si>
  <si>
    <t>Conveyor data</t>
  </si>
  <si>
    <t>Material</t>
  </si>
  <si>
    <t>Conveyor</t>
  </si>
  <si>
    <t>SHAFT  SIZE DIA</t>
  </si>
  <si>
    <t>BOLTS PER COUPLING</t>
  </si>
  <si>
    <t>SECTIONAL SCREW FLIGHT THICKNESS*</t>
  </si>
  <si>
    <t xml:space="preserve">TROUGH </t>
  </si>
  <si>
    <t>THICKNESS</t>
  </si>
  <si>
    <t xml:space="preserve">COVER </t>
  </si>
  <si>
    <t xml:space="preserve">  LIGHT DUTY SERVICE: COMPONENT GROUPS 1A, 1B &amp; 1C</t>
  </si>
  <si>
    <t>2-bolt</t>
  </si>
  <si>
    <t>10 ga</t>
  </si>
  <si>
    <t>16 ga</t>
  </si>
  <si>
    <t>14 ga</t>
  </si>
  <si>
    <r>
      <t>3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16</t>
    </r>
  </si>
  <si>
    <t>12 ga</t>
  </si>
  <si>
    <r>
      <t xml:space="preserve">2 </t>
    </r>
    <r>
      <rPr>
        <sz val="4.5"/>
        <color rgb="FF181717"/>
        <rFont val="Arial"/>
        <family val="2"/>
      </rPr>
      <t>7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16</t>
    </r>
  </si>
  <si>
    <r>
      <t xml:space="preserve">3 </t>
    </r>
    <r>
      <rPr>
        <vertAlign val="superscript"/>
        <sz val="7"/>
        <color rgb="FF181717"/>
        <rFont val="Arial"/>
        <family val="2"/>
      </rPr>
      <t>7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16</t>
    </r>
  </si>
  <si>
    <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4</t>
    </r>
  </si>
  <si>
    <t>Standard Duty Service: Component Groups 2A, 2B, 2C &amp; 2D</t>
  </si>
  <si>
    <t>2-bolt or 3-bolt</t>
  </si>
  <si>
    <r>
      <t xml:space="preserve">3 </t>
    </r>
    <r>
      <rPr>
        <vertAlign val="superscript"/>
        <sz val="7"/>
        <color rgb="FF181717"/>
        <rFont val="Arial"/>
        <family val="2"/>
      </rPr>
      <t>15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16</t>
    </r>
  </si>
  <si>
    <r>
      <t>3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8</t>
    </r>
  </si>
  <si>
    <t>36**</t>
  </si>
  <si>
    <r>
      <t xml:space="preserve">4 </t>
    </r>
    <r>
      <rPr>
        <sz val="4.5"/>
        <color rgb="FF181717"/>
        <rFont val="Arial"/>
        <family val="2"/>
      </rPr>
      <t>7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16</t>
    </r>
  </si>
  <si>
    <t xml:space="preserve">  Heavy Duty Service: Component Groups 3A, 3B &amp; 3D</t>
  </si>
  <si>
    <t>3-bolt</t>
  </si>
  <si>
    <r>
      <t>3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16</t>
    </r>
    <r>
      <rPr>
        <sz val="8.5"/>
        <color rgb="FF181717"/>
        <rFont val="Arial"/>
        <family val="2"/>
      </rPr>
      <t xml:space="preserve"> or </t>
    </r>
    <r>
      <rPr>
        <sz val="4.5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4</t>
    </r>
  </si>
  <si>
    <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4</t>
    </r>
    <r>
      <rPr>
        <sz val="8.5"/>
        <color rgb="FF181717"/>
        <rFont val="Arial"/>
        <family val="2"/>
      </rPr>
      <t xml:space="preserve"> or </t>
    </r>
    <r>
      <rPr>
        <sz val="4.5"/>
        <color rgb="FF181717"/>
        <rFont val="Arial"/>
        <family val="2"/>
      </rPr>
      <t>3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8</t>
    </r>
  </si>
  <si>
    <t>14 or 12 ga</t>
  </si>
  <si>
    <r>
      <t>3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8</t>
    </r>
    <r>
      <rPr>
        <sz val="8.5"/>
        <color rgb="FF181717"/>
        <rFont val="Arial"/>
        <family val="2"/>
      </rPr>
      <t xml:space="preserve"> or </t>
    </r>
    <r>
      <rPr>
        <sz val="4.5"/>
        <color rgb="FF181717"/>
        <rFont val="Arial"/>
        <family val="2"/>
      </rPr>
      <t>1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2</t>
    </r>
  </si>
  <si>
    <t>12 or 10 ga</t>
  </si>
  <si>
    <t xml:space="preserve"> 36**</t>
  </si>
  <si>
    <r>
      <t xml:space="preserve">4 </t>
    </r>
    <r>
      <rPr>
        <sz val="4.5"/>
        <color rgb="FF181717"/>
        <rFont val="Arial"/>
        <family val="2"/>
      </rPr>
      <t>15</t>
    </r>
    <r>
      <rPr>
        <sz val="8.5"/>
        <color rgb="FF181717"/>
        <rFont val="Arial"/>
        <family val="2"/>
      </rPr>
      <t>⁄</t>
    </r>
    <r>
      <rPr>
        <sz val="4.5"/>
        <color rgb="FF181717"/>
        <rFont val="Arial"/>
        <family val="2"/>
      </rPr>
      <t>16</t>
    </r>
  </si>
  <si>
    <t>Table N</t>
  </si>
  <si>
    <t>SHAFTS*</t>
  </si>
  <si>
    <t>PIPE</t>
  </si>
  <si>
    <t>COUPLING BOLTS</t>
  </si>
  <si>
    <t>SHEAR</t>
  </si>
  <si>
    <t>LOAD BEARING</t>
  </si>
  <si>
    <t>MAT'L</t>
  </si>
  <si>
    <t>W/O PADS</t>
  </si>
  <si>
    <t>W/ PADS</t>
  </si>
  <si>
    <t>SHAFT DIA</t>
  </si>
  <si>
    <t>SS/1018**</t>
  </si>
  <si>
    <t>SS/CS***</t>
  </si>
  <si>
    <t>2-BOLT</t>
  </si>
  <si>
    <t>3-BOLT</t>
  </si>
  <si>
    <t>1-1/2"</t>
  </si>
  <si>
    <t>2" sch 40</t>
  </si>
  <si>
    <t>2" sch 80</t>
  </si>
  <si>
    <t>2-1/2" sch 40</t>
  </si>
  <si>
    <t>2-1/2" sch 80</t>
  </si>
  <si>
    <t>2"</t>
  </si>
  <si>
    <t>2-1/2" sch 80****</t>
  </si>
  <si>
    <t>3" sch 40</t>
  </si>
  <si>
    <t>3" sch 80</t>
  </si>
  <si>
    <t>3" 80/10 clad</t>
  </si>
  <si>
    <t>2-7/16"</t>
  </si>
  <si>
    <t>3-1/2" sch 40</t>
  </si>
  <si>
    <t>3-1/2" sch 80</t>
  </si>
  <si>
    <t>3-1/2" 80/10 clad</t>
  </si>
  <si>
    <t>3"</t>
  </si>
  <si>
    <t>3-1/2" sch 80****</t>
  </si>
  <si>
    <t>4" sch 40</t>
  </si>
  <si>
    <t>4" sch 80</t>
  </si>
  <si>
    <t>4" 80/10 clad</t>
  </si>
  <si>
    <t>3-7/16"</t>
  </si>
  <si>
    <t>4" sch 80****</t>
  </si>
  <si>
    <t>5" sch 40</t>
  </si>
  <si>
    <t>5" sch 80</t>
  </si>
  <si>
    <t>5" 80/10 clad</t>
  </si>
  <si>
    <t>6" sch 40</t>
  </si>
  <si>
    <t>6" sch 80</t>
  </si>
  <si>
    <t>6" 80/10 clad</t>
  </si>
  <si>
    <t>3-15/16"</t>
  </si>
  <si>
    <t>8" sch 40</t>
  </si>
  <si>
    <t>8" sch 80</t>
  </si>
  <si>
    <t>8" 80/10 clad</t>
  </si>
  <si>
    <t>4-7/16"</t>
  </si>
  <si>
    <t>4-15/16"</t>
  </si>
  <si>
    <t>Torque</t>
  </si>
  <si>
    <t>Standard power</t>
  </si>
  <si>
    <t>HP</t>
  </si>
  <si>
    <t>Closest motor HP</t>
  </si>
  <si>
    <t>Upper size motor HP</t>
  </si>
  <si>
    <t>Table H2</t>
  </si>
  <si>
    <t>Table Q1</t>
  </si>
  <si>
    <t>Table Q2</t>
  </si>
  <si>
    <t>Table Q</t>
  </si>
  <si>
    <t>Conveyor data results</t>
  </si>
  <si>
    <t>Power</t>
  </si>
  <si>
    <t>Calculations by</t>
  </si>
  <si>
    <t>Required speed</t>
  </si>
  <si>
    <t>Required mass flow</t>
  </si>
  <si>
    <t>End support?</t>
  </si>
  <si>
    <t>Yes</t>
  </si>
  <si>
    <t>ELEMENTS CALCULATION</t>
  </si>
  <si>
    <t>SCH</t>
  </si>
  <si>
    <t>Shaft</t>
  </si>
  <si>
    <t>QTY coupling bolts</t>
  </si>
  <si>
    <t>Bolt size</t>
  </si>
  <si>
    <t>Thread diameter</t>
  </si>
  <si>
    <t>Thread pitch</t>
  </si>
  <si>
    <t>Maximum operation tangential force</t>
  </si>
  <si>
    <t>Screw conveyor pipe size</t>
  </si>
  <si>
    <t>External diameter</t>
  </si>
  <si>
    <t>non-lubricated</t>
  </si>
  <si>
    <t>lubricated</t>
  </si>
  <si>
    <t>steel - steel</t>
  </si>
  <si>
    <t>steel - cast iron</t>
  </si>
  <si>
    <t>steel - brass</t>
  </si>
  <si>
    <t>cast iron - cast iron</t>
  </si>
  <si>
    <t>0.15 - 0.20</t>
  </si>
  <si>
    <t>cast iron - bronze</t>
  </si>
  <si>
    <t>bronze - bronze</t>
  </si>
  <si>
    <t>aluminum - aluminum</t>
  </si>
  <si>
    <t>copper - copper</t>
  </si>
  <si>
    <t>steel - plexiglas</t>
  </si>
  <si>
    <t>0.4 - 0.5</t>
  </si>
  <si>
    <t>plexiglas - plexiglas</t>
  </si>
  <si>
    <t>Table T</t>
  </si>
  <si>
    <t>1/4" - 20</t>
  </si>
  <si>
    <t>5/16" - 18</t>
  </si>
  <si>
    <t>3/8" - 16</t>
  </si>
  <si>
    <t>7/16" - 14</t>
  </si>
  <si>
    <t>1/2" - 13</t>
  </si>
  <si>
    <t>9/16" - 12</t>
  </si>
  <si>
    <t>5/8" - 11</t>
  </si>
  <si>
    <t>3/4" - 10</t>
  </si>
  <si>
    <t>7/8" - 9</t>
  </si>
  <si>
    <t>1" - 8</t>
  </si>
  <si>
    <t>1 1/8" - 7</t>
  </si>
  <si>
    <t>1 1/4" - 7</t>
  </si>
  <si>
    <t>1 3/8" - 6</t>
  </si>
  <si>
    <t>1 1/2" - 6</t>
  </si>
  <si>
    <t>Major Diameter</t>
  </si>
  <si>
    <t>(in)</t>
  </si>
  <si>
    <t>Threads per inch</t>
  </si>
  <si>
    <t>(tpi)</t>
  </si>
  <si>
    <t>Tap Drill Size</t>
  </si>
  <si>
    <t>(mm)</t>
  </si>
  <si>
    <t>Grade</t>
  </si>
  <si>
    <t>Lamalloy</t>
  </si>
  <si>
    <t>Proof screw load</t>
  </si>
  <si>
    <t>Bolt grade</t>
  </si>
  <si>
    <t>Bolt Safety Factor</t>
  </si>
  <si>
    <t>QTY conveyor supports</t>
  </si>
  <si>
    <t>Deflection</t>
  </si>
  <si>
    <t>Shear stress</t>
  </si>
  <si>
    <t>Bending stress</t>
  </si>
  <si>
    <t>Thickness</t>
  </si>
  <si>
    <t>Table U</t>
  </si>
  <si>
    <t>Pipe Weight per meter</t>
  </si>
  <si>
    <t>Screw conveyor weight</t>
  </si>
  <si>
    <t>Flight Weight per unit</t>
  </si>
  <si>
    <t>Moment of Inertia of pipe</t>
  </si>
  <si>
    <t>GEOMETRIC PROPERTIES</t>
  </si>
  <si>
    <t>OD [mm]</t>
  </si>
  <si>
    <t>e [mm]</t>
  </si>
  <si>
    <t>ID [mm]</t>
  </si>
  <si>
    <t>W [kg]</t>
  </si>
  <si>
    <t>I [in^4]</t>
  </si>
  <si>
    <t>Reduced stress</t>
  </si>
  <si>
    <t>Pipe Safety Factor</t>
  </si>
  <si>
    <t xml:space="preserve">Required Safety Factor </t>
  </si>
  <si>
    <t>Reduced or equivalent stress</t>
  </si>
  <si>
    <t>Design criteria</t>
  </si>
  <si>
    <t>Inclination in °</t>
  </si>
  <si>
    <t>Correction factor C</t>
  </si>
  <si>
    <t>Table V</t>
  </si>
  <si>
    <t>Cin</t>
  </si>
  <si>
    <t>Inclination</t>
  </si>
  <si>
    <t>Required RPM</t>
  </si>
  <si>
    <t>RPM</t>
  </si>
  <si>
    <t>Gatke</t>
  </si>
  <si>
    <t>Melamine</t>
  </si>
  <si>
    <t>Nylon</t>
  </si>
  <si>
    <t>Nylatron GS</t>
  </si>
  <si>
    <t>"Adipic Acid":{"MATERIAL CLASS CODE":"45A35","CONVEY LOADING":"30A","COMPONENT GROUP":"2B","WEIGHT (LBS/CF)":45,"MATERIAL FACTOR":0.5},</t>
  </si>
  <si>
    <t>Transmition data</t>
  </si>
  <si>
    <t>Primary transmition</t>
  </si>
  <si>
    <t>i M/Red.</t>
  </si>
  <si>
    <t>M/Red. # Teeth Sprocket</t>
  </si>
  <si>
    <t>Conveyor # Teeth Sprocket</t>
  </si>
  <si>
    <t>M/Red. RPM</t>
  </si>
  <si>
    <t>i Sprockets</t>
  </si>
  <si>
    <t>Conveyor RPM</t>
  </si>
  <si>
    <t>M/Red. Reference</t>
  </si>
  <si>
    <t>THX 3-614-59</t>
  </si>
  <si>
    <t>M/Red. RPM Rounded</t>
  </si>
  <si>
    <t>Motor RPM</t>
  </si>
  <si>
    <t>Conveyor RPM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</si>
</sst>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164" formatCode="0.000"/>
    <numFmt numFmtId="165" formatCode="0.000\ &quot;RPM&quot;"/>
    <numFmt numFmtId="166" formatCode="0.000\ &quot;ft3/h&quot;"/>
    <numFmt numFmtId="167" formatCode="0.000\ &quot;ft3/h per RPM&quot;"/>
    <numFmt numFmtId="168" formatCode="0.000\ &quot;m3/h&quot;"/>
    <numFmt numFmtId="169" formatCode="0.000\ &quot;m3/h per RPM&quot;"/>
    <numFmt numFmtId="170" formatCode="0.000\ &quot;ft&quot;"/>
    <numFmt numFmtId="171" formatCode="0\ &quot;mm&quot;"/>
    <numFmt numFmtId="172" formatCode="0.000\ &quot;in&quot;"/>
    <numFmt numFmtId="173" formatCode="0.000\ &quot;min&quot;"/>
    <numFmt numFmtId="174" formatCode="0.000\ &quot;lb/ft3&quot;"/>
    <numFmt numFmtId="175" formatCode="0.000\ &quot;kg/m3&quot;"/>
    <numFmt numFmtId="176" formatCode="0.000\ &quot;HP&quot;"/>
    <numFmt numFmtId="177" formatCode="0.000\ &quot;kW&quot;"/>
    <numFmt numFmtId="178" formatCode="0.000\ &quot;lb/h&quot;"/>
    <numFmt numFmtId="179" formatCode="0.000\ &quot;kg/h&quot;"/>
    <numFmt numFmtId="180" formatCode="0.000\ &quot;lb*in&quot;"/>
    <numFmt numFmtId="181" formatCode="0.000\ &quot;N*m&quot;"/>
    <numFmt numFmtId="182" formatCode="0\ &quot;in&quot;"/>
    <numFmt numFmtId="183" formatCode="0\ "/>
    <numFmt numFmtId="184" formatCode="0.0\ &quot;mm&quot;"/>
    <numFmt numFmtId="185" formatCode="0.00\ &quot;mm&quot;"/>
    <numFmt numFmtId="186" formatCode="0.000\ &quot;mm&quot;"/>
    <numFmt numFmtId="187" formatCode="0.000\ &quot;kN&quot;"/>
    <numFmt numFmtId="188" formatCode="0.000\ &quot;lbf&quot;"/>
    <numFmt numFmtId="189" formatCode="#\ ??/16"/>
    <numFmt numFmtId="190" formatCode="0.000\ &quot;kg&quot;"/>
    <numFmt numFmtId="191" formatCode="0.000\ &quot;lb&quot;"/>
    <numFmt numFmtId="192" formatCode="0.000\ &quot;in4&quot;"/>
    <numFmt numFmtId="193" formatCode="0.000\ &quot;mm4&quot;"/>
    <numFmt numFmtId="194" formatCode="0.000\ &quot;ksi&quot;"/>
    <numFmt numFmtId="195" formatCode="0.000\ &quot;MPa&quot;"/>
    <numFmt numFmtId="196" formatCode="0.000\ &quot;lb*m&quot;"/>
    <numFmt numFmtId="197" formatCode="0.000\ &quot;kg*m&quot;"/>
    <numFmt numFmtId="198" formatCode="0\ &quot;deg&quot;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181717"/>
      <name val="Calibri"/>
      <family val="2"/>
      <scheme val="minor"/>
    </font>
    <font>
      <b/>
      <sz val="8.5"/>
      <color rgb="FFFFFEFD"/>
      <name val="Arial"/>
      <family val="2"/>
    </font>
    <font>
      <sz val="8.5"/>
      <color rgb="FF181717"/>
      <name val="Arial"/>
      <family val="2"/>
    </font>
    <font>
      <vertAlign val="superscript"/>
      <sz val="7"/>
      <color rgb="FF181717"/>
      <name val="Arial"/>
      <family val="2"/>
    </font>
    <font>
      <vertAlign val="subscript"/>
      <sz val="7"/>
      <color rgb="FF181717"/>
      <name val="Arial"/>
      <family val="2"/>
    </font>
    <font>
      <sz val="4.5"/>
      <color rgb="FF181717"/>
      <name val="Arial"/>
      <family val="2"/>
    </font>
    <font>
      <b/>
      <sz val="8"/>
      <color rgb="FFFFFEFD"/>
      <name val="Calibri"/>
      <family val="2"/>
      <scheme val="minor"/>
    </font>
    <font>
      <b/>
      <sz val="4.5"/>
      <color rgb="FF181717"/>
      <name val="Calibri"/>
      <family val="2"/>
      <scheme val="minor"/>
    </font>
    <font>
      <sz val="8"/>
      <color rgb="FF181717"/>
      <name val="Arial"/>
      <family val="2"/>
    </font>
    <font>
      <sz val="8"/>
      <color rgb="FF000000"/>
      <name val="Calibri"/>
      <family val="2"/>
      <scheme val="minor"/>
    </font>
    <font>
      <b/>
      <sz val="9"/>
      <color rgb="FFFFFEFD"/>
      <name val="Calibri"/>
      <family val="2"/>
      <scheme val="minor"/>
    </font>
    <font>
      <b/>
      <vertAlign val="subscript"/>
      <sz val="7.5"/>
      <color rgb="FFFFFEFD"/>
      <name val="Calibri"/>
      <family val="2"/>
      <scheme val="minor"/>
    </font>
    <font>
      <b/>
      <sz val="9"/>
      <color rgb="FF181717"/>
      <name val="Calibri"/>
      <family val="2"/>
      <scheme val="minor"/>
    </font>
    <font>
      <b/>
      <vertAlign val="subscript"/>
      <sz val="7.5"/>
      <color rgb="FF181717"/>
      <name val="Calibri"/>
      <family val="2"/>
      <scheme val="minor"/>
    </font>
    <font>
      <sz val="12"/>
      <color rgb="FF181717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.5"/>
      <color theme="1"/>
      <name val="Arial"/>
      <family val="2"/>
    </font>
    <font>
      <b/>
      <vertAlign val="superscript"/>
      <sz val="7"/>
      <color rgb="FF181717"/>
      <name val="Calibri"/>
      <family val="2"/>
      <scheme val="minor"/>
    </font>
    <font>
      <b/>
      <sz val="8.5"/>
      <color rgb="FF181717"/>
      <name val="Calibri"/>
      <family val="2"/>
      <scheme val="minor"/>
    </font>
    <font>
      <b/>
      <sz val="8"/>
      <color rgb="FF181717"/>
      <name val="Calibri"/>
      <family val="2"/>
    </font>
    <font>
      <b/>
      <vertAlign val="subscript"/>
      <sz val="7.5"/>
      <color rgb="FF181717"/>
      <name val="Arial"/>
      <family val="2"/>
    </font>
    <font>
      <sz val="7"/>
      <color rgb="FF181717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b/>
      <sz val="10"/>
      <color rgb="FFFFFEFD"/>
      <name val="Arial"/>
      <family val="2"/>
    </font>
    <font>
      <b/>
      <i/>
      <sz val="11"/>
      <color rgb="FFFF0000"/>
      <name val="Arial"/>
      <family val="2"/>
    </font>
    <font>
      <sz val="8.8000000000000007"/>
      <color rgb="FF000000"/>
      <name val="Arial"/>
      <family val="2"/>
    </font>
    <font>
      <b/>
      <sz val="8.8000000000000007"/>
      <color rgb="FF000000"/>
      <name val="Arial"/>
      <family val="2"/>
    </font>
    <font>
      <b/>
      <i/>
      <sz val="8.8000000000000007"/>
      <color rgb="FF000000"/>
      <name val="Arial"/>
      <family val="2"/>
    </font>
    <font>
      <u/>
      <sz val="11"/>
      <color theme="1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D81E"/>
        <bgColor indexed="64"/>
      </patternFill>
    </fill>
    <fill>
      <patternFill patternType="solid">
        <fgColor rgb="FF737473"/>
        <bgColor indexed="64"/>
      </patternFill>
    </fill>
    <fill>
      <patternFill patternType="solid">
        <fgColor rgb="FFD3D2D2"/>
        <bgColor indexed="64"/>
      </patternFill>
    </fill>
    <fill>
      <patternFill patternType="solid">
        <fgColor rgb="FF666767"/>
        <bgColor indexed="64"/>
      </patternFill>
    </fill>
    <fill>
      <patternFill patternType="solid">
        <fgColor rgb="FFFFFEFD"/>
        <bgColor indexed="64"/>
      </patternFill>
    </fill>
    <fill>
      <patternFill patternType="solid">
        <fgColor theme="0"/>
        <bgColor indexed="64"/>
      </patternFill>
    </fill>
  </fills>
  <borders count="85">
    <border>
      <left/>
      <right/>
      <top/>
      <bottom/>
      <diagonal/>
    </border>
    <border>
      <left style="medium">
        <color rgb="FF181717"/>
      </left>
      <right style="medium">
        <color rgb="FF181717"/>
      </right>
      <top style="medium">
        <color rgb="FF181717"/>
      </top>
      <bottom/>
      <diagonal/>
    </border>
    <border>
      <left style="medium">
        <color rgb="FF181717"/>
      </left>
      <right style="medium">
        <color rgb="FF181717"/>
      </right>
      <top/>
      <bottom style="medium">
        <color rgb="FF181717"/>
      </bottom>
      <diagonal/>
    </border>
    <border>
      <left/>
      <right style="medium">
        <color rgb="FF181717"/>
      </right>
      <top style="medium">
        <color rgb="FF181717"/>
      </top>
      <bottom style="medium">
        <color rgb="FF181717"/>
      </bottom>
      <diagonal/>
    </border>
    <border>
      <left/>
      <right style="medium">
        <color rgb="FF181717"/>
      </right>
      <top style="medium">
        <color rgb="FF181717"/>
      </top>
      <bottom/>
      <diagonal/>
    </border>
    <border>
      <left/>
      <right style="medium">
        <color rgb="FF181717"/>
      </right>
      <top/>
      <bottom style="medium">
        <color rgb="FF181717"/>
      </bottom>
      <diagonal/>
    </border>
    <border>
      <left style="medium">
        <color rgb="FF181717"/>
      </left>
      <right/>
      <top/>
      <bottom/>
      <diagonal/>
    </border>
    <border>
      <left/>
      <right style="medium">
        <color rgb="FF181717"/>
      </right>
      <top/>
      <bottom/>
      <diagonal/>
    </border>
    <border>
      <left style="medium">
        <color rgb="FF181717"/>
      </left>
      <right style="medium">
        <color rgb="FF181717"/>
      </right>
      <top/>
      <bottom/>
      <diagonal/>
    </border>
    <border>
      <left/>
      <right/>
      <top/>
      <bottom style="medium">
        <color rgb="FF181717"/>
      </bottom>
      <diagonal/>
    </border>
    <border>
      <left/>
      <right/>
      <top style="medium">
        <color rgb="FF181717"/>
      </top>
      <bottom/>
      <diagonal/>
    </border>
    <border>
      <left style="medium">
        <color rgb="FF181717"/>
      </left>
      <right/>
      <top style="medium">
        <color rgb="FF181717"/>
      </top>
      <bottom/>
      <diagonal/>
    </border>
    <border>
      <left style="medium">
        <color rgb="FF181717"/>
      </left>
      <right/>
      <top/>
      <bottom style="medium">
        <color rgb="FF18171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181717"/>
      </left>
      <right/>
      <top style="medium">
        <color rgb="FF181717"/>
      </top>
      <bottom style="medium">
        <color rgb="FF181717"/>
      </bottom>
      <diagonal/>
    </border>
    <border>
      <left/>
      <right/>
      <top style="medium">
        <color rgb="FF181717"/>
      </top>
      <bottom style="medium">
        <color rgb="FF181717"/>
      </bottom>
      <diagonal/>
    </border>
    <border>
      <left style="medium">
        <color rgb="FF181717"/>
      </left>
      <right/>
      <top/>
      <bottom style="thick">
        <color rgb="FF181717"/>
      </bottom>
      <diagonal/>
    </border>
    <border>
      <left/>
      <right style="medium">
        <color rgb="FF181717"/>
      </right>
      <top/>
      <bottom style="thick">
        <color rgb="FF181717"/>
      </bottom>
      <diagonal/>
    </border>
    <border>
      <left style="medium">
        <color rgb="FF181717"/>
      </left>
      <right/>
      <top style="thick">
        <color rgb="FF181717"/>
      </top>
      <bottom style="medium">
        <color rgb="FF181717"/>
      </bottom>
      <diagonal/>
    </border>
    <border>
      <left/>
      <right/>
      <top style="thick">
        <color rgb="FF181717"/>
      </top>
      <bottom style="medium">
        <color rgb="FF181717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rgb="FF181717"/>
      </right>
      <top style="medium">
        <color indexed="64"/>
      </top>
      <bottom/>
      <diagonal/>
    </border>
    <border>
      <left style="medium">
        <color indexed="64"/>
      </left>
      <right style="medium">
        <color rgb="FF181717"/>
      </right>
      <top/>
      <bottom style="medium">
        <color rgb="FF181717"/>
      </bottom>
      <diagonal/>
    </border>
    <border>
      <left style="medium">
        <color rgb="FF181717"/>
      </left>
      <right style="medium">
        <color indexed="64"/>
      </right>
      <top/>
      <bottom style="medium">
        <color rgb="FF181717"/>
      </bottom>
      <diagonal/>
    </border>
    <border>
      <left style="medium">
        <color indexed="64"/>
      </left>
      <right/>
      <top style="medium">
        <color rgb="FF181717"/>
      </top>
      <bottom style="medium">
        <color rgb="FF181717"/>
      </bottom>
      <diagonal/>
    </border>
    <border>
      <left style="medium">
        <color rgb="FF181717"/>
      </left>
      <right style="medium">
        <color indexed="64"/>
      </right>
      <top style="medium">
        <color rgb="FF181717"/>
      </top>
      <bottom style="medium">
        <color rgb="FF181717"/>
      </bottom>
      <diagonal/>
    </border>
    <border>
      <left/>
      <right style="medium">
        <color indexed="64"/>
      </right>
      <top/>
      <bottom style="medium">
        <color rgb="FF181717"/>
      </bottom>
      <diagonal/>
    </border>
    <border>
      <left style="medium">
        <color indexed="64"/>
      </left>
      <right style="medium">
        <color rgb="FF181717"/>
      </right>
      <top/>
      <bottom style="medium">
        <color indexed="64"/>
      </bottom>
      <diagonal/>
    </border>
    <border>
      <left style="medium">
        <color indexed="64"/>
      </left>
      <right style="medium">
        <color rgb="FF181717"/>
      </right>
      <top style="medium">
        <color indexed="64"/>
      </top>
      <bottom style="medium">
        <color rgb="FF181717"/>
      </bottom>
      <diagonal/>
    </border>
    <border>
      <left/>
      <right style="medium">
        <color indexed="64"/>
      </right>
      <top style="medium">
        <color indexed="64"/>
      </top>
      <bottom style="medium">
        <color rgb="FF181717"/>
      </bottom>
      <diagonal/>
    </border>
    <border>
      <left style="medium">
        <color indexed="64"/>
      </left>
      <right style="medium">
        <color rgb="FF181717"/>
      </right>
      <top/>
      <bottom/>
      <diagonal/>
    </border>
    <border>
      <left style="medium">
        <color indexed="64"/>
      </left>
      <right style="medium">
        <color rgb="FF181717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181717"/>
      </right>
      <top style="medium">
        <color indexed="64"/>
      </top>
      <bottom/>
      <diagonal/>
    </border>
    <border>
      <left style="medium">
        <color rgb="FF181717"/>
      </left>
      <right style="medium">
        <color indexed="64"/>
      </right>
      <top style="medium">
        <color indexed="64"/>
      </top>
      <bottom/>
      <diagonal/>
    </border>
    <border>
      <left style="medium">
        <color rgb="FF181717"/>
      </left>
      <right style="medium">
        <color indexed="64"/>
      </right>
      <top/>
      <bottom/>
      <diagonal/>
    </border>
    <border>
      <left style="medium">
        <color rgb="FF181717"/>
      </left>
      <right style="medium">
        <color indexed="64"/>
      </right>
      <top/>
      <bottom style="medium">
        <color indexed="64"/>
      </bottom>
      <diagonal/>
    </border>
    <border>
      <left style="medium">
        <color rgb="FF181717"/>
      </left>
      <right/>
      <top style="medium">
        <color indexed="64"/>
      </top>
      <bottom style="medium">
        <color rgb="FF181717"/>
      </bottom>
      <diagonal/>
    </border>
    <border>
      <left style="medium">
        <color indexed="64"/>
      </left>
      <right/>
      <top/>
      <bottom style="medium">
        <color rgb="FF181717"/>
      </bottom>
      <diagonal/>
    </border>
    <border>
      <left/>
      <right style="medium">
        <color rgb="FF181717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0C0C0"/>
      </right>
      <top style="thick">
        <color rgb="FFC0C0C0"/>
      </top>
      <bottom/>
      <diagonal/>
    </border>
    <border>
      <left style="medium">
        <color rgb="FFC0C0C0"/>
      </left>
      <right style="medium">
        <color rgb="FFC0C0C0"/>
      </right>
      <top style="thick">
        <color rgb="FFC0C0C0"/>
      </top>
      <bottom/>
      <diagonal/>
    </border>
    <border>
      <left style="medium">
        <color rgb="FFC0C0C0"/>
      </left>
      <right/>
      <top style="thick">
        <color rgb="FFC0C0C0"/>
      </top>
      <bottom style="medium">
        <color rgb="FFC0C0C0"/>
      </bottom>
      <diagonal/>
    </border>
    <border>
      <left/>
      <right style="medium">
        <color rgb="FFC0C0C0"/>
      </right>
      <top style="thick">
        <color rgb="FFC0C0C0"/>
      </top>
      <bottom style="medium">
        <color rgb="FFC0C0C0"/>
      </bottom>
      <diagonal/>
    </border>
    <border>
      <left style="medium">
        <color rgb="FFC0C0C0"/>
      </left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 style="medium">
        <color rgb="FFC0C0C0"/>
      </right>
      <top/>
      <bottom style="thick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thick">
        <color rgb="FFC0C0C0"/>
      </bottom>
      <diagonal/>
    </border>
    <border>
      <left style="medium">
        <color rgb="FFC0C0C0"/>
      </left>
      <right style="thick">
        <color rgb="FFC0C0C0"/>
      </right>
      <top/>
      <bottom style="thick">
        <color rgb="FFC0C0C0"/>
      </bottom>
      <diagonal/>
    </border>
    <border>
      <left style="thick">
        <color rgb="FFC0C0C0"/>
      </left>
      <right style="medium">
        <color rgb="FFC0C0C0"/>
      </right>
      <top style="thick">
        <color rgb="FFC0C0C0"/>
      </top>
      <bottom style="thick">
        <color rgb="FFC0C0C0"/>
      </bottom>
      <diagonal/>
    </border>
    <border>
      <left style="medium">
        <color rgb="FFC0C0C0"/>
      </left>
      <right style="thick">
        <color rgb="FFC0C0C0"/>
      </right>
      <top style="thick">
        <color rgb="FFC0C0C0"/>
      </top>
      <bottom style="thick">
        <color rgb="FFC0C0C0"/>
      </bottom>
      <diagonal/>
    </border>
    <border>
      <left style="thick">
        <color rgb="FFC0C0C0"/>
      </left>
      <right/>
      <top style="thick">
        <color rgb="FFC0C0C0"/>
      </top>
      <bottom style="medium">
        <color rgb="FFC0C0C0"/>
      </bottom>
      <diagonal/>
    </border>
    <border>
      <left/>
      <right/>
      <top style="thick">
        <color rgb="FFC0C0C0"/>
      </top>
      <bottom style="medium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181717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8">
    <xf numFmtId="0" fontId="0" fillId="0" borderId="0" xfId="0"/>
    <xf numFmtId="0" fontId="4" fillId="2" borderId="2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 wrapText="1" indent="1"/>
    </xf>
    <xf numFmtId="0" fontId="3" fillId="3" borderId="7" xfId="0" applyFont="1" applyFill="1" applyBorder="1" applyAlignment="1">
      <alignment horizontal="left" vertical="center" wrapText="1" indent="1"/>
    </xf>
    <xf numFmtId="0" fontId="6" fillId="4" borderId="8" xfId="0" applyFont="1" applyFill="1" applyBorder="1" applyAlignment="1">
      <alignment horizontal="left" vertical="center" wrapText="1" indent="2"/>
    </xf>
    <xf numFmtId="0" fontId="6" fillId="4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 indent="2"/>
    </xf>
    <xf numFmtId="0" fontId="6" fillId="0" borderId="7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 vertical="center" wrapText="1" indent="2"/>
    </xf>
    <xf numFmtId="0" fontId="6" fillId="4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left" vertical="center" wrapText="1" indent="1"/>
    </xf>
    <xf numFmtId="0" fontId="12" fillId="4" borderId="8" xfId="0" applyFont="1" applyFill="1" applyBorder="1" applyAlignment="1">
      <alignment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4" borderId="7" xfId="0" applyFont="1" applyFill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11" fontId="12" fillId="4" borderId="7" xfId="0" applyNumberFormat="1" applyFont="1" applyFill="1" applyBorder="1" applyAlignment="1">
      <alignment horizontal="center" vertical="center" wrapText="1"/>
    </xf>
    <xf numFmtId="11" fontId="12" fillId="0" borderId="5" xfId="0" applyNumberFormat="1" applyFont="1" applyBorder="1" applyAlignment="1">
      <alignment horizontal="center" vertical="center" wrapText="1"/>
    </xf>
    <xf numFmtId="11" fontId="12" fillId="0" borderId="7" xfId="0" applyNumberFormat="1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left" vertical="center" wrapText="1" indent="1"/>
    </xf>
    <xf numFmtId="0" fontId="6" fillId="0" borderId="7" xfId="0" applyFont="1" applyBorder="1" applyAlignment="1">
      <alignment horizontal="left" vertical="center" wrapText="1" indent="1"/>
    </xf>
    <xf numFmtId="0" fontId="6" fillId="0" borderId="23" xfId="0" applyFont="1" applyBorder="1" applyAlignment="1">
      <alignment horizontal="left" vertical="center" wrapText="1" indent="1"/>
    </xf>
    <xf numFmtId="0" fontId="3" fillId="5" borderId="5" xfId="0" applyFont="1" applyFill="1" applyBorder="1" applyAlignment="1">
      <alignment horizontal="left" vertical="center" wrapText="1" indent="1"/>
    </xf>
    <xf numFmtId="9" fontId="16" fillId="2" borderId="5" xfId="0" applyNumberFormat="1" applyFont="1" applyFill="1" applyBorder="1" applyAlignment="1">
      <alignment horizontal="center" vertical="center" wrapText="1"/>
    </xf>
    <xf numFmtId="9" fontId="16" fillId="2" borderId="5" xfId="0" applyNumberFormat="1" applyFont="1" applyFill="1" applyBorder="1" applyAlignment="1">
      <alignment horizontal="left" vertical="center" wrapText="1" indent="1"/>
    </xf>
    <xf numFmtId="0" fontId="6" fillId="6" borderId="7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left" vertical="center" wrapText="1" indent="1"/>
    </xf>
    <xf numFmtId="0" fontId="21" fillId="6" borderId="5" xfId="0" applyFont="1" applyFill="1" applyBorder="1" applyAlignment="1">
      <alignment horizontal="center" vertical="center" wrapText="1"/>
    </xf>
    <xf numFmtId="3" fontId="6" fillId="4" borderId="7" xfId="0" applyNumberFormat="1" applyFont="1" applyFill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3" fontId="6" fillId="4" borderId="5" xfId="0" applyNumberFormat="1" applyFont="1" applyFill="1" applyBorder="1" applyAlignment="1">
      <alignment horizontal="center" vertical="center" wrapText="1"/>
    </xf>
    <xf numFmtId="4" fontId="6" fillId="4" borderId="5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12" fontId="6" fillId="0" borderId="0" xfId="0" applyNumberFormat="1" applyFont="1" applyAlignment="1">
      <alignment horizontal="center" vertical="center" wrapText="1"/>
    </xf>
    <xf numFmtId="12" fontId="6" fillId="0" borderId="7" xfId="0" applyNumberFormat="1" applyFont="1" applyBorder="1" applyAlignment="1">
      <alignment horizontal="left" vertical="center" wrapText="1" indent="1"/>
    </xf>
    <xf numFmtId="0" fontId="6" fillId="0" borderId="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wrapText="1" indent="1"/>
    </xf>
    <xf numFmtId="0" fontId="24" fillId="2" borderId="4" xfId="0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6" fillId="0" borderId="31" xfId="0" applyFont="1" applyBorder="1" applyAlignment="1">
      <alignment horizontal="left" vertical="center" wrapText="1" indent="2"/>
    </xf>
    <xf numFmtId="0" fontId="6" fillId="0" borderId="32" xfId="0" applyFont="1" applyBorder="1" applyAlignment="1">
      <alignment horizontal="left" vertical="center" wrapText="1" indent="2"/>
    </xf>
    <xf numFmtId="0" fontId="6" fillId="4" borderId="32" xfId="0" applyFont="1" applyFill="1" applyBorder="1" applyAlignment="1">
      <alignment vertical="center" wrapText="1"/>
    </xf>
    <xf numFmtId="0" fontId="6" fillId="4" borderId="32" xfId="0" applyFont="1" applyFill="1" applyBorder="1" applyAlignment="1">
      <alignment horizontal="left" vertical="center" wrapText="1" indent="2"/>
    </xf>
    <xf numFmtId="0" fontId="6" fillId="4" borderId="33" xfId="0" applyFont="1" applyFill="1" applyBorder="1" applyAlignment="1">
      <alignment horizontal="left" vertical="center" wrapText="1" indent="2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0" fillId="7" borderId="14" xfId="0" applyFill="1" applyBorder="1"/>
    <xf numFmtId="0" fontId="0" fillId="7" borderId="29" xfId="0" applyFill="1" applyBorder="1"/>
    <xf numFmtId="0" fontId="0" fillId="7" borderId="15" xfId="0" applyFill="1" applyBorder="1"/>
    <xf numFmtId="0" fontId="0" fillId="7" borderId="16" xfId="0" applyFill="1" applyBorder="1"/>
    <xf numFmtId="0" fontId="0" fillId="7" borderId="0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30" xfId="0" applyFill="1" applyBorder="1"/>
    <xf numFmtId="0" fontId="0" fillId="7" borderId="19" xfId="0" applyFill="1" applyBorder="1"/>
    <xf numFmtId="0" fontId="6" fillId="0" borderId="8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9" fontId="16" fillId="4" borderId="5" xfId="0" applyNumberFormat="1" applyFont="1" applyFill="1" applyBorder="1" applyAlignment="1">
      <alignment horizontal="center" vertical="center" wrapText="1"/>
    </xf>
    <xf numFmtId="0" fontId="16" fillId="4" borderId="52" xfId="0" applyFont="1" applyFill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16" fillId="4" borderId="54" xfId="0" applyFont="1" applyFill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16" fillId="4" borderId="57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23" fillId="2" borderId="58" xfId="0" applyFont="1" applyFill="1" applyBorder="1" applyAlignment="1">
      <alignment horizontal="center" vertical="center" wrapText="1"/>
    </xf>
    <xf numFmtId="0" fontId="23" fillId="2" borderId="59" xfId="0" applyFont="1" applyFill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4" borderId="60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52" xfId="0" applyFont="1" applyFill="1" applyBorder="1" applyAlignment="1">
      <alignment horizontal="center" vertical="center" wrapText="1"/>
    </xf>
    <xf numFmtId="0" fontId="6" fillId="4" borderId="56" xfId="0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26" fillId="4" borderId="8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vertical="top" wrapText="1" inden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left" vertical="center" wrapText="1" indent="1"/>
    </xf>
    <xf numFmtId="0" fontId="19" fillId="0" borderId="0" xfId="0" applyFont="1"/>
    <xf numFmtId="174" fontId="19" fillId="0" borderId="42" xfId="0" applyNumberFormat="1" applyFont="1" applyBorder="1" applyAlignment="1">
      <alignment horizontal="center" vertical="center"/>
    </xf>
    <xf numFmtId="12" fontId="19" fillId="0" borderId="0" xfId="0" applyNumberFormat="1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0" xfId="0" applyFont="1" applyBorder="1"/>
    <xf numFmtId="0" fontId="19" fillId="0" borderId="17" xfId="0" applyFont="1" applyBorder="1"/>
    <xf numFmtId="166" fontId="19" fillId="0" borderId="42" xfId="0" applyNumberFormat="1" applyFont="1" applyBorder="1" applyAlignment="1">
      <alignment horizontal="center" vertical="center"/>
    </xf>
    <xf numFmtId="168" fontId="19" fillId="0" borderId="39" xfId="0" applyNumberFormat="1" applyFont="1" applyBorder="1" applyAlignment="1">
      <alignment horizontal="center" vertical="center"/>
    </xf>
    <xf numFmtId="178" fontId="19" fillId="0" borderId="42" xfId="0" applyNumberFormat="1" applyFont="1" applyBorder="1" applyAlignment="1">
      <alignment horizontal="center" vertical="center"/>
    </xf>
    <xf numFmtId="179" fontId="19" fillId="0" borderId="42" xfId="0" applyNumberFormat="1" applyFont="1" applyBorder="1" applyAlignment="1">
      <alignment horizontal="center" vertical="center"/>
    </xf>
    <xf numFmtId="167" fontId="19" fillId="0" borderId="49" xfId="0" applyNumberFormat="1" applyFont="1" applyBorder="1" applyAlignment="1">
      <alignment horizontal="center" vertical="center"/>
    </xf>
    <xf numFmtId="169" fontId="19" fillId="0" borderId="45" xfId="0" applyNumberFormat="1" applyFont="1" applyBorder="1" applyAlignment="1">
      <alignment horizontal="center" vertical="center"/>
    </xf>
    <xf numFmtId="0" fontId="19" fillId="0" borderId="30" xfId="0" applyFont="1" applyBorder="1"/>
    <xf numFmtId="0" fontId="19" fillId="0" borderId="19" xfId="0" applyFont="1" applyBorder="1"/>
    <xf numFmtId="166" fontId="19" fillId="0" borderId="39" xfId="0" applyNumberFormat="1" applyFont="1" applyBorder="1" applyAlignment="1">
      <alignment horizontal="center" vertical="center"/>
    </xf>
    <xf numFmtId="167" fontId="19" fillId="0" borderId="39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/>
    <xf numFmtId="170" fontId="19" fillId="0" borderId="42" xfId="0" applyNumberFormat="1" applyFont="1" applyBorder="1" applyAlignment="1">
      <alignment horizontal="center" vertical="center"/>
    </xf>
    <xf numFmtId="171" fontId="19" fillId="0" borderId="39" xfId="0" applyNumberFormat="1" applyFont="1" applyBorder="1" applyAlignment="1">
      <alignment horizontal="center" vertical="center"/>
    </xf>
    <xf numFmtId="172" fontId="19" fillId="0" borderId="42" xfId="0" applyNumberFormat="1" applyFont="1" applyBorder="1" applyAlignment="1">
      <alignment horizontal="center" vertical="center"/>
    </xf>
    <xf numFmtId="0" fontId="19" fillId="0" borderId="18" xfId="0" applyFont="1" applyBorder="1"/>
    <xf numFmtId="0" fontId="19" fillId="0" borderId="16" xfId="0" applyFont="1" applyBorder="1" applyAlignment="1">
      <alignment horizontal="center"/>
    </xf>
    <xf numFmtId="176" fontId="19" fillId="0" borderId="42" xfId="0" applyNumberFormat="1" applyFont="1" applyBorder="1" applyAlignment="1">
      <alignment horizontal="center" vertical="center"/>
    </xf>
    <xf numFmtId="177" fontId="19" fillId="0" borderId="42" xfId="0" applyNumberFormat="1" applyFont="1" applyBorder="1" applyAlignment="1">
      <alignment horizontal="center" vertical="center"/>
    </xf>
    <xf numFmtId="175" fontId="19" fillId="0" borderId="42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7" fillId="2" borderId="31" xfId="0" applyFont="1" applyFill="1" applyBorder="1" applyAlignment="1">
      <alignment horizontal="center"/>
    </xf>
    <xf numFmtId="0" fontId="27" fillId="2" borderId="47" xfId="0" applyFont="1" applyFill="1" applyBorder="1" applyAlignment="1">
      <alignment horizontal="center"/>
    </xf>
    <xf numFmtId="0" fontId="27" fillId="2" borderId="48" xfId="0" applyFont="1" applyFill="1" applyBorder="1" applyAlignment="1">
      <alignment horizontal="center"/>
    </xf>
    <xf numFmtId="0" fontId="27" fillId="2" borderId="48" xfId="0" applyFont="1" applyFill="1" applyBorder="1" applyAlignment="1">
      <alignment horizontal="center" wrapText="1"/>
    </xf>
    <xf numFmtId="0" fontId="27" fillId="2" borderId="46" xfId="0" applyFont="1" applyFill="1" applyBorder="1" applyAlignment="1">
      <alignment horizontal="center"/>
    </xf>
    <xf numFmtId="0" fontId="27" fillId="2" borderId="44" xfId="0" applyFont="1" applyFill="1" applyBorder="1" applyAlignment="1">
      <alignment horizontal="center"/>
    </xf>
    <xf numFmtId="0" fontId="27" fillId="2" borderId="42" xfId="0" applyFont="1" applyFill="1" applyBorder="1" applyAlignment="1">
      <alignment horizontal="center"/>
    </xf>
    <xf numFmtId="0" fontId="27" fillId="2" borderId="42" xfId="0" applyFont="1" applyFill="1" applyBorder="1" applyAlignment="1">
      <alignment horizontal="center" wrapText="1"/>
    </xf>
    <xf numFmtId="0" fontId="27" fillId="2" borderId="43" xfId="0" applyFont="1" applyFill="1" applyBorder="1" applyAlignment="1">
      <alignment horizontal="center"/>
    </xf>
    <xf numFmtId="0" fontId="28" fillId="2" borderId="13" xfId="0" applyFont="1" applyFill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8" fillId="2" borderId="33" xfId="0" applyFont="1" applyFill="1" applyBorder="1" applyAlignment="1">
      <alignment horizontal="center"/>
    </xf>
    <xf numFmtId="0" fontId="28" fillId="0" borderId="33" xfId="0" applyFont="1" applyBorder="1" applyAlignment="1">
      <alignment horizontal="center"/>
    </xf>
    <xf numFmtId="0" fontId="27" fillId="2" borderId="41" xfId="0" applyFont="1" applyFill="1" applyBorder="1" applyAlignment="1">
      <alignment horizontal="center"/>
    </xf>
    <xf numFmtId="0" fontId="27" fillId="2" borderId="49" xfId="0" applyFont="1" applyFill="1" applyBorder="1" applyAlignment="1">
      <alignment horizontal="center" wrapText="1"/>
    </xf>
    <xf numFmtId="0" fontId="27" fillId="2" borderId="49" xfId="0" applyFont="1" applyFill="1" applyBorder="1" applyAlignment="1">
      <alignment horizontal="center"/>
    </xf>
    <xf numFmtId="0" fontId="27" fillId="2" borderId="43" xfId="0" applyFont="1" applyFill="1" applyBorder="1" applyAlignment="1">
      <alignment horizontal="center" wrapText="1"/>
    </xf>
    <xf numFmtId="0" fontId="27" fillId="0" borderId="42" xfId="0" applyFont="1" applyBorder="1"/>
    <xf numFmtId="0" fontId="27" fillId="0" borderId="43" xfId="0" applyFont="1" applyBorder="1"/>
    <xf numFmtId="0" fontId="27" fillId="0" borderId="47" xfId="0" applyFont="1" applyBorder="1"/>
    <xf numFmtId="0" fontId="27" fillId="0" borderId="48" xfId="0" applyFont="1" applyBorder="1"/>
    <xf numFmtId="0" fontId="27" fillId="0" borderId="46" xfId="0" applyFont="1" applyBorder="1"/>
    <xf numFmtId="174" fontId="19" fillId="0" borderId="43" xfId="0" applyNumberFormat="1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0" fontId="27" fillId="0" borderId="49" xfId="0" applyFont="1" applyBorder="1"/>
    <xf numFmtId="0" fontId="27" fillId="0" borderId="44" xfId="0" applyFont="1" applyBorder="1"/>
    <xf numFmtId="0" fontId="3" fillId="3" borderId="12" xfId="0" applyFont="1" applyFill="1" applyBorder="1" applyAlignment="1">
      <alignment horizontal="left" vertical="center" wrapText="1" indent="1"/>
    </xf>
    <xf numFmtId="0" fontId="3" fillId="3" borderId="5" xfId="0" applyFont="1" applyFill="1" applyBorder="1" applyAlignment="1">
      <alignment horizontal="left" vertical="center" wrapText="1" indent="1"/>
    </xf>
    <xf numFmtId="0" fontId="7" fillId="0" borderId="7" xfId="0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 indent="1"/>
    </xf>
    <xf numFmtId="0" fontId="6" fillId="0" borderId="0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0" fontId="10" fillId="3" borderId="7" xfId="0" applyFont="1" applyFill="1" applyBorder="1" applyAlignment="1">
      <alignment horizontal="justify" vertical="center" wrapText="1"/>
    </xf>
    <xf numFmtId="0" fontId="10" fillId="3" borderId="2" xfId="0" applyFont="1" applyFill="1" applyBorder="1" applyAlignment="1">
      <alignment horizontal="justify" vertical="center" wrapText="1"/>
    </xf>
    <xf numFmtId="0" fontId="10" fillId="3" borderId="5" xfId="0" applyFont="1" applyFill="1" applyBorder="1" applyAlignment="1">
      <alignment horizontal="justify" vertical="center" wrapText="1"/>
    </xf>
    <xf numFmtId="0" fontId="12" fillId="4" borderId="8" xfId="0" applyFont="1" applyFill="1" applyBorder="1" applyAlignment="1">
      <alignment horizontal="center" vertical="center" wrapText="1"/>
    </xf>
    <xf numFmtId="3" fontId="12" fillId="4" borderId="7" xfId="0" applyNumberFormat="1" applyFont="1" applyFill="1" applyBorder="1" applyAlignment="1">
      <alignment horizontal="right" vertical="center" wrapText="1"/>
    </xf>
    <xf numFmtId="0" fontId="12" fillId="0" borderId="8" xfId="0" applyFont="1" applyBorder="1" applyAlignment="1">
      <alignment horizontal="center" vertical="center" wrapText="1"/>
    </xf>
    <xf numFmtId="3" fontId="12" fillId="0" borderId="7" xfId="0" applyNumberFormat="1" applyFont="1" applyBorder="1" applyAlignment="1">
      <alignment horizontal="right" vertical="center" wrapText="1"/>
    </xf>
    <xf numFmtId="3" fontId="12" fillId="4" borderId="7" xfId="0" applyNumberFormat="1" applyFont="1" applyFill="1" applyBorder="1" applyAlignment="1">
      <alignment vertical="center" wrapText="1"/>
    </xf>
    <xf numFmtId="3" fontId="12" fillId="0" borderId="7" xfId="0" applyNumberFormat="1" applyFont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3" fontId="12" fillId="4" borderId="5" xfId="0" applyNumberFormat="1" applyFont="1" applyFill="1" applyBorder="1" applyAlignment="1">
      <alignment horizontal="right" vertical="center" wrapText="1"/>
    </xf>
    <xf numFmtId="3" fontId="12" fillId="4" borderId="5" xfId="0" applyNumberFormat="1" applyFont="1" applyFill="1" applyBorder="1" applyAlignment="1">
      <alignment vertical="center" wrapText="1"/>
    </xf>
    <xf numFmtId="0" fontId="6" fillId="0" borderId="61" xfId="0" applyFont="1" applyBorder="1" applyAlignment="1">
      <alignment horizontal="left" vertical="center" wrapText="1" indent="2"/>
    </xf>
    <xf numFmtId="0" fontId="6" fillId="0" borderId="28" xfId="0" applyFont="1" applyBorder="1" applyAlignment="1">
      <alignment horizontal="center" vertical="center" wrapText="1"/>
    </xf>
    <xf numFmtId="0" fontId="6" fillId="0" borderId="62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0" fontId="6" fillId="0" borderId="65" xfId="0" applyFont="1" applyBorder="1" applyAlignment="1">
      <alignment horizontal="center" vertical="center" wrapText="1"/>
    </xf>
    <xf numFmtId="0" fontId="3" fillId="0" borderId="67" xfId="0" applyFont="1" applyBorder="1" applyAlignment="1">
      <alignment vertical="center" wrapText="1"/>
    </xf>
    <xf numFmtId="0" fontId="3" fillId="3" borderId="17" xfId="0" applyFont="1" applyFill="1" applyBorder="1" applyAlignment="1">
      <alignment vertical="center" wrapText="1"/>
    </xf>
    <xf numFmtId="0" fontId="10" fillId="3" borderId="52" xfId="0" applyFont="1" applyFill="1" applyBorder="1" applyAlignment="1">
      <alignment horizontal="justify" vertical="center" wrapText="1"/>
    </xf>
    <xf numFmtId="0" fontId="10" fillId="3" borderId="56" xfId="0" applyFont="1" applyFill="1" applyBorder="1" applyAlignment="1">
      <alignment vertical="center" wrapText="1"/>
    </xf>
    <xf numFmtId="0" fontId="12" fillId="4" borderId="60" xfId="0" applyFont="1" applyFill="1" applyBorder="1" applyAlignment="1">
      <alignment horizontal="center" vertical="center" wrapText="1"/>
    </xf>
    <xf numFmtId="3" fontId="12" fillId="4" borderId="17" xfId="0" applyNumberFormat="1" applyFont="1" applyFill="1" applyBorder="1" applyAlignment="1">
      <alignment horizontal="right" vertical="center" wrapText="1"/>
    </xf>
    <xf numFmtId="0" fontId="12" fillId="0" borderId="60" xfId="0" applyFont="1" applyBorder="1" applyAlignment="1">
      <alignment horizontal="center" vertical="center" wrapText="1"/>
    </xf>
    <xf numFmtId="3" fontId="12" fillId="0" borderId="17" xfId="0" applyNumberFormat="1" applyFont="1" applyBorder="1" applyAlignment="1">
      <alignment horizontal="right" vertical="center" wrapText="1"/>
    </xf>
    <xf numFmtId="3" fontId="12" fillId="4" borderId="17" xfId="0" applyNumberFormat="1" applyFont="1" applyFill="1" applyBorder="1" applyAlignment="1">
      <alignment vertical="center" wrapText="1"/>
    </xf>
    <xf numFmtId="0" fontId="12" fillId="4" borderId="57" xfId="0" applyFont="1" applyFill="1" applyBorder="1" applyAlignment="1">
      <alignment horizontal="center" vertical="center" wrapText="1"/>
    </xf>
    <xf numFmtId="3" fontId="12" fillId="4" borderId="68" xfId="0" applyNumberFormat="1" applyFont="1" applyFill="1" applyBorder="1" applyAlignment="1">
      <alignment horizontal="right" vertical="center" wrapText="1"/>
    </xf>
    <xf numFmtId="3" fontId="12" fillId="4" borderId="68" xfId="0" applyNumberFormat="1" applyFont="1" applyFill="1" applyBorder="1" applyAlignment="1">
      <alignment vertical="center" wrapText="1"/>
    </xf>
    <xf numFmtId="3" fontId="12" fillId="4" borderId="19" xfId="0" applyNumberFormat="1" applyFont="1" applyFill="1" applyBorder="1" applyAlignment="1">
      <alignment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27" fillId="0" borderId="50" xfId="0" applyFont="1" applyBorder="1"/>
    <xf numFmtId="176" fontId="19" fillId="0" borderId="44" xfId="0" applyNumberFormat="1" applyFont="1" applyBorder="1" applyAlignment="1">
      <alignment horizontal="center" vertical="center"/>
    </xf>
    <xf numFmtId="177" fontId="19" fillId="0" borderId="44" xfId="0" applyNumberFormat="1" applyFont="1" applyBorder="1" applyAlignment="1">
      <alignment horizontal="center" vertical="center"/>
    </xf>
    <xf numFmtId="9" fontId="27" fillId="0" borderId="48" xfId="0" applyNumberFormat="1" applyFont="1" applyBorder="1" applyAlignment="1">
      <alignment vertical="center"/>
    </xf>
    <xf numFmtId="9" fontId="27" fillId="0" borderId="16" xfId="0" applyNumberFormat="1" applyFont="1" applyBorder="1" applyAlignment="1">
      <alignment vertical="center"/>
    </xf>
    <xf numFmtId="0" fontId="30" fillId="0" borderId="42" xfId="0" applyFont="1" applyBorder="1" applyAlignment="1">
      <alignment horizontal="left"/>
    </xf>
    <xf numFmtId="165" fontId="30" fillId="0" borderId="42" xfId="0" applyNumberFormat="1" applyFont="1" applyBorder="1" applyAlignment="1">
      <alignment horizontal="left"/>
    </xf>
    <xf numFmtId="182" fontId="30" fillId="0" borderId="42" xfId="0" applyNumberFormat="1" applyFont="1" applyBorder="1" applyAlignment="1">
      <alignment horizontal="left"/>
    </xf>
    <xf numFmtId="0" fontId="30" fillId="0" borderId="41" xfId="0" applyFont="1" applyBorder="1" applyAlignment="1">
      <alignment horizontal="left" vertical="center"/>
    </xf>
    <xf numFmtId="12" fontId="30" fillId="0" borderId="44" xfId="0" applyNumberFormat="1" applyFont="1" applyBorder="1" applyAlignment="1">
      <alignment horizontal="left" vertical="center"/>
    </xf>
    <xf numFmtId="12" fontId="30" fillId="0" borderId="42" xfId="0" applyNumberFormat="1" applyFont="1" applyBorder="1" applyAlignment="1">
      <alignment horizontal="left" vertical="center"/>
    </xf>
    <xf numFmtId="12" fontId="30" fillId="0" borderId="43" xfId="0" applyNumberFormat="1" applyFont="1" applyBorder="1" applyAlignment="1">
      <alignment horizontal="left" vertical="center"/>
    </xf>
    <xf numFmtId="12" fontId="30" fillId="0" borderId="42" xfId="0" applyNumberFormat="1" applyFont="1" applyBorder="1" applyAlignment="1">
      <alignment horizontal="left"/>
    </xf>
    <xf numFmtId="179" fontId="30" fillId="0" borderId="42" xfId="0" applyNumberFormat="1" applyFont="1" applyBorder="1" applyAlignment="1">
      <alignment horizontal="left" vertical="center"/>
    </xf>
    <xf numFmtId="166" fontId="19" fillId="0" borderId="42" xfId="0" applyNumberFormat="1" applyFont="1" applyBorder="1" applyAlignment="1">
      <alignment horizontal="left" vertical="center"/>
    </xf>
    <xf numFmtId="171" fontId="30" fillId="0" borderId="42" xfId="0" applyNumberFormat="1" applyFont="1" applyBorder="1" applyAlignment="1">
      <alignment horizontal="left"/>
    </xf>
    <xf numFmtId="9" fontId="30" fillId="0" borderId="42" xfId="0" applyNumberFormat="1" applyFont="1" applyBorder="1" applyAlignment="1">
      <alignment horizontal="left"/>
    </xf>
    <xf numFmtId="180" fontId="19" fillId="0" borderId="39" xfId="0" applyNumberFormat="1" applyFont="1" applyBorder="1" applyAlignment="1">
      <alignment horizontal="center" vertical="center"/>
    </xf>
    <xf numFmtId="3" fontId="12" fillId="4" borderId="17" xfId="0" applyNumberFormat="1" applyFont="1" applyFill="1" applyBorder="1" applyAlignment="1">
      <alignment horizontal="center" vertical="center" wrapText="1"/>
    </xf>
    <xf numFmtId="3" fontId="12" fillId="0" borderId="17" xfId="0" applyNumberFormat="1" applyFont="1" applyBorder="1" applyAlignment="1">
      <alignment horizontal="center" vertical="center" wrapText="1"/>
    </xf>
    <xf numFmtId="183" fontId="30" fillId="0" borderId="42" xfId="0" applyNumberFormat="1" applyFont="1" applyBorder="1" applyAlignment="1">
      <alignment horizontal="left"/>
    </xf>
    <xf numFmtId="0" fontId="27" fillId="2" borderId="44" xfId="0" applyFont="1" applyFill="1" applyBorder="1" applyAlignment="1">
      <alignment horizontal="center" wrapText="1"/>
    </xf>
    <xf numFmtId="184" fontId="19" fillId="0" borderId="39" xfId="0" applyNumberFormat="1" applyFont="1" applyBorder="1" applyAlignment="1">
      <alignment horizontal="center" vertical="center"/>
    </xf>
    <xf numFmtId="185" fontId="19" fillId="0" borderId="39" xfId="0" applyNumberFormat="1" applyFont="1" applyBorder="1" applyAlignment="1">
      <alignment horizontal="center" vertical="center"/>
    </xf>
    <xf numFmtId="172" fontId="19" fillId="0" borderId="39" xfId="0" applyNumberFormat="1" applyFont="1" applyBorder="1" applyAlignment="1">
      <alignment horizontal="center" vertical="center"/>
    </xf>
    <xf numFmtId="181" fontId="19" fillId="0" borderId="39" xfId="0" applyNumberFormat="1" applyFont="1" applyBorder="1" applyAlignment="1">
      <alignment horizontal="center" vertical="center"/>
    </xf>
    <xf numFmtId="187" fontId="19" fillId="0" borderId="39" xfId="0" applyNumberFormat="1" applyFont="1" applyBorder="1" applyAlignment="1">
      <alignment horizontal="center" vertical="center"/>
    </xf>
    <xf numFmtId="188" fontId="19" fillId="0" borderId="39" xfId="0" applyNumberFormat="1" applyFont="1" applyBorder="1" applyAlignment="1">
      <alignment horizontal="center" vertical="center"/>
    </xf>
    <xf numFmtId="0" fontId="10" fillId="3" borderId="60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31" fillId="0" borderId="69" xfId="0" applyFont="1" applyBorder="1" applyAlignment="1">
      <alignment horizontal="center" vertical="center" wrapText="1"/>
    </xf>
    <xf numFmtId="0" fontId="31" fillId="0" borderId="70" xfId="0" applyFont="1" applyBorder="1" applyAlignment="1">
      <alignment horizontal="center" vertical="center" wrapText="1"/>
    </xf>
    <xf numFmtId="0" fontId="31" fillId="0" borderId="71" xfId="0" applyFont="1" applyBorder="1" applyAlignment="1">
      <alignment horizontal="center" vertical="center" wrapText="1"/>
    </xf>
    <xf numFmtId="0" fontId="32" fillId="0" borderId="72" xfId="0" applyFont="1" applyBorder="1" applyAlignment="1">
      <alignment horizontal="center" vertical="center" wrapText="1"/>
    </xf>
    <xf numFmtId="0" fontId="32" fillId="0" borderId="73" xfId="0" applyFont="1" applyBorder="1" applyAlignment="1">
      <alignment horizontal="center" vertical="center" wrapText="1"/>
    </xf>
    <xf numFmtId="0" fontId="32" fillId="0" borderId="76" xfId="0" applyFont="1" applyBorder="1" applyAlignment="1">
      <alignment horizontal="center" vertical="center" wrapText="1"/>
    </xf>
    <xf numFmtId="0" fontId="33" fillId="0" borderId="77" xfId="0" applyFont="1" applyBorder="1" applyAlignment="1">
      <alignment horizontal="center" vertical="center" wrapText="1"/>
    </xf>
    <xf numFmtId="0" fontId="33" fillId="0" borderId="78" xfId="0" applyFont="1" applyBorder="1" applyAlignment="1">
      <alignment horizontal="center" vertical="center" wrapText="1"/>
    </xf>
    <xf numFmtId="0" fontId="33" fillId="0" borderId="79" xfId="0" applyFont="1" applyBorder="1" applyAlignment="1">
      <alignment horizontal="center" vertical="center" wrapText="1"/>
    </xf>
    <xf numFmtId="0" fontId="33" fillId="0" borderId="80" xfId="0" applyFont="1" applyBorder="1" applyAlignment="1">
      <alignment horizontal="center" vertical="center" wrapText="1"/>
    </xf>
    <xf numFmtId="0" fontId="33" fillId="0" borderId="81" xfId="0" applyFont="1" applyBorder="1" applyAlignment="1">
      <alignment horizontal="center" vertical="center" wrapText="1"/>
    </xf>
    <xf numFmtId="12" fontId="0" fillId="0" borderId="0" xfId="0" applyNumberFormat="1" applyAlignment="1">
      <alignment vertical="center" wrapText="1"/>
    </xf>
    <xf numFmtId="176" fontId="19" fillId="0" borderId="29" xfId="0" applyNumberFormat="1" applyFont="1" applyBorder="1" applyAlignment="1">
      <alignment horizontal="center"/>
    </xf>
    <xf numFmtId="177" fontId="19" fillId="0" borderId="41" xfId="0" applyNumberFormat="1" applyFont="1" applyBorder="1" applyAlignment="1">
      <alignment horizontal="center" vertical="center"/>
    </xf>
    <xf numFmtId="0" fontId="27" fillId="2" borderId="33" xfId="0" applyFont="1" applyFill="1" applyBorder="1" applyAlignment="1">
      <alignment horizontal="center" wrapText="1"/>
    </xf>
    <xf numFmtId="0" fontId="20" fillId="0" borderId="0" xfId="0" applyFont="1"/>
    <xf numFmtId="0" fontId="3" fillId="0" borderId="60" xfId="0" applyFont="1" applyBorder="1" applyAlignment="1">
      <alignment vertical="center" wrapText="1"/>
    </xf>
    <xf numFmtId="0" fontId="10" fillId="3" borderId="58" xfId="0" applyFont="1" applyFill="1" applyBorder="1" applyAlignment="1">
      <alignment horizontal="center" vertical="center" wrapText="1"/>
    </xf>
    <xf numFmtId="0" fontId="10" fillId="3" borderId="59" xfId="0" applyFont="1" applyFill="1" applyBorder="1" applyAlignment="1">
      <alignment horizontal="justify" vertical="center" wrapText="1"/>
    </xf>
    <xf numFmtId="0" fontId="10" fillId="3" borderId="84" xfId="0" applyFont="1" applyFill="1" applyBorder="1" applyAlignment="1">
      <alignment horizontal="center" vertical="center" wrapText="1"/>
    </xf>
    <xf numFmtId="3" fontId="12" fillId="4" borderId="19" xfId="0" applyNumberFormat="1" applyFont="1" applyFill="1" applyBorder="1" applyAlignment="1">
      <alignment horizontal="right" vertical="center" wrapText="1"/>
    </xf>
    <xf numFmtId="3" fontId="12" fillId="4" borderId="19" xfId="0" applyNumberFormat="1" applyFont="1" applyFill="1" applyBorder="1" applyAlignment="1">
      <alignment horizontal="center" vertical="center" wrapText="1"/>
    </xf>
    <xf numFmtId="4" fontId="12" fillId="4" borderId="17" xfId="0" applyNumberFormat="1" applyFont="1" applyFill="1" applyBorder="1" applyAlignment="1">
      <alignment horizontal="center" vertical="center" wrapText="1"/>
    </xf>
    <xf numFmtId="4" fontId="12" fillId="0" borderId="17" xfId="0" applyNumberFormat="1" applyFont="1" applyBorder="1" applyAlignment="1">
      <alignment horizontal="center" vertical="center" wrapText="1"/>
    </xf>
    <xf numFmtId="4" fontId="12" fillId="4" borderId="19" xfId="0" applyNumberFormat="1" applyFont="1" applyFill="1" applyBorder="1" applyAlignment="1">
      <alignment horizontal="center" vertical="center" wrapText="1"/>
    </xf>
    <xf numFmtId="12" fontId="4" fillId="2" borderId="5" xfId="0" applyNumberFormat="1" applyFont="1" applyFill="1" applyBorder="1" applyAlignment="1">
      <alignment horizontal="center" vertical="center" wrapText="1"/>
    </xf>
    <xf numFmtId="189" fontId="4" fillId="2" borderId="5" xfId="0" applyNumberFormat="1" applyFont="1" applyFill="1" applyBorder="1" applyAlignment="1">
      <alignment horizontal="center" vertical="center" wrapText="1"/>
    </xf>
    <xf numFmtId="164" fontId="6" fillId="4" borderId="7" xfId="0" applyNumberFormat="1" applyFont="1" applyFill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2" fontId="4" fillId="2" borderId="56" xfId="0" applyNumberFormat="1" applyFont="1" applyFill="1" applyBorder="1" applyAlignment="1">
      <alignment horizontal="center" vertical="center" wrapText="1"/>
    </xf>
    <xf numFmtId="164" fontId="6" fillId="4" borderId="17" xfId="0" applyNumberFormat="1" applyFont="1" applyFill="1" applyBorder="1" applyAlignment="1">
      <alignment horizontal="center" vertical="center" wrapText="1"/>
    </xf>
    <xf numFmtId="164" fontId="6" fillId="0" borderId="17" xfId="0" applyNumberFormat="1" applyFont="1" applyBorder="1" applyAlignment="1">
      <alignment horizontal="center" vertical="center" wrapText="1"/>
    </xf>
    <xf numFmtId="0" fontId="6" fillId="4" borderId="57" xfId="0" applyFont="1" applyFill="1" applyBorder="1" applyAlignment="1">
      <alignment horizontal="center" vertical="center" wrapText="1"/>
    </xf>
    <xf numFmtId="0" fontId="6" fillId="4" borderId="68" xfId="0" applyFont="1" applyFill="1" applyBorder="1" applyAlignment="1">
      <alignment horizontal="center" vertical="center" wrapText="1"/>
    </xf>
    <xf numFmtId="164" fontId="6" fillId="4" borderId="68" xfId="0" applyNumberFormat="1" applyFont="1" applyFill="1" applyBorder="1" applyAlignment="1">
      <alignment horizontal="center" vertical="center" wrapText="1"/>
    </xf>
    <xf numFmtId="164" fontId="6" fillId="4" borderId="19" xfId="0" applyNumberFormat="1" applyFont="1" applyFill="1" applyBorder="1" applyAlignment="1">
      <alignment horizontal="center" vertical="center" wrapText="1"/>
    </xf>
    <xf numFmtId="13" fontId="30" fillId="0" borderId="42" xfId="0" applyNumberFormat="1" applyFont="1" applyBorder="1" applyAlignment="1">
      <alignment horizontal="left"/>
    </xf>
    <xf numFmtId="190" fontId="19" fillId="0" borderId="39" xfId="0" applyNumberFormat="1" applyFont="1" applyBorder="1" applyAlignment="1">
      <alignment horizontal="center" vertical="center"/>
    </xf>
    <xf numFmtId="191" fontId="19" fillId="0" borderId="42" xfId="0" applyNumberFormat="1" applyFont="1" applyBorder="1" applyAlignment="1">
      <alignment horizontal="center" vertical="center"/>
    </xf>
    <xf numFmtId="192" fontId="19" fillId="0" borderId="42" xfId="0" applyNumberFormat="1" applyFont="1" applyBorder="1" applyAlignment="1">
      <alignment horizontal="center" vertical="center"/>
    </xf>
    <xf numFmtId="193" fontId="19" fillId="0" borderId="39" xfId="0" applyNumberFormat="1" applyFont="1" applyBorder="1" applyAlignment="1">
      <alignment horizontal="center" vertical="center"/>
    </xf>
    <xf numFmtId="194" fontId="19" fillId="0" borderId="42" xfId="0" applyNumberFormat="1" applyFont="1" applyBorder="1" applyAlignment="1">
      <alignment horizontal="center" vertical="center"/>
    </xf>
    <xf numFmtId="195" fontId="19" fillId="0" borderId="39" xfId="0" applyNumberFormat="1" applyFont="1" applyBorder="1" applyAlignment="1">
      <alignment horizontal="center" vertical="center"/>
    </xf>
    <xf numFmtId="0" fontId="30" fillId="0" borderId="42" xfId="0" applyNumberFormat="1" applyFont="1" applyBorder="1" applyAlignment="1">
      <alignment horizontal="left"/>
    </xf>
    <xf numFmtId="0" fontId="27" fillId="0" borderId="14" xfId="0" applyFont="1" applyBorder="1"/>
    <xf numFmtId="176" fontId="19" fillId="0" borderId="49" xfId="0" applyNumberFormat="1" applyFont="1" applyBorder="1" applyAlignment="1">
      <alignment horizontal="center" vertical="center"/>
    </xf>
    <xf numFmtId="177" fontId="19" fillId="0" borderId="49" xfId="0" applyNumberFormat="1" applyFont="1" applyBorder="1" applyAlignment="1">
      <alignment horizontal="center" vertical="center"/>
    </xf>
    <xf numFmtId="0" fontId="19" fillId="0" borderId="28" xfId="0" applyFont="1" applyBorder="1"/>
    <xf numFmtId="0" fontId="27" fillId="0" borderId="13" xfId="0" applyFont="1" applyBorder="1"/>
    <xf numFmtId="0" fontId="19" fillId="0" borderId="13" xfId="0" applyFont="1" applyBorder="1" applyAlignment="1">
      <alignment horizontal="center" vertical="center"/>
    </xf>
    <xf numFmtId="172" fontId="19" fillId="0" borderId="13" xfId="0" applyNumberFormat="1" applyFont="1" applyBorder="1" applyAlignment="1">
      <alignment horizontal="center" vertical="center"/>
    </xf>
    <xf numFmtId="186" fontId="19" fillId="0" borderId="13" xfId="0" applyNumberFormat="1" applyFont="1" applyBorder="1" applyAlignment="1">
      <alignment horizontal="center" vertical="center"/>
    </xf>
    <xf numFmtId="196" fontId="19" fillId="0" borderId="42" xfId="0" applyNumberFormat="1" applyFont="1" applyBorder="1" applyAlignment="1">
      <alignment horizontal="center" vertical="center"/>
    </xf>
    <xf numFmtId="197" fontId="19" fillId="0" borderId="39" xfId="0" applyNumberFormat="1" applyFont="1" applyBorder="1" applyAlignment="1">
      <alignment horizontal="center" vertical="center"/>
    </xf>
    <xf numFmtId="0" fontId="19" fillId="7" borderId="31" xfId="0" applyFont="1" applyFill="1" applyBorder="1"/>
    <xf numFmtId="0" fontId="19" fillId="7" borderId="32" xfId="0" applyFont="1" applyFill="1" applyBorder="1"/>
    <xf numFmtId="0" fontId="19" fillId="7" borderId="33" xfId="0" applyFont="1" applyFill="1" applyBorder="1"/>
    <xf numFmtId="178" fontId="19" fillId="0" borderId="43" xfId="0" applyNumberFormat="1" applyFont="1" applyBorder="1" applyAlignment="1">
      <alignment horizontal="center" vertical="center"/>
    </xf>
    <xf numFmtId="179" fontId="19" fillId="0" borderId="43" xfId="0" applyNumberFormat="1" applyFont="1" applyBorder="1" applyAlignment="1">
      <alignment horizontal="center" vertical="center"/>
    </xf>
    <xf numFmtId="0" fontId="10" fillId="3" borderId="62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164" fontId="6" fillId="0" borderId="19" xfId="0" applyNumberFormat="1" applyFont="1" applyBorder="1" applyAlignment="1">
      <alignment horizontal="center" vertical="center" wrapText="1"/>
    </xf>
    <xf numFmtId="198" fontId="30" fillId="0" borderId="42" xfId="0" applyNumberFormat="1" applyFont="1" applyBorder="1" applyAlignment="1">
      <alignment horizontal="left"/>
    </xf>
    <xf numFmtId="164" fontId="19" fillId="0" borderId="48" xfId="0" applyNumberFormat="1" applyFont="1" applyBorder="1" applyAlignment="1">
      <alignment horizontal="center" vertical="center"/>
    </xf>
    <xf numFmtId="164" fontId="19" fillId="0" borderId="39" xfId="0" applyNumberFormat="1" applyFont="1" applyBorder="1" applyAlignment="1">
      <alignment horizontal="center" vertical="center"/>
    </xf>
    <xf numFmtId="0" fontId="28" fillId="2" borderId="26" xfId="0" applyFont="1" applyFill="1" applyBorder="1" applyAlignment="1">
      <alignment horizontal="center"/>
    </xf>
    <xf numFmtId="0" fontId="28" fillId="2" borderId="27" xfId="0" applyFont="1" applyFill="1" applyBorder="1" applyAlignment="1">
      <alignment horizontal="center"/>
    </xf>
    <xf numFmtId="0" fontId="28" fillId="2" borderId="28" xfId="0" applyFont="1" applyFill="1" applyBorder="1" applyAlignment="1">
      <alignment horizontal="center"/>
    </xf>
    <xf numFmtId="164" fontId="19" fillId="0" borderId="26" xfId="0" applyNumberFormat="1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7" fillId="0" borderId="26" xfId="0" applyFont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8" fillId="2" borderId="14" xfId="0" applyFont="1" applyFill="1" applyBorder="1" applyAlignment="1">
      <alignment horizontal="center"/>
    </xf>
    <xf numFmtId="0" fontId="28" fillId="2" borderId="15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165" fontId="19" fillId="0" borderId="26" xfId="0" applyNumberFormat="1" applyFont="1" applyBorder="1" applyAlignment="1">
      <alignment horizontal="center" vertical="center"/>
    </xf>
    <xf numFmtId="165" fontId="19" fillId="0" borderId="28" xfId="0" applyNumberFormat="1" applyFont="1" applyBorder="1" applyAlignment="1">
      <alignment horizontal="center" vertical="center"/>
    </xf>
    <xf numFmtId="164" fontId="19" fillId="0" borderId="46" xfId="0" applyNumberFormat="1" applyFont="1" applyBorder="1" applyAlignment="1">
      <alignment horizontal="center" vertical="center"/>
    </xf>
    <xf numFmtId="164" fontId="19" fillId="0" borderId="40" xfId="0" applyNumberFormat="1" applyFont="1" applyBorder="1" applyAlignment="1">
      <alignment horizontal="center" vertical="center"/>
    </xf>
    <xf numFmtId="9" fontId="19" fillId="0" borderId="46" xfId="1" applyFont="1" applyBorder="1" applyAlignment="1">
      <alignment horizontal="center" vertical="center"/>
    </xf>
    <xf numFmtId="9" fontId="19" fillId="0" borderId="40" xfId="1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165" fontId="19" fillId="0" borderId="47" xfId="0" applyNumberFormat="1" applyFont="1" applyBorder="1" applyAlignment="1">
      <alignment horizontal="center" vertical="center"/>
    </xf>
    <xf numFmtId="165" fontId="19" fillId="0" borderId="38" xfId="0" applyNumberFormat="1" applyFont="1" applyBorder="1" applyAlignment="1">
      <alignment horizontal="center" vertical="center"/>
    </xf>
    <xf numFmtId="165" fontId="19" fillId="0" borderId="48" xfId="0" applyNumberFormat="1" applyFont="1" applyBorder="1" applyAlignment="1">
      <alignment horizontal="center" vertical="center"/>
    </xf>
    <xf numFmtId="165" fontId="19" fillId="0" borderId="39" xfId="0" applyNumberFormat="1" applyFont="1" applyBorder="1" applyAlignment="1">
      <alignment horizontal="center" vertical="center"/>
    </xf>
    <xf numFmtId="173" fontId="19" fillId="0" borderId="46" xfId="0" applyNumberFormat="1" applyFont="1" applyBorder="1" applyAlignment="1">
      <alignment horizontal="center" vertical="center"/>
    </xf>
    <xf numFmtId="173" fontId="19" fillId="0" borderId="40" xfId="0" applyNumberFormat="1" applyFont="1" applyBorder="1" applyAlignment="1">
      <alignment horizontal="center" vertical="center"/>
    </xf>
    <xf numFmtId="9" fontId="19" fillId="0" borderId="48" xfId="0" applyNumberFormat="1" applyFont="1" applyBorder="1" applyAlignment="1">
      <alignment horizontal="center" vertical="center"/>
    </xf>
    <xf numFmtId="9" fontId="19" fillId="0" borderId="39" xfId="0" applyNumberFormat="1" applyFont="1" applyBorder="1" applyAlignment="1">
      <alignment horizontal="center" vertical="center"/>
    </xf>
    <xf numFmtId="0" fontId="27" fillId="0" borderId="14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9" fillId="0" borderId="36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52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29" fillId="3" borderId="21" xfId="0" applyFont="1" applyFill="1" applyBorder="1" applyAlignment="1">
      <alignment horizontal="left" vertical="center" wrapText="1" indent="7"/>
    </xf>
    <xf numFmtId="0" fontId="4" fillId="2" borderId="29" xfId="0" applyFont="1" applyFill="1" applyBorder="1" applyAlignment="1">
      <alignment horizontal="center" vertical="center" wrapText="1"/>
    </xf>
    <xf numFmtId="0" fontId="4" fillId="2" borderId="51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6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9" fillId="3" borderId="21" xfId="0" applyFont="1" applyFill="1" applyBorder="1" applyAlignment="1">
      <alignment horizontal="left" vertical="center" wrapText="1" indent="4"/>
    </xf>
    <xf numFmtId="0" fontId="10" fillId="3" borderId="26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3" fillId="2" borderId="9" xfId="0" applyFont="1" applyFill="1" applyBorder="1" applyAlignment="1">
      <alignment horizontal="justify" vertical="center" wrapText="1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 indent="3"/>
    </xf>
    <xf numFmtId="0" fontId="6" fillId="0" borderId="23" xfId="0" applyFont="1" applyBorder="1" applyAlignment="1">
      <alignment horizontal="left" vertical="center" wrapText="1" indent="3"/>
    </xf>
    <xf numFmtId="0" fontId="6" fillId="0" borderId="6" xfId="0" applyFont="1" applyBorder="1" applyAlignment="1">
      <alignment horizontal="left" vertical="center" wrapText="1" indent="3"/>
    </xf>
    <xf numFmtId="0" fontId="6" fillId="0" borderId="7" xfId="0" applyFont="1" applyBorder="1" applyAlignment="1">
      <alignment horizontal="left" vertical="center" wrapText="1" indent="3"/>
    </xf>
    <xf numFmtId="0" fontId="6" fillId="0" borderId="1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5" borderId="20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right" vertical="center" wrapText="1" indent="1"/>
    </xf>
    <xf numFmtId="0" fontId="14" fillId="5" borderId="25" xfId="0" applyFont="1" applyFill="1" applyBorder="1" applyAlignment="1">
      <alignment horizontal="right" vertical="center" wrapText="1" indent="1"/>
    </xf>
    <xf numFmtId="0" fontId="16" fillId="4" borderId="11" xfId="0" applyFont="1" applyFill="1" applyBorder="1" applyAlignment="1">
      <alignment horizontal="left" vertical="center" wrapText="1" indent="3"/>
    </xf>
    <xf numFmtId="0" fontId="16" fillId="4" borderId="10" xfId="0" applyFont="1" applyFill="1" applyBorder="1" applyAlignment="1">
      <alignment horizontal="left" vertical="center" wrapText="1" indent="3"/>
    </xf>
    <xf numFmtId="0" fontId="16" fillId="4" borderId="4" xfId="0" applyFont="1" applyFill="1" applyBorder="1" applyAlignment="1">
      <alignment horizontal="left" vertical="center" wrapText="1" indent="3"/>
    </xf>
    <xf numFmtId="0" fontId="16" fillId="4" borderId="12" xfId="0" applyFont="1" applyFill="1" applyBorder="1" applyAlignment="1">
      <alignment horizontal="left" vertical="center" wrapText="1" indent="3"/>
    </xf>
    <xf numFmtId="0" fontId="16" fillId="4" borderId="9" xfId="0" applyFont="1" applyFill="1" applyBorder="1" applyAlignment="1">
      <alignment horizontal="left" vertical="center" wrapText="1" indent="3"/>
    </xf>
    <xf numFmtId="0" fontId="16" fillId="4" borderId="5" xfId="0" applyFont="1" applyFill="1" applyBorder="1" applyAlignment="1">
      <alignment horizontal="left" vertical="center" wrapText="1" indent="3"/>
    </xf>
    <xf numFmtId="0" fontId="16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 indent="3"/>
    </xf>
    <xf numFmtId="0" fontId="6" fillId="0" borderId="4" xfId="0" applyFont="1" applyBorder="1" applyAlignment="1">
      <alignment horizontal="left" vertical="center" wrapText="1" indent="3"/>
    </xf>
    <xf numFmtId="0" fontId="0" fillId="0" borderId="14" xfId="0" applyBorder="1" applyAlignment="1">
      <alignment horizontal="left" wrapText="1"/>
    </xf>
    <xf numFmtId="0" fontId="0" fillId="0" borderId="29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19" xfId="0" applyBorder="1" applyAlignment="1">
      <alignment horizontal="left"/>
    </xf>
    <xf numFmtId="0" fontId="14" fillId="5" borderId="12" xfId="0" applyFont="1" applyFill="1" applyBorder="1" applyAlignment="1">
      <alignment horizontal="left" vertical="center" wrapText="1" indent="14"/>
    </xf>
    <xf numFmtId="0" fontId="14" fillId="5" borderId="9" xfId="0" applyFont="1" applyFill="1" applyBorder="1" applyAlignment="1">
      <alignment horizontal="left" vertical="center" wrapText="1" indent="14"/>
    </xf>
    <xf numFmtId="0" fontId="16" fillId="2" borderId="20" xfId="0" applyFont="1" applyFill="1" applyBorder="1" applyAlignment="1">
      <alignment horizontal="left" vertical="center" wrapText="1" indent="3"/>
    </xf>
    <xf numFmtId="0" fontId="16" fillId="2" borderId="3" xfId="0" applyFont="1" applyFill="1" applyBorder="1" applyAlignment="1">
      <alignment horizontal="left" vertical="center" wrapText="1" indent="3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9" fontId="23" fillId="6" borderId="1" xfId="0" applyNumberFormat="1" applyFont="1" applyFill="1" applyBorder="1" applyAlignment="1">
      <alignment horizontal="center" wrapText="1"/>
    </xf>
    <xf numFmtId="9" fontId="23" fillId="6" borderId="8" xfId="0" applyNumberFormat="1" applyFont="1" applyFill="1" applyBorder="1" applyAlignment="1">
      <alignment horizontal="center" wrapText="1"/>
    </xf>
    <xf numFmtId="9" fontId="23" fillId="6" borderId="2" xfId="0" applyNumberFormat="1" applyFont="1" applyFill="1" applyBorder="1" applyAlignment="1">
      <alignment horizontal="center" wrapText="1"/>
    </xf>
    <xf numFmtId="9" fontId="23" fillId="0" borderId="1" xfId="0" applyNumberFormat="1" applyFont="1" applyBorder="1" applyAlignment="1">
      <alignment horizontal="center" wrapText="1"/>
    </xf>
    <xf numFmtId="9" fontId="23" fillId="0" borderId="8" xfId="0" applyNumberFormat="1" applyFont="1" applyBorder="1" applyAlignment="1">
      <alignment horizontal="center" wrapText="1"/>
    </xf>
    <xf numFmtId="9" fontId="23" fillId="0" borderId="2" xfId="0" applyNumberFormat="1" applyFont="1" applyBorder="1" applyAlignment="1">
      <alignment horizontal="center" wrapText="1"/>
    </xf>
    <xf numFmtId="0" fontId="23" fillId="0" borderId="1" xfId="0" applyFont="1" applyBorder="1" applyAlignment="1">
      <alignment horizontal="center" wrapText="1"/>
    </xf>
    <xf numFmtId="0" fontId="23" fillId="0" borderId="8" xfId="0" applyFont="1" applyBorder="1" applyAlignment="1">
      <alignment horizontal="center" wrapText="1"/>
    </xf>
    <xf numFmtId="0" fontId="23" fillId="0" borderId="2" xfId="0" applyFont="1" applyBorder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2" borderId="12" xfId="0" applyFont="1" applyFill="1" applyBorder="1" applyAlignment="1">
      <alignment horizontal="left" vertical="center" wrapText="1" indent="12"/>
    </xf>
    <xf numFmtId="0" fontId="4" fillId="2" borderId="9" xfId="0" applyFont="1" applyFill="1" applyBorder="1" applyAlignment="1">
      <alignment horizontal="left" vertical="center" wrapText="1" indent="12"/>
    </xf>
    <xf numFmtId="0" fontId="4" fillId="2" borderId="5" xfId="0" applyFont="1" applyFill="1" applyBorder="1" applyAlignment="1">
      <alignment horizontal="left" vertical="center" wrapText="1" indent="12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2" fillId="0" borderId="74" xfId="0" applyFont="1" applyBorder="1" applyAlignment="1">
      <alignment horizontal="center" vertical="center" wrapText="1"/>
    </xf>
    <xf numFmtId="0" fontId="32" fillId="0" borderId="75" xfId="0" applyFont="1" applyBorder="1" applyAlignment="1">
      <alignment horizontal="center" vertical="center" wrapText="1"/>
    </xf>
    <xf numFmtId="0" fontId="32" fillId="0" borderId="82" xfId="0" applyFont="1" applyBorder="1" applyAlignment="1">
      <alignment horizontal="center" vertical="center" wrapText="1"/>
    </xf>
    <xf numFmtId="0" fontId="32" fillId="0" borderId="83" xfId="0" applyFont="1" applyBorder="1" applyAlignment="1">
      <alignment horizontal="center" vertical="center" wrapText="1"/>
    </xf>
    <xf numFmtId="0" fontId="27" fillId="0" borderId="26" xfId="0" applyFont="1" applyBorder="1"/>
    <xf numFmtId="0" fontId="34" fillId="0" borderId="0" xfId="0" applyFont="1"/>
    <xf numFmtId="1" fontId="19" fillId="0" borderId="47" xfId="0" applyNumberFormat="1" applyFont="1" applyBorder="1" applyAlignment="1">
      <alignment horizontal="center" vertical="center"/>
    </xf>
    <xf numFmtId="1" fontId="19" fillId="0" borderId="38" xfId="0" applyNumberFormat="1" applyFont="1" applyBorder="1" applyAlignment="1">
      <alignment horizontal="center" vertical="center"/>
    </xf>
    <xf numFmtId="0" fontId="19" fillId="0" borderId="26" xfId="0" applyNumberFormat="1" applyFont="1" applyBorder="1" applyAlignment="1">
      <alignment horizontal="center" vertical="center"/>
    </xf>
    <xf numFmtId="0" fontId="19" fillId="0" borderId="28" xfId="0" applyNumberFormat="1" applyFont="1" applyBorder="1" applyAlignment="1">
      <alignment horizontal="center" vertical="center"/>
    </xf>
    <xf numFmtId="0" fontId="19" fillId="0" borderId="29" xfId="0" applyFont="1" applyBorder="1"/>
    <xf numFmtId="0" fontId="19" fillId="0" borderId="15" xfId="0" applyFont="1" applyBorder="1"/>
    <xf numFmtId="0" fontId="19" fillId="7" borderId="0" xfId="0" applyFont="1" applyFill="1" applyBorder="1"/>
    <xf numFmtId="0" fontId="19" fillId="7" borderId="17" xfId="0" applyFont="1" applyFill="1" applyBorder="1"/>
    <xf numFmtId="0" fontId="19" fillId="7" borderId="30" xfId="0" applyFont="1" applyFill="1" applyBorder="1"/>
    <xf numFmtId="0" fontId="19" fillId="7" borderId="19" xfId="0" applyFont="1" applyFill="1" applyBorder="1"/>
    <xf numFmtId="0" fontId="35" fillId="0" borderId="0" xfId="0" applyFont="1"/>
    <xf numFmtId="1" fontId="19" fillId="0" borderId="26" xfId="0" applyNumberFormat="1" applyFont="1" applyBorder="1" applyAlignment="1">
      <alignment horizontal="center" vertical="center"/>
    </xf>
    <xf numFmtId="1" fontId="19" fillId="0" borderId="13" xfId="0" applyNumberFormat="1" applyFont="1" applyBorder="1" applyAlignment="1">
      <alignment horizontal="center" vertical="center"/>
    </xf>
    <xf numFmtId="2" fontId="19" fillId="0" borderId="26" xfId="0" applyNumberFormat="1" applyFont="1" applyBorder="1" applyAlignment="1">
      <alignment horizontal="center" vertical="center"/>
    </xf>
    <xf numFmtId="2" fontId="19" fillId="0" borderId="28" xfId="0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7"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FF0000"/>
      </font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FF0000"/>
      </font>
    </dxf>
    <dxf>
      <font>
        <b/>
        <i/>
        <color rgb="FF00B050"/>
      </font>
      <fill>
        <patternFill patternType="none">
          <bgColor auto="1"/>
        </patternFill>
      </fill>
    </dxf>
    <dxf>
      <font>
        <b/>
        <i/>
        <color rgb="FFFF0000"/>
      </font>
    </dxf>
  </dxfs>
  <tableStyles count="0" defaultTableStyle="TableStyleMedium2" defaultPivotStyle="PivotStyleLight16"/>
  <colors>
    <mruColors>
      <color rgb="FFFFD8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39</xdr:row>
      <xdr:rowOff>9525</xdr:rowOff>
    </xdr:from>
    <xdr:to>
      <xdr:col>7</xdr:col>
      <xdr:colOff>323850</xdr:colOff>
      <xdr:row>42</xdr:row>
      <xdr:rowOff>76200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58F5D56-1B39-4F24-97BB-F8001072F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7248525"/>
          <a:ext cx="276225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361950</xdr:colOff>
      <xdr:row>61</xdr:row>
      <xdr:rowOff>152400</xdr:rowOff>
    </xdr:from>
    <xdr:to>
      <xdr:col>7</xdr:col>
      <xdr:colOff>438150</xdr:colOff>
      <xdr:row>63</xdr:row>
      <xdr:rowOff>123825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35B5344-22DC-47CE-8F75-EA18FDDEB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9610725"/>
          <a:ext cx="23622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28575</xdr:colOff>
      <xdr:row>69</xdr:row>
      <xdr:rowOff>38100</xdr:rowOff>
    </xdr:from>
    <xdr:to>
      <xdr:col>7</xdr:col>
      <xdr:colOff>95761</xdr:colOff>
      <xdr:row>82</xdr:row>
      <xdr:rowOff>124167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83D9FD1-801F-4865-972D-718699974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95900" y="11268075"/>
          <a:ext cx="3658111" cy="2448267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70</xdr:row>
      <xdr:rowOff>152400</xdr:rowOff>
    </xdr:from>
    <xdr:to>
      <xdr:col>11</xdr:col>
      <xdr:colOff>352792</xdr:colOff>
      <xdr:row>81</xdr:row>
      <xdr:rowOff>124099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A433EB68-CFC0-4B3B-87D5-3C36E1E0D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96225" y="11525250"/>
          <a:ext cx="2629267" cy="1962424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83</xdr:row>
      <xdr:rowOff>104775</xdr:rowOff>
    </xdr:from>
    <xdr:to>
      <xdr:col>8</xdr:col>
      <xdr:colOff>76812</xdr:colOff>
      <xdr:row>87</xdr:row>
      <xdr:rowOff>95251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C0BFEED-E3EF-4E51-B5F3-5174E2170A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1087" t="7608" r="1087" b="10881"/>
        <a:stretch/>
      </xdr:blipFill>
      <xdr:spPr>
        <a:xfrm>
          <a:off x="5429250" y="13201650"/>
          <a:ext cx="4382112" cy="714376"/>
        </a:xfrm>
        <a:prstGeom prst="rect">
          <a:avLst/>
        </a:prstGeom>
      </xdr:spPr>
    </xdr:pic>
    <xdr:clientData/>
  </xdr:twoCellAnchor>
  <xdr:twoCellAnchor>
    <xdr:from>
      <xdr:col>3</xdr:col>
      <xdr:colOff>447675</xdr:colOff>
      <xdr:row>34</xdr:row>
      <xdr:rowOff>161925</xdr:rowOff>
    </xdr:from>
    <xdr:to>
      <xdr:col>8</xdr:col>
      <xdr:colOff>619125</xdr:colOff>
      <xdr:row>36</xdr:row>
      <xdr:rowOff>123825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11A378B7-5267-432C-9BBD-F2C553A92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6496050"/>
          <a:ext cx="44958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590550</xdr:colOff>
      <xdr:row>50</xdr:row>
      <xdr:rowOff>28575</xdr:rowOff>
    </xdr:from>
    <xdr:to>
      <xdr:col>8</xdr:col>
      <xdr:colOff>476250</xdr:colOff>
      <xdr:row>53</xdr:row>
      <xdr:rowOff>85725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4DB8FB25-F535-4022-83E9-028BCCB32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7950" y="9305925"/>
          <a:ext cx="421005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93</xdr:row>
      <xdr:rowOff>38099</xdr:rowOff>
    </xdr:from>
    <xdr:to>
      <xdr:col>5</xdr:col>
      <xdr:colOff>749620</xdr:colOff>
      <xdr:row>124</xdr:row>
      <xdr:rowOff>182046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11B30B-D18E-47A4-B36A-C6D6AD0B2B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005"/>
        <a:stretch/>
      </xdr:blipFill>
      <xdr:spPr>
        <a:xfrm>
          <a:off x="47625" y="18240374"/>
          <a:ext cx="6150295" cy="6049447"/>
        </a:xfrm>
        <a:prstGeom prst="rect">
          <a:avLst/>
        </a:prstGeom>
      </xdr:spPr>
    </xdr:pic>
    <xdr:clientData/>
  </xdr:twoCellAnchor>
  <xdr:twoCellAnchor>
    <xdr:from>
      <xdr:col>0</xdr:col>
      <xdr:colOff>41673</xdr:colOff>
      <xdr:row>145</xdr:row>
      <xdr:rowOff>78380</xdr:rowOff>
    </xdr:from>
    <xdr:to>
      <xdr:col>5</xdr:col>
      <xdr:colOff>621196</xdr:colOff>
      <xdr:row>163</xdr:row>
      <xdr:rowOff>34202</xdr:rowOff>
    </xdr:to>
    <xdr:grpSp>
      <xdr:nvGrpSpPr>
        <xdr:cNvPr id="3" name="Group 2296">
          <a:extLst>
            <a:ext uri="{FF2B5EF4-FFF2-40B4-BE49-F238E27FC236}">
              <a16:creationId xmlns:a16="http://schemas.microsoft.com/office/drawing/2014/main" id="{4B68A755-8605-4BE7-9F05-9BEAD1C80B69}"/>
            </a:ext>
          </a:extLst>
        </xdr:cNvPr>
        <xdr:cNvGrpSpPr/>
      </xdr:nvGrpSpPr>
      <xdr:grpSpPr>
        <a:xfrm>
          <a:off x="41673" y="29506489"/>
          <a:ext cx="6029480" cy="3384822"/>
          <a:chOff x="52281" y="40281"/>
          <a:chExt cx="6238528" cy="3503142"/>
        </a:xfrm>
      </xdr:grpSpPr>
      <xdr:sp macro="" textlink="">
        <xdr:nvSpPr>
          <xdr:cNvPr id="4" name="Rectangle 103">
            <a:extLst>
              <a:ext uri="{FF2B5EF4-FFF2-40B4-BE49-F238E27FC236}">
                <a16:creationId xmlns:a16="http://schemas.microsoft.com/office/drawing/2014/main" id="{5453C197-6E3F-48C8-99C6-3E26C63F9452}"/>
              </a:ext>
            </a:extLst>
          </xdr:cNvPr>
          <xdr:cNvSpPr/>
        </xdr:nvSpPr>
        <xdr:spPr>
          <a:xfrm>
            <a:off x="144736" y="189203"/>
            <a:ext cx="39913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5" name="Rectangle 104">
            <a:extLst>
              <a:ext uri="{FF2B5EF4-FFF2-40B4-BE49-F238E27FC236}">
                <a16:creationId xmlns:a16="http://schemas.microsoft.com/office/drawing/2014/main" id="{75E052EF-E308-4EC9-A9D2-7CB0A054304A}"/>
              </a:ext>
            </a:extLst>
          </xdr:cNvPr>
          <xdr:cNvSpPr/>
        </xdr:nvSpPr>
        <xdr:spPr>
          <a:xfrm>
            <a:off x="260242" y="189203"/>
            <a:ext cx="199567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3.0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6" name="Rectangle 105">
            <a:extLst>
              <a:ext uri="{FF2B5EF4-FFF2-40B4-BE49-F238E27FC236}">
                <a16:creationId xmlns:a16="http://schemas.microsoft.com/office/drawing/2014/main" id="{C49A2923-8B72-40F1-A340-1C25E1873962}"/>
              </a:ext>
            </a:extLst>
          </xdr:cNvPr>
          <xdr:cNvSpPr/>
        </xdr:nvSpPr>
        <xdr:spPr>
          <a:xfrm>
            <a:off x="144736" y="298883"/>
            <a:ext cx="398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7" name="Rectangle 106">
            <a:extLst>
              <a:ext uri="{FF2B5EF4-FFF2-40B4-BE49-F238E27FC236}">
                <a16:creationId xmlns:a16="http://schemas.microsoft.com/office/drawing/2014/main" id="{E9177AE4-6396-436E-85F1-DE189F54A272}"/>
              </a:ext>
            </a:extLst>
          </xdr:cNvPr>
          <xdr:cNvSpPr/>
        </xdr:nvSpPr>
        <xdr:spPr>
          <a:xfrm>
            <a:off x="260242" y="298883"/>
            <a:ext cx="1995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2.9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8" name="Rectangle 107">
            <a:extLst>
              <a:ext uri="{FF2B5EF4-FFF2-40B4-BE49-F238E27FC236}">
                <a16:creationId xmlns:a16="http://schemas.microsoft.com/office/drawing/2014/main" id="{9EA54466-3651-4931-9CBF-6758A69C76ED}"/>
              </a:ext>
            </a:extLst>
          </xdr:cNvPr>
          <xdr:cNvSpPr/>
        </xdr:nvSpPr>
        <xdr:spPr>
          <a:xfrm>
            <a:off x="144736" y="438570"/>
            <a:ext cx="398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9" name="Rectangle 108">
            <a:extLst>
              <a:ext uri="{FF2B5EF4-FFF2-40B4-BE49-F238E27FC236}">
                <a16:creationId xmlns:a16="http://schemas.microsoft.com/office/drawing/2014/main" id="{36EF9317-D523-45C0-A033-0ABDAA6D592B}"/>
              </a:ext>
            </a:extLst>
          </xdr:cNvPr>
          <xdr:cNvSpPr/>
        </xdr:nvSpPr>
        <xdr:spPr>
          <a:xfrm>
            <a:off x="260242" y="438571"/>
            <a:ext cx="1995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2.8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10" name="Rectangle 109">
            <a:extLst>
              <a:ext uri="{FF2B5EF4-FFF2-40B4-BE49-F238E27FC236}">
                <a16:creationId xmlns:a16="http://schemas.microsoft.com/office/drawing/2014/main" id="{5BB5DF8E-D4B9-4242-8491-F467F9EEC710}"/>
              </a:ext>
            </a:extLst>
          </xdr:cNvPr>
          <xdr:cNvSpPr/>
        </xdr:nvSpPr>
        <xdr:spPr>
          <a:xfrm>
            <a:off x="144736" y="578257"/>
            <a:ext cx="398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11" name="Rectangle 110">
            <a:extLst>
              <a:ext uri="{FF2B5EF4-FFF2-40B4-BE49-F238E27FC236}">
                <a16:creationId xmlns:a16="http://schemas.microsoft.com/office/drawing/2014/main" id="{65234C43-9973-4DDC-814E-56C1A972A433}"/>
              </a:ext>
            </a:extLst>
          </xdr:cNvPr>
          <xdr:cNvSpPr/>
        </xdr:nvSpPr>
        <xdr:spPr>
          <a:xfrm>
            <a:off x="260242" y="578258"/>
            <a:ext cx="1995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2.7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12" name="Rectangle 111">
            <a:extLst>
              <a:ext uri="{FF2B5EF4-FFF2-40B4-BE49-F238E27FC236}">
                <a16:creationId xmlns:a16="http://schemas.microsoft.com/office/drawing/2014/main" id="{52EEFE6A-6EE7-4FFF-9F15-6861CF3E8FB5}"/>
              </a:ext>
            </a:extLst>
          </xdr:cNvPr>
          <xdr:cNvSpPr/>
        </xdr:nvSpPr>
        <xdr:spPr>
          <a:xfrm>
            <a:off x="144736" y="717945"/>
            <a:ext cx="398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13" name="Rectangle 112">
            <a:extLst>
              <a:ext uri="{FF2B5EF4-FFF2-40B4-BE49-F238E27FC236}">
                <a16:creationId xmlns:a16="http://schemas.microsoft.com/office/drawing/2014/main" id="{917E9A51-2EA5-4194-A1EF-04FF87C2EB31}"/>
              </a:ext>
            </a:extLst>
          </xdr:cNvPr>
          <xdr:cNvSpPr/>
        </xdr:nvSpPr>
        <xdr:spPr>
          <a:xfrm>
            <a:off x="260242" y="717945"/>
            <a:ext cx="1995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2.6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14" name="Rectangle 113">
            <a:extLst>
              <a:ext uri="{FF2B5EF4-FFF2-40B4-BE49-F238E27FC236}">
                <a16:creationId xmlns:a16="http://schemas.microsoft.com/office/drawing/2014/main" id="{1B116606-223C-4D9D-814D-8C47FC7A57D4}"/>
              </a:ext>
            </a:extLst>
          </xdr:cNvPr>
          <xdr:cNvSpPr/>
        </xdr:nvSpPr>
        <xdr:spPr>
          <a:xfrm>
            <a:off x="144736" y="857632"/>
            <a:ext cx="398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15" name="Rectangle 114">
            <a:extLst>
              <a:ext uri="{FF2B5EF4-FFF2-40B4-BE49-F238E27FC236}">
                <a16:creationId xmlns:a16="http://schemas.microsoft.com/office/drawing/2014/main" id="{69E5BBBF-1E62-4227-AC33-1728432A2FC3}"/>
              </a:ext>
            </a:extLst>
          </xdr:cNvPr>
          <xdr:cNvSpPr/>
        </xdr:nvSpPr>
        <xdr:spPr>
          <a:xfrm>
            <a:off x="260242" y="857633"/>
            <a:ext cx="1995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2.5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16" name="Rectangle 115">
            <a:extLst>
              <a:ext uri="{FF2B5EF4-FFF2-40B4-BE49-F238E27FC236}">
                <a16:creationId xmlns:a16="http://schemas.microsoft.com/office/drawing/2014/main" id="{AFF9D830-4A18-46F4-8375-761558849F85}"/>
              </a:ext>
            </a:extLst>
          </xdr:cNvPr>
          <xdr:cNvSpPr/>
        </xdr:nvSpPr>
        <xdr:spPr>
          <a:xfrm>
            <a:off x="144736" y="997319"/>
            <a:ext cx="398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17" name="Rectangle 116">
            <a:extLst>
              <a:ext uri="{FF2B5EF4-FFF2-40B4-BE49-F238E27FC236}">
                <a16:creationId xmlns:a16="http://schemas.microsoft.com/office/drawing/2014/main" id="{1A389A2B-330F-4E20-95E1-661BB735163C}"/>
              </a:ext>
            </a:extLst>
          </xdr:cNvPr>
          <xdr:cNvSpPr/>
        </xdr:nvSpPr>
        <xdr:spPr>
          <a:xfrm>
            <a:off x="260242" y="997320"/>
            <a:ext cx="1995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2.4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18" name="Rectangle 117">
            <a:extLst>
              <a:ext uri="{FF2B5EF4-FFF2-40B4-BE49-F238E27FC236}">
                <a16:creationId xmlns:a16="http://schemas.microsoft.com/office/drawing/2014/main" id="{642EDBC7-8E33-48A2-BF2F-471E0378789E}"/>
              </a:ext>
            </a:extLst>
          </xdr:cNvPr>
          <xdr:cNvSpPr/>
        </xdr:nvSpPr>
        <xdr:spPr>
          <a:xfrm>
            <a:off x="144736" y="1167014"/>
            <a:ext cx="39913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19" name="Rectangle 118">
            <a:extLst>
              <a:ext uri="{FF2B5EF4-FFF2-40B4-BE49-F238E27FC236}">
                <a16:creationId xmlns:a16="http://schemas.microsoft.com/office/drawing/2014/main" id="{F45C45E7-15EB-4D3A-B1B5-B84045389A4B}"/>
              </a:ext>
            </a:extLst>
          </xdr:cNvPr>
          <xdr:cNvSpPr/>
        </xdr:nvSpPr>
        <xdr:spPr>
          <a:xfrm>
            <a:off x="260242" y="1167014"/>
            <a:ext cx="199567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2.3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20" name="Rectangle 119">
            <a:extLst>
              <a:ext uri="{FF2B5EF4-FFF2-40B4-BE49-F238E27FC236}">
                <a16:creationId xmlns:a16="http://schemas.microsoft.com/office/drawing/2014/main" id="{92C93529-E954-4C65-8562-F22A49FE8426}"/>
              </a:ext>
            </a:extLst>
          </xdr:cNvPr>
          <xdr:cNvSpPr/>
        </xdr:nvSpPr>
        <xdr:spPr>
          <a:xfrm>
            <a:off x="144736" y="1276694"/>
            <a:ext cx="398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21" name="Rectangle 120">
            <a:extLst>
              <a:ext uri="{FF2B5EF4-FFF2-40B4-BE49-F238E27FC236}">
                <a16:creationId xmlns:a16="http://schemas.microsoft.com/office/drawing/2014/main" id="{B52491F7-21D1-472E-9BD1-2933113EBDB4}"/>
              </a:ext>
            </a:extLst>
          </xdr:cNvPr>
          <xdr:cNvSpPr/>
        </xdr:nvSpPr>
        <xdr:spPr>
          <a:xfrm>
            <a:off x="260242" y="1276694"/>
            <a:ext cx="1995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2.2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22" name="Rectangle 121">
            <a:extLst>
              <a:ext uri="{FF2B5EF4-FFF2-40B4-BE49-F238E27FC236}">
                <a16:creationId xmlns:a16="http://schemas.microsoft.com/office/drawing/2014/main" id="{C9C72E1B-5A05-4758-BD59-EC9112F5F00D}"/>
              </a:ext>
            </a:extLst>
          </xdr:cNvPr>
          <xdr:cNvSpPr/>
        </xdr:nvSpPr>
        <xdr:spPr>
          <a:xfrm>
            <a:off x="144736" y="1416381"/>
            <a:ext cx="39889" cy="191097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23" name="Rectangle 122">
            <a:extLst>
              <a:ext uri="{FF2B5EF4-FFF2-40B4-BE49-F238E27FC236}">
                <a16:creationId xmlns:a16="http://schemas.microsoft.com/office/drawing/2014/main" id="{5905BCC7-A197-4BE9-97A3-96AC45B4282F}"/>
              </a:ext>
            </a:extLst>
          </xdr:cNvPr>
          <xdr:cNvSpPr/>
        </xdr:nvSpPr>
        <xdr:spPr>
          <a:xfrm>
            <a:off x="260242" y="1416381"/>
            <a:ext cx="199589" cy="191097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2.1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24" name="Rectangle 123">
            <a:extLst>
              <a:ext uri="{FF2B5EF4-FFF2-40B4-BE49-F238E27FC236}">
                <a16:creationId xmlns:a16="http://schemas.microsoft.com/office/drawing/2014/main" id="{6436AFF4-F9ED-425B-B560-A251DF0CF86B}"/>
              </a:ext>
            </a:extLst>
          </xdr:cNvPr>
          <xdr:cNvSpPr/>
        </xdr:nvSpPr>
        <xdr:spPr>
          <a:xfrm>
            <a:off x="144780" y="1536996"/>
            <a:ext cx="46929" cy="224819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100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25" name="Rectangle 124">
            <a:extLst>
              <a:ext uri="{FF2B5EF4-FFF2-40B4-BE49-F238E27FC236}">
                <a16:creationId xmlns:a16="http://schemas.microsoft.com/office/drawing/2014/main" id="{96490865-60EE-440D-972A-2B3A532510ED}"/>
              </a:ext>
            </a:extLst>
          </xdr:cNvPr>
          <xdr:cNvSpPr/>
        </xdr:nvSpPr>
        <xdr:spPr>
          <a:xfrm>
            <a:off x="260247" y="1556160"/>
            <a:ext cx="199589" cy="191097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2.0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26" name="Rectangle 125">
            <a:extLst>
              <a:ext uri="{FF2B5EF4-FFF2-40B4-BE49-F238E27FC236}">
                <a16:creationId xmlns:a16="http://schemas.microsoft.com/office/drawing/2014/main" id="{315B0BD9-8BBB-4881-BF43-B7DDC9DA50A9}"/>
              </a:ext>
            </a:extLst>
          </xdr:cNvPr>
          <xdr:cNvSpPr/>
        </xdr:nvSpPr>
        <xdr:spPr>
          <a:xfrm>
            <a:off x="144741" y="1695847"/>
            <a:ext cx="398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27" name="Rectangle 126">
            <a:extLst>
              <a:ext uri="{FF2B5EF4-FFF2-40B4-BE49-F238E27FC236}">
                <a16:creationId xmlns:a16="http://schemas.microsoft.com/office/drawing/2014/main" id="{9CD37915-AC28-45B3-B0A5-970EF450E023}"/>
              </a:ext>
            </a:extLst>
          </xdr:cNvPr>
          <xdr:cNvSpPr/>
        </xdr:nvSpPr>
        <xdr:spPr>
          <a:xfrm>
            <a:off x="260247" y="1695847"/>
            <a:ext cx="1995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1.9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28" name="Rectangle 127">
            <a:extLst>
              <a:ext uri="{FF2B5EF4-FFF2-40B4-BE49-F238E27FC236}">
                <a16:creationId xmlns:a16="http://schemas.microsoft.com/office/drawing/2014/main" id="{B262A8D7-0399-4C4F-9F1C-8AC266C0759C}"/>
              </a:ext>
            </a:extLst>
          </xdr:cNvPr>
          <xdr:cNvSpPr/>
        </xdr:nvSpPr>
        <xdr:spPr>
          <a:xfrm>
            <a:off x="144741" y="1835535"/>
            <a:ext cx="398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29" name="Rectangle 128">
            <a:extLst>
              <a:ext uri="{FF2B5EF4-FFF2-40B4-BE49-F238E27FC236}">
                <a16:creationId xmlns:a16="http://schemas.microsoft.com/office/drawing/2014/main" id="{828F0441-4446-4F54-80F6-AF5B11B04111}"/>
              </a:ext>
            </a:extLst>
          </xdr:cNvPr>
          <xdr:cNvSpPr/>
        </xdr:nvSpPr>
        <xdr:spPr>
          <a:xfrm>
            <a:off x="260247" y="1835535"/>
            <a:ext cx="1995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1.8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30" name="Rectangle 129">
            <a:extLst>
              <a:ext uri="{FF2B5EF4-FFF2-40B4-BE49-F238E27FC236}">
                <a16:creationId xmlns:a16="http://schemas.microsoft.com/office/drawing/2014/main" id="{0B00544F-D328-4D41-94DE-39788F863F16}"/>
              </a:ext>
            </a:extLst>
          </xdr:cNvPr>
          <xdr:cNvSpPr/>
        </xdr:nvSpPr>
        <xdr:spPr>
          <a:xfrm>
            <a:off x="144741" y="1975222"/>
            <a:ext cx="39889" cy="191097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31" name="Rectangle 130">
            <a:extLst>
              <a:ext uri="{FF2B5EF4-FFF2-40B4-BE49-F238E27FC236}">
                <a16:creationId xmlns:a16="http://schemas.microsoft.com/office/drawing/2014/main" id="{E911D6CD-C5FB-4A5C-9BC8-3EBFD1AA42CD}"/>
              </a:ext>
            </a:extLst>
          </xdr:cNvPr>
          <xdr:cNvSpPr/>
        </xdr:nvSpPr>
        <xdr:spPr>
          <a:xfrm>
            <a:off x="260247" y="1975223"/>
            <a:ext cx="1995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1.7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32" name="Rectangle 131">
            <a:extLst>
              <a:ext uri="{FF2B5EF4-FFF2-40B4-BE49-F238E27FC236}">
                <a16:creationId xmlns:a16="http://schemas.microsoft.com/office/drawing/2014/main" id="{605C78C7-1A68-46E1-A122-2DD3BD70713D}"/>
              </a:ext>
            </a:extLst>
          </xdr:cNvPr>
          <xdr:cNvSpPr/>
        </xdr:nvSpPr>
        <xdr:spPr>
          <a:xfrm>
            <a:off x="144741" y="2114909"/>
            <a:ext cx="398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33" name="Rectangle 132">
            <a:extLst>
              <a:ext uri="{FF2B5EF4-FFF2-40B4-BE49-F238E27FC236}">
                <a16:creationId xmlns:a16="http://schemas.microsoft.com/office/drawing/2014/main" id="{C2854666-2A66-4835-80D3-91E0CC4A5A50}"/>
              </a:ext>
            </a:extLst>
          </xdr:cNvPr>
          <xdr:cNvSpPr/>
        </xdr:nvSpPr>
        <xdr:spPr>
          <a:xfrm>
            <a:off x="260247" y="2114909"/>
            <a:ext cx="1995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1.6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34" name="Rectangle 133">
            <a:extLst>
              <a:ext uri="{FF2B5EF4-FFF2-40B4-BE49-F238E27FC236}">
                <a16:creationId xmlns:a16="http://schemas.microsoft.com/office/drawing/2014/main" id="{5CBCEC54-6AC1-4181-A6A7-5C695A884EB3}"/>
              </a:ext>
            </a:extLst>
          </xdr:cNvPr>
          <xdr:cNvSpPr/>
        </xdr:nvSpPr>
        <xdr:spPr>
          <a:xfrm>
            <a:off x="144741" y="2254596"/>
            <a:ext cx="39889" cy="191097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35" name="Rectangle 134">
            <a:extLst>
              <a:ext uri="{FF2B5EF4-FFF2-40B4-BE49-F238E27FC236}">
                <a16:creationId xmlns:a16="http://schemas.microsoft.com/office/drawing/2014/main" id="{694AAC06-0C4E-429B-B010-661C74E03F27}"/>
              </a:ext>
            </a:extLst>
          </xdr:cNvPr>
          <xdr:cNvSpPr/>
        </xdr:nvSpPr>
        <xdr:spPr>
          <a:xfrm>
            <a:off x="260247" y="2254596"/>
            <a:ext cx="199589" cy="191097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1.5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36" name="Rectangle 135">
            <a:extLst>
              <a:ext uri="{FF2B5EF4-FFF2-40B4-BE49-F238E27FC236}">
                <a16:creationId xmlns:a16="http://schemas.microsoft.com/office/drawing/2014/main" id="{7DB67E9F-0C66-4CA6-BD72-0E6BEB625B54}"/>
              </a:ext>
            </a:extLst>
          </xdr:cNvPr>
          <xdr:cNvSpPr/>
        </xdr:nvSpPr>
        <xdr:spPr>
          <a:xfrm>
            <a:off x="144741" y="2394284"/>
            <a:ext cx="398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37" name="Rectangle 136">
            <a:extLst>
              <a:ext uri="{FF2B5EF4-FFF2-40B4-BE49-F238E27FC236}">
                <a16:creationId xmlns:a16="http://schemas.microsoft.com/office/drawing/2014/main" id="{9A37DF5F-5994-469C-BBEA-548995F227BF}"/>
              </a:ext>
            </a:extLst>
          </xdr:cNvPr>
          <xdr:cNvSpPr/>
        </xdr:nvSpPr>
        <xdr:spPr>
          <a:xfrm>
            <a:off x="260247" y="2394284"/>
            <a:ext cx="1995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1.4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38" name="Rectangle 137">
            <a:extLst>
              <a:ext uri="{FF2B5EF4-FFF2-40B4-BE49-F238E27FC236}">
                <a16:creationId xmlns:a16="http://schemas.microsoft.com/office/drawing/2014/main" id="{D57ECFFC-DCBC-4AC4-AEF2-CE2A7288209D}"/>
              </a:ext>
            </a:extLst>
          </xdr:cNvPr>
          <xdr:cNvSpPr/>
        </xdr:nvSpPr>
        <xdr:spPr>
          <a:xfrm>
            <a:off x="144741" y="2563978"/>
            <a:ext cx="39913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39" name="Rectangle 138">
            <a:extLst>
              <a:ext uri="{FF2B5EF4-FFF2-40B4-BE49-F238E27FC236}">
                <a16:creationId xmlns:a16="http://schemas.microsoft.com/office/drawing/2014/main" id="{6F26163A-3050-4537-9F97-2207437589F1}"/>
              </a:ext>
            </a:extLst>
          </xdr:cNvPr>
          <xdr:cNvSpPr/>
        </xdr:nvSpPr>
        <xdr:spPr>
          <a:xfrm>
            <a:off x="260247" y="2563978"/>
            <a:ext cx="199567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1.3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40" name="Rectangle 139">
            <a:extLst>
              <a:ext uri="{FF2B5EF4-FFF2-40B4-BE49-F238E27FC236}">
                <a16:creationId xmlns:a16="http://schemas.microsoft.com/office/drawing/2014/main" id="{CC2FD35D-E5FA-4E59-9AB7-BF7FF04C9F1D}"/>
              </a:ext>
            </a:extLst>
          </xdr:cNvPr>
          <xdr:cNvSpPr/>
        </xdr:nvSpPr>
        <xdr:spPr>
          <a:xfrm>
            <a:off x="144741" y="2673659"/>
            <a:ext cx="398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41" name="Rectangle 140">
            <a:extLst>
              <a:ext uri="{FF2B5EF4-FFF2-40B4-BE49-F238E27FC236}">
                <a16:creationId xmlns:a16="http://schemas.microsoft.com/office/drawing/2014/main" id="{BDFCBEED-2778-403F-81EB-BC0C3D35177F}"/>
              </a:ext>
            </a:extLst>
          </xdr:cNvPr>
          <xdr:cNvSpPr/>
        </xdr:nvSpPr>
        <xdr:spPr>
          <a:xfrm>
            <a:off x="260247" y="2673659"/>
            <a:ext cx="1995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1.2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42" name="Rectangle 141">
            <a:extLst>
              <a:ext uri="{FF2B5EF4-FFF2-40B4-BE49-F238E27FC236}">
                <a16:creationId xmlns:a16="http://schemas.microsoft.com/office/drawing/2014/main" id="{8475186E-C660-4F07-A4EE-4F10EF1B5E99}"/>
              </a:ext>
            </a:extLst>
          </xdr:cNvPr>
          <xdr:cNvSpPr/>
        </xdr:nvSpPr>
        <xdr:spPr>
          <a:xfrm>
            <a:off x="144741" y="2813346"/>
            <a:ext cx="398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43" name="Rectangle 142">
            <a:extLst>
              <a:ext uri="{FF2B5EF4-FFF2-40B4-BE49-F238E27FC236}">
                <a16:creationId xmlns:a16="http://schemas.microsoft.com/office/drawing/2014/main" id="{D769652A-2AE1-4E3A-8251-8DA69EAAA2B0}"/>
              </a:ext>
            </a:extLst>
          </xdr:cNvPr>
          <xdr:cNvSpPr/>
        </xdr:nvSpPr>
        <xdr:spPr>
          <a:xfrm>
            <a:off x="260247" y="2813346"/>
            <a:ext cx="1995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1.1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44" name="Rectangle 143">
            <a:extLst>
              <a:ext uri="{FF2B5EF4-FFF2-40B4-BE49-F238E27FC236}">
                <a16:creationId xmlns:a16="http://schemas.microsoft.com/office/drawing/2014/main" id="{4ED85012-EF4C-48A4-AE22-299547B0FFD0}"/>
              </a:ext>
            </a:extLst>
          </xdr:cNvPr>
          <xdr:cNvSpPr/>
        </xdr:nvSpPr>
        <xdr:spPr>
          <a:xfrm>
            <a:off x="144741" y="2953033"/>
            <a:ext cx="39889" cy="191097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45" name="Rectangle 144">
            <a:extLst>
              <a:ext uri="{FF2B5EF4-FFF2-40B4-BE49-F238E27FC236}">
                <a16:creationId xmlns:a16="http://schemas.microsoft.com/office/drawing/2014/main" id="{B0DA7B3B-80EE-4EA2-BC48-563FD0EA9C15}"/>
              </a:ext>
            </a:extLst>
          </xdr:cNvPr>
          <xdr:cNvSpPr/>
        </xdr:nvSpPr>
        <xdr:spPr>
          <a:xfrm>
            <a:off x="260247" y="2953033"/>
            <a:ext cx="199589" cy="191097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1.0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46" name="Rectangle 145">
            <a:extLst>
              <a:ext uri="{FF2B5EF4-FFF2-40B4-BE49-F238E27FC236}">
                <a16:creationId xmlns:a16="http://schemas.microsoft.com/office/drawing/2014/main" id="{E1ECF541-64E7-418E-8C8F-8663991F3D80}"/>
              </a:ext>
            </a:extLst>
          </xdr:cNvPr>
          <xdr:cNvSpPr/>
        </xdr:nvSpPr>
        <xdr:spPr>
          <a:xfrm>
            <a:off x="144741" y="3092720"/>
            <a:ext cx="398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47" name="Rectangle 146">
            <a:extLst>
              <a:ext uri="{FF2B5EF4-FFF2-40B4-BE49-F238E27FC236}">
                <a16:creationId xmlns:a16="http://schemas.microsoft.com/office/drawing/2014/main" id="{485590AF-5621-4B2B-85DC-3B8863B1777F}"/>
              </a:ext>
            </a:extLst>
          </xdr:cNvPr>
          <xdr:cNvSpPr/>
        </xdr:nvSpPr>
        <xdr:spPr>
          <a:xfrm>
            <a:off x="260247" y="3092720"/>
            <a:ext cx="1995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0.9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48" name="Rectangle 147">
            <a:extLst>
              <a:ext uri="{FF2B5EF4-FFF2-40B4-BE49-F238E27FC236}">
                <a16:creationId xmlns:a16="http://schemas.microsoft.com/office/drawing/2014/main" id="{3342CD43-7EE3-4937-914D-8B0166AC12CF}"/>
              </a:ext>
            </a:extLst>
          </xdr:cNvPr>
          <xdr:cNvSpPr/>
        </xdr:nvSpPr>
        <xdr:spPr>
          <a:xfrm>
            <a:off x="144741" y="3232408"/>
            <a:ext cx="398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49" name="Rectangle 148">
            <a:extLst>
              <a:ext uri="{FF2B5EF4-FFF2-40B4-BE49-F238E27FC236}">
                <a16:creationId xmlns:a16="http://schemas.microsoft.com/office/drawing/2014/main" id="{620FC9A8-4EEA-4818-A376-8F1206F09B25}"/>
              </a:ext>
            </a:extLst>
          </xdr:cNvPr>
          <xdr:cNvSpPr/>
        </xdr:nvSpPr>
        <xdr:spPr>
          <a:xfrm>
            <a:off x="260247" y="3232408"/>
            <a:ext cx="199589" cy="191096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0.8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50" name="Rectangle 149">
            <a:extLst>
              <a:ext uri="{FF2B5EF4-FFF2-40B4-BE49-F238E27FC236}">
                <a16:creationId xmlns:a16="http://schemas.microsoft.com/office/drawing/2014/main" id="{AF02F4FC-2BC4-4DE6-B514-CBDA11ABF2B2}"/>
              </a:ext>
            </a:extLst>
          </xdr:cNvPr>
          <xdr:cNvSpPr/>
        </xdr:nvSpPr>
        <xdr:spPr>
          <a:xfrm>
            <a:off x="68528" y="3408472"/>
            <a:ext cx="39913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51" name="Rectangle 150">
            <a:extLst>
              <a:ext uri="{FF2B5EF4-FFF2-40B4-BE49-F238E27FC236}">
                <a16:creationId xmlns:a16="http://schemas.microsoft.com/office/drawing/2014/main" id="{CCB912DA-CA06-4021-9C42-1766F9AA6063}"/>
              </a:ext>
            </a:extLst>
          </xdr:cNvPr>
          <xdr:cNvSpPr/>
        </xdr:nvSpPr>
        <xdr:spPr>
          <a:xfrm>
            <a:off x="463409" y="3408472"/>
            <a:ext cx="199567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0.2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52" name="Rectangle 151">
            <a:extLst>
              <a:ext uri="{FF2B5EF4-FFF2-40B4-BE49-F238E27FC236}">
                <a16:creationId xmlns:a16="http://schemas.microsoft.com/office/drawing/2014/main" id="{7653754F-96F3-4AE1-B7F3-B2F6C4EB5E64}"/>
              </a:ext>
            </a:extLst>
          </xdr:cNvPr>
          <xdr:cNvSpPr/>
        </xdr:nvSpPr>
        <xdr:spPr>
          <a:xfrm>
            <a:off x="613459" y="3408472"/>
            <a:ext cx="39913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53" name="Rectangle 152">
            <a:extLst>
              <a:ext uri="{FF2B5EF4-FFF2-40B4-BE49-F238E27FC236}">
                <a16:creationId xmlns:a16="http://schemas.microsoft.com/office/drawing/2014/main" id="{99ACDBA3-3F60-4170-BFE4-430DFA0B732D}"/>
              </a:ext>
            </a:extLst>
          </xdr:cNvPr>
          <xdr:cNvSpPr/>
        </xdr:nvSpPr>
        <xdr:spPr>
          <a:xfrm>
            <a:off x="1034896" y="3408472"/>
            <a:ext cx="199567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0.3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54" name="Rectangle 153">
            <a:extLst>
              <a:ext uri="{FF2B5EF4-FFF2-40B4-BE49-F238E27FC236}">
                <a16:creationId xmlns:a16="http://schemas.microsoft.com/office/drawing/2014/main" id="{CCF1D375-EBCB-40F5-96E0-59454DF5BB25}"/>
              </a:ext>
            </a:extLst>
          </xdr:cNvPr>
          <xdr:cNvSpPr/>
        </xdr:nvSpPr>
        <xdr:spPr>
          <a:xfrm>
            <a:off x="1184947" y="3408472"/>
            <a:ext cx="39914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55" name="Rectangle 154">
            <a:extLst>
              <a:ext uri="{FF2B5EF4-FFF2-40B4-BE49-F238E27FC236}">
                <a16:creationId xmlns:a16="http://schemas.microsoft.com/office/drawing/2014/main" id="{D93E9655-CD89-45DD-B2F0-2FBA44D759D5}"/>
              </a:ext>
            </a:extLst>
          </xdr:cNvPr>
          <xdr:cNvSpPr/>
        </xdr:nvSpPr>
        <xdr:spPr>
          <a:xfrm>
            <a:off x="1377746" y="3408472"/>
            <a:ext cx="199567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0.4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56" name="Rectangle 155">
            <a:extLst>
              <a:ext uri="{FF2B5EF4-FFF2-40B4-BE49-F238E27FC236}">
                <a16:creationId xmlns:a16="http://schemas.microsoft.com/office/drawing/2014/main" id="{C2DA0A39-67BC-4C17-9B58-8D6798CF5831}"/>
              </a:ext>
            </a:extLst>
          </xdr:cNvPr>
          <xdr:cNvSpPr/>
        </xdr:nvSpPr>
        <xdr:spPr>
          <a:xfrm>
            <a:off x="1527796" y="3408472"/>
            <a:ext cx="39914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57" name="Rectangle 156">
            <a:extLst>
              <a:ext uri="{FF2B5EF4-FFF2-40B4-BE49-F238E27FC236}">
                <a16:creationId xmlns:a16="http://schemas.microsoft.com/office/drawing/2014/main" id="{468363D6-7FEA-45B1-9A75-71AB6D60A764}"/>
              </a:ext>
            </a:extLst>
          </xdr:cNvPr>
          <xdr:cNvSpPr/>
        </xdr:nvSpPr>
        <xdr:spPr>
          <a:xfrm>
            <a:off x="1707965" y="3408472"/>
            <a:ext cx="199567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0.5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58" name="Rectangle 157">
            <a:extLst>
              <a:ext uri="{FF2B5EF4-FFF2-40B4-BE49-F238E27FC236}">
                <a16:creationId xmlns:a16="http://schemas.microsoft.com/office/drawing/2014/main" id="{3A54A366-7F33-4893-864A-3A3944494438}"/>
              </a:ext>
            </a:extLst>
          </xdr:cNvPr>
          <xdr:cNvSpPr/>
        </xdr:nvSpPr>
        <xdr:spPr>
          <a:xfrm>
            <a:off x="1858015" y="3408472"/>
            <a:ext cx="39914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59" name="Rectangle 158">
            <a:extLst>
              <a:ext uri="{FF2B5EF4-FFF2-40B4-BE49-F238E27FC236}">
                <a16:creationId xmlns:a16="http://schemas.microsoft.com/office/drawing/2014/main" id="{88A53CA9-064B-4509-9EF7-581E607335E2}"/>
              </a:ext>
            </a:extLst>
          </xdr:cNvPr>
          <xdr:cNvSpPr/>
        </xdr:nvSpPr>
        <xdr:spPr>
          <a:xfrm>
            <a:off x="1987339" y="3408472"/>
            <a:ext cx="199567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0.6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60" name="Rectangle 159">
            <a:extLst>
              <a:ext uri="{FF2B5EF4-FFF2-40B4-BE49-F238E27FC236}">
                <a16:creationId xmlns:a16="http://schemas.microsoft.com/office/drawing/2014/main" id="{3E764C69-48E6-4C07-88D9-25014060C27D}"/>
              </a:ext>
            </a:extLst>
          </xdr:cNvPr>
          <xdr:cNvSpPr/>
        </xdr:nvSpPr>
        <xdr:spPr>
          <a:xfrm>
            <a:off x="2137390" y="3408472"/>
            <a:ext cx="39914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61" name="Rectangle 160">
            <a:extLst>
              <a:ext uri="{FF2B5EF4-FFF2-40B4-BE49-F238E27FC236}">
                <a16:creationId xmlns:a16="http://schemas.microsoft.com/office/drawing/2014/main" id="{3BA16AE0-F38D-4FCD-AA90-D5932EC375DD}"/>
              </a:ext>
            </a:extLst>
          </xdr:cNvPr>
          <xdr:cNvSpPr/>
        </xdr:nvSpPr>
        <xdr:spPr>
          <a:xfrm>
            <a:off x="2292190" y="3408472"/>
            <a:ext cx="199567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0.8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62" name="Rectangle 161">
            <a:extLst>
              <a:ext uri="{FF2B5EF4-FFF2-40B4-BE49-F238E27FC236}">
                <a16:creationId xmlns:a16="http://schemas.microsoft.com/office/drawing/2014/main" id="{927C6055-B070-43C9-9C65-F6844F09288B}"/>
              </a:ext>
            </a:extLst>
          </xdr:cNvPr>
          <xdr:cNvSpPr/>
        </xdr:nvSpPr>
        <xdr:spPr>
          <a:xfrm>
            <a:off x="2442241" y="3408472"/>
            <a:ext cx="39914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63" name="Rectangle 162">
            <a:extLst>
              <a:ext uri="{FF2B5EF4-FFF2-40B4-BE49-F238E27FC236}">
                <a16:creationId xmlns:a16="http://schemas.microsoft.com/office/drawing/2014/main" id="{EE0B62CD-BF8C-42A6-A90E-87641F84B308}"/>
              </a:ext>
            </a:extLst>
          </xdr:cNvPr>
          <xdr:cNvSpPr/>
        </xdr:nvSpPr>
        <xdr:spPr>
          <a:xfrm>
            <a:off x="2769005" y="3408472"/>
            <a:ext cx="79827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1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64" name="Rectangle 163">
            <a:extLst>
              <a:ext uri="{FF2B5EF4-FFF2-40B4-BE49-F238E27FC236}">
                <a16:creationId xmlns:a16="http://schemas.microsoft.com/office/drawing/2014/main" id="{87D51FA2-8242-46D3-A814-A7EC4EEFE79F}"/>
              </a:ext>
            </a:extLst>
          </xdr:cNvPr>
          <xdr:cNvSpPr/>
        </xdr:nvSpPr>
        <xdr:spPr>
          <a:xfrm>
            <a:off x="2829025" y="3408472"/>
            <a:ext cx="39914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65" name="Rectangle 164">
            <a:extLst>
              <a:ext uri="{FF2B5EF4-FFF2-40B4-BE49-F238E27FC236}">
                <a16:creationId xmlns:a16="http://schemas.microsoft.com/office/drawing/2014/main" id="{D07B116F-FB25-4003-A042-E858BAC8F594}"/>
              </a:ext>
            </a:extLst>
          </xdr:cNvPr>
          <xdr:cNvSpPr/>
        </xdr:nvSpPr>
        <xdr:spPr>
          <a:xfrm>
            <a:off x="3670712" y="3408472"/>
            <a:ext cx="79827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2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66" name="Rectangle 165">
            <a:extLst>
              <a:ext uri="{FF2B5EF4-FFF2-40B4-BE49-F238E27FC236}">
                <a16:creationId xmlns:a16="http://schemas.microsoft.com/office/drawing/2014/main" id="{23031D75-6883-46E6-B812-08ABC0751342}"/>
              </a:ext>
            </a:extLst>
          </xdr:cNvPr>
          <xdr:cNvSpPr/>
        </xdr:nvSpPr>
        <xdr:spPr>
          <a:xfrm>
            <a:off x="3730731" y="3408472"/>
            <a:ext cx="39914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67" name="Rectangle 166">
            <a:extLst>
              <a:ext uri="{FF2B5EF4-FFF2-40B4-BE49-F238E27FC236}">
                <a16:creationId xmlns:a16="http://schemas.microsoft.com/office/drawing/2014/main" id="{B0B9F8DF-870D-473C-9DE0-BA5FBC5C9D29}"/>
              </a:ext>
            </a:extLst>
          </xdr:cNvPr>
          <xdr:cNvSpPr/>
        </xdr:nvSpPr>
        <xdr:spPr>
          <a:xfrm>
            <a:off x="4356518" y="3408472"/>
            <a:ext cx="79827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3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68" name="Rectangle 167">
            <a:extLst>
              <a:ext uri="{FF2B5EF4-FFF2-40B4-BE49-F238E27FC236}">
                <a16:creationId xmlns:a16="http://schemas.microsoft.com/office/drawing/2014/main" id="{F8A07E7A-2235-47FE-A22E-668A5E47D526}"/>
              </a:ext>
            </a:extLst>
          </xdr:cNvPr>
          <xdr:cNvSpPr/>
        </xdr:nvSpPr>
        <xdr:spPr>
          <a:xfrm>
            <a:off x="4416538" y="3408472"/>
            <a:ext cx="39914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69" name="Rectangle 168">
            <a:extLst>
              <a:ext uri="{FF2B5EF4-FFF2-40B4-BE49-F238E27FC236}">
                <a16:creationId xmlns:a16="http://schemas.microsoft.com/office/drawing/2014/main" id="{2DCE5295-1E27-4208-B9EC-E992655F09DC}"/>
              </a:ext>
            </a:extLst>
          </xdr:cNvPr>
          <xdr:cNvSpPr/>
        </xdr:nvSpPr>
        <xdr:spPr>
          <a:xfrm>
            <a:off x="4699367" y="3408472"/>
            <a:ext cx="79827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4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70" name="Rectangle 169">
            <a:extLst>
              <a:ext uri="{FF2B5EF4-FFF2-40B4-BE49-F238E27FC236}">
                <a16:creationId xmlns:a16="http://schemas.microsoft.com/office/drawing/2014/main" id="{4344C34D-C121-4CDF-8F31-905263EA00DD}"/>
              </a:ext>
            </a:extLst>
          </xdr:cNvPr>
          <xdr:cNvSpPr/>
        </xdr:nvSpPr>
        <xdr:spPr>
          <a:xfrm>
            <a:off x="4759387" y="3408472"/>
            <a:ext cx="39914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71" name="Rectangle 170">
            <a:extLst>
              <a:ext uri="{FF2B5EF4-FFF2-40B4-BE49-F238E27FC236}">
                <a16:creationId xmlns:a16="http://schemas.microsoft.com/office/drawing/2014/main" id="{00FB97D1-56CC-449D-8474-69EEB56BF7B9}"/>
              </a:ext>
            </a:extLst>
          </xdr:cNvPr>
          <xdr:cNvSpPr/>
        </xdr:nvSpPr>
        <xdr:spPr>
          <a:xfrm>
            <a:off x="5054954" y="3408472"/>
            <a:ext cx="79827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5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72" name="Rectangle 171">
            <a:extLst>
              <a:ext uri="{FF2B5EF4-FFF2-40B4-BE49-F238E27FC236}">
                <a16:creationId xmlns:a16="http://schemas.microsoft.com/office/drawing/2014/main" id="{1AE2C8B0-5FCC-4F66-A428-4FE686DB28C9}"/>
              </a:ext>
            </a:extLst>
          </xdr:cNvPr>
          <xdr:cNvSpPr/>
        </xdr:nvSpPr>
        <xdr:spPr>
          <a:xfrm>
            <a:off x="5114975" y="3408472"/>
            <a:ext cx="39914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73" name="Rectangle 172">
            <a:extLst>
              <a:ext uri="{FF2B5EF4-FFF2-40B4-BE49-F238E27FC236}">
                <a16:creationId xmlns:a16="http://schemas.microsoft.com/office/drawing/2014/main" id="{09F85E16-73F7-41CD-A5C9-D8D551D009FA}"/>
              </a:ext>
            </a:extLst>
          </xdr:cNvPr>
          <xdr:cNvSpPr/>
        </xdr:nvSpPr>
        <xdr:spPr>
          <a:xfrm>
            <a:off x="5308961" y="3408472"/>
            <a:ext cx="79827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6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74" name="Rectangle 173">
            <a:extLst>
              <a:ext uri="{FF2B5EF4-FFF2-40B4-BE49-F238E27FC236}">
                <a16:creationId xmlns:a16="http://schemas.microsoft.com/office/drawing/2014/main" id="{DD2879C6-F383-42B5-85B1-775AE2243703}"/>
              </a:ext>
            </a:extLst>
          </xdr:cNvPr>
          <xdr:cNvSpPr/>
        </xdr:nvSpPr>
        <xdr:spPr>
          <a:xfrm>
            <a:off x="5368981" y="3408472"/>
            <a:ext cx="39914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75" name="Rectangle 174">
            <a:extLst>
              <a:ext uri="{FF2B5EF4-FFF2-40B4-BE49-F238E27FC236}">
                <a16:creationId xmlns:a16="http://schemas.microsoft.com/office/drawing/2014/main" id="{EED1BFD2-AE3A-439B-BB60-5F1B4E70764E}"/>
              </a:ext>
            </a:extLst>
          </xdr:cNvPr>
          <xdr:cNvSpPr/>
        </xdr:nvSpPr>
        <xdr:spPr>
          <a:xfrm>
            <a:off x="5562967" y="3408472"/>
            <a:ext cx="79827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7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76" name="Rectangle 175">
            <a:extLst>
              <a:ext uri="{FF2B5EF4-FFF2-40B4-BE49-F238E27FC236}">
                <a16:creationId xmlns:a16="http://schemas.microsoft.com/office/drawing/2014/main" id="{E1A0B79C-8346-4019-A8AF-247808CEB553}"/>
              </a:ext>
            </a:extLst>
          </xdr:cNvPr>
          <xdr:cNvSpPr/>
        </xdr:nvSpPr>
        <xdr:spPr>
          <a:xfrm>
            <a:off x="5622987" y="3408472"/>
            <a:ext cx="39914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77" name="Rectangle 176">
            <a:extLst>
              <a:ext uri="{FF2B5EF4-FFF2-40B4-BE49-F238E27FC236}">
                <a16:creationId xmlns:a16="http://schemas.microsoft.com/office/drawing/2014/main" id="{AEB38342-4A61-4F9E-A23C-F06F8D6460B9}"/>
              </a:ext>
            </a:extLst>
          </xdr:cNvPr>
          <xdr:cNvSpPr/>
        </xdr:nvSpPr>
        <xdr:spPr>
          <a:xfrm>
            <a:off x="5842342" y="3408472"/>
            <a:ext cx="79827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8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78" name="Rectangle 177">
            <a:extLst>
              <a:ext uri="{FF2B5EF4-FFF2-40B4-BE49-F238E27FC236}">
                <a16:creationId xmlns:a16="http://schemas.microsoft.com/office/drawing/2014/main" id="{4957F25C-CC91-4744-A913-FF9B714FD3F8}"/>
              </a:ext>
            </a:extLst>
          </xdr:cNvPr>
          <xdr:cNvSpPr/>
        </xdr:nvSpPr>
        <xdr:spPr>
          <a:xfrm>
            <a:off x="5902362" y="3408472"/>
            <a:ext cx="39913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 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79" name="Rectangle 178">
            <a:extLst>
              <a:ext uri="{FF2B5EF4-FFF2-40B4-BE49-F238E27FC236}">
                <a16:creationId xmlns:a16="http://schemas.microsoft.com/office/drawing/2014/main" id="{0599A117-90FF-4B0E-AB53-8FB1433F0913}"/>
              </a:ext>
            </a:extLst>
          </xdr:cNvPr>
          <xdr:cNvSpPr/>
        </xdr:nvSpPr>
        <xdr:spPr>
          <a:xfrm>
            <a:off x="6134454" y="3408472"/>
            <a:ext cx="79827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9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80" name="Shape 210">
            <a:extLst>
              <a:ext uri="{FF2B5EF4-FFF2-40B4-BE49-F238E27FC236}">
                <a16:creationId xmlns:a16="http://schemas.microsoft.com/office/drawing/2014/main" id="{2CEC29A1-70E7-4168-AD0C-007D62A88F6A}"/>
              </a:ext>
            </a:extLst>
          </xdr:cNvPr>
          <xdr:cNvSpPr/>
        </xdr:nvSpPr>
        <xdr:spPr>
          <a:xfrm>
            <a:off x="446227" y="502634"/>
            <a:ext cx="5841861" cy="0"/>
          </a:xfrm>
          <a:custGeom>
            <a:avLst/>
            <a:gdLst/>
            <a:ahLst/>
            <a:cxnLst/>
            <a:rect l="0" t="0" r="0" b="0"/>
            <a:pathLst>
              <a:path w="5841861">
                <a:moveTo>
                  <a:pt x="0" y="0"/>
                </a:moveTo>
                <a:lnTo>
                  <a:pt x="5841861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81" name="Shape 211">
            <a:extLst>
              <a:ext uri="{FF2B5EF4-FFF2-40B4-BE49-F238E27FC236}">
                <a16:creationId xmlns:a16="http://schemas.microsoft.com/office/drawing/2014/main" id="{0BA610CE-EEE3-4EE5-B87E-C69EACBC284D}"/>
              </a:ext>
            </a:extLst>
          </xdr:cNvPr>
          <xdr:cNvSpPr/>
        </xdr:nvSpPr>
        <xdr:spPr>
          <a:xfrm>
            <a:off x="446227" y="642795"/>
            <a:ext cx="5841861" cy="0"/>
          </a:xfrm>
          <a:custGeom>
            <a:avLst/>
            <a:gdLst/>
            <a:ahLst/>
            <a:cxnLst/>
            <a:rect l="0" t="0" r="0" b="0"/>
            <a:pathLst>
              <a:path w="5841861">
                <a:moveTo>
                  <a:pt x="0" y="0"/>
                </a:moveTo>
                <a:lnTo>
                  <a:pt x="5841861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82" name="Shape 212">
            <a:extLst>
              <a:ext uri="{FF2B5EF4-FFF2-40B4-BE49-F238E27FC236}">
                <a16:creationId xmlns:a16="http://schemas.microsoft.com/office/drawing/2014/main" id="{9E667EA0-4F7A-4C98-A007-914D394B956D}"/>
              </a:ext>
            </a:extLst>
          </xdr:cNvPr>
          <xdr:cNvSpPr/>
        </xdr:nvSpPr>
        <xdr:spPr>
          <a:xfrm>
            <a:off x="446227" y="782955"/>
            <a:ext cx="5841861" cy="0"/>
          </a:xfrm>
          <a:custGeom>
            <a:avLst/>
            <a:gdLst/>
            <a:ahLst/>
            <a:cxnLst/>
            <a:rect l="0" t="0" r="0" b="0"/>
            <a:pathLst>
              <a:path w="5841861">
                <a:moveTo>
                  <a:pt x="0" y="0"/>
                </a:moveTo>
                <a:lnTo>
                  <a:pt x="5841861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83" name="Shape 213">
            <a:extLst>
              <a:ext uri="{FF2B5EF4-FFF2-40B4-BE49-F238E27FC236}">
                <a16:creationId xmlns:a16="http://schemas.microsoft.com/office/drawing/2014/main" id="{A1FC897E-2CFC-4AEF-A70A-480F0415937D}"/>
              </a:ext>
            </a:extLst>
          </xdr:cNvPr>
          <xdr:cNvSpPr/>
        </xdr:nvSpPr>
        <xdr:spPr>
          <a:xfrm>
            <a:off x="446227" y="923115"/>
            <a:ext cx="5841861" cy="0"/>
          </a:xfrm>
          <a:custGeom>
            <a:avLst/>
            <a:gdLst/>
            <a:ahLst/>
            <a:cxnLst/>
            <a:rect l="0" t="0" r="0" b="0"/>
            <a:pathLst>
              <a:path w="5841861">
                <a:moveTo>
                  <a:pt x="0" y="0"/>
                </a:moveTo>
                <a:lnTo>
                  <a:pt x="5841861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84" name="Shape 214">
            <a:extLst>
              <a:ext uri="{FF2B5EF4-FFF2-40B4-BE49-F238E27FC236}">
                <a16:creationId xmlns:a16="http://schemas.microsoft.com/office/drawing/2014/main" id="{D055ED4F-81E1-4D86-8FF4-9D375001404F}"/>
              </a:ext>
            </a:extLst>
          </xdr:cNvPr>
          <xdr:cNvSpPr/>
        </xdr:nvSpPr>
        <xdr:spPr>
          <a:xfrm>
            <a:off x="446227" y="1063275"/>
            <a:ext cx="5841861" cy="0"/>
          </a:xfrm>
          <a:custGeom>
            <a:avLst/>
            <a:gdLst/>
            <a:ahLst/>
            <a:cxnLst/>
            <a:rect l="0" t="0" r="0" b="0"/>
            <a:pathLst>
              <a:path w="5841861">
                <a:moveTo>
                  <a:pt x="0" y="0"/>
                </a:moveTo>
                <a:lnTo>
                  <a:pt x="5841861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85" name="Shape 215">
            <a:extLst>
              <a:ext uri="{FF2B5EF4-FFF2-40B4-BE49-F238E27FC236}">
                <a16:creationId xmlns:a16="http://schemas.microsoft.com/office/drawing/2014/main" id="{95380843-47AB-4751-9958-388A32E291A4}"/>
              </a:ext>
            </a:extLst>
          </xdr:cNvPr>
          <xdr:cNvSpPr/>
        </xdr:nvSpPr>
        <xdr:spPr>
          <a:xfrm>
            <a:off x="446227" y="1203435"/>
            <a:ext cx="5841861" cy="0"/>
          </a:xfrm>
          <a:custGeom>
            <a:avLst/>
            <a:gdLst/>
            <a:ahLst/>
            <a:cxnLst/>
            <a:rect l="0" t="0" r="0" b="0"/>
            <a:pathLst>
              <a:path w="5841861">
                <a:moveTo>
                  <a:pt x="0" y="0"/>
                </a:moveTo>
                <a:lnTo>
                  <a:pt x="5841861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86" name="Shape 216">
            <a:extLst>
              <a:ext uri="{FF2B5EF4-FFF2-40B4-BE49-F238E27FC236}">
                <a16:creationId xmlns:a16="http://schemas.microsoft.com/office/drawing/2014/main" id="{AD4B0E2E-C2BF-41F8-B1A0-84972F057E85}"/>
              </a:ext>
            </a:extLst>
          </xdr:cNvPr>
          <xdr:cNvSpPr/>
        </xdr:nvSpPr>
        <xdr:spPr>
          <a:xfrm>
            <a:off x="446227" y="1343595"/>
            <a:ext cx="5841861" cy="0"/>
          </a:xfrm>
          <a:custGeom>
            <a:avLst/>
            <a:gdLst/>
            <a:ahLst/>
            <a:cxnLst/>
            <a:rect l="0" t="0" r="0" b="0"/>
            <a:pathLst>
              <a:path w="5841861">
                <a:moveTo>
                  <a:pt x="0" y="0"/>
                </a:moveTo>
                <a:lnTo>
                  <a:pt x="5841861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87" name="Shape 217">
            <a:extLst>
              <a:ext uri="{FF2B5EF4-FFF2-40B4-BE49-F238E27FC236}">
                <a16:creationId xmlns:a16="http://schemas.microsoft.com/office/drawing/2014/main" id="{B498AE68-018D-4CB8-B8D0-0AAF74483F74}"/>
              </a:ext>
            </a:extLst>
          </xdr:cNvPr>
          <xdr:cNvSpPr/>
        </xdr:nvSpPr>
        <xdr:spPr>
          <a:xfrm>
            <a:off x="446227" y="1483755"/>
            <a:ext cx="5841861" cy="0"/>
          </a:xfrm>
          <a:custGeom>
            <a:avLst/>
            <a:gdLst/>
            <a:ahLst/>
            <a:cxnLst/>
            <a:rect l="0" t="0" r="0" b="0"/>
            <a:pathLst>
              <a:path w="5841861">
                <a:moveTo>
                  <a:pt x="0" y="0"/>
                </a:moveTo>
                <a:lnTo>
                  <a:pt x="5841861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88" name="Shape 218">
            <a:extLst>
              <a:ext uri="{FF2B5EF4-FFF2-40B4-BE49-F238E27FC236}">
                <a16:creationId xmlns:a16="http://schemas.microsoft.com/office/drawing/2014/main" id="{EE218CDB-E171-47B0-8028-3DD13D87FE5B}"/>
              </a:ext>
            </a:extLst>
          </xdr:cNvPr>
          <xdr:cNvSpPr/>
        </xdr:nvSpPr>
        <xdr:spPr>
          <a:xfrm>
            <a:off x="446227" y="1623915"/>
            <a:ext cx="5841861" cy="0"/>
          </a:xfrm>
          <a:custGeom>
            <a:avLst/>
            <a:gdLst/>
            <a:ahLst/>
            <a:cxnLst/>
            <a:rect l="0" t="0" r="0" b="0"/>
            <a:pathLst>
              <a:path w="5841861">
                <a:moveTo>
                  <a:pt x="0" y="0"/>
                </a:moveTo>
                <a:lnTo>
                  <a:pt x="5841861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89" name="Shape 219">
            <a:extLst>
              <a:ext uri="{FF2B5EF4-FFF2-40B4-BE49-F238E27FC236}">
                <a16:creationId xmlns:a16="http://schemas.microsoft.com/office/drawing/2014/main" id="{CD1BD3B4-DDB3-4A24-B9DD-9A0E5FDEB696}"/>
              </a:ext>
            </a:extLst>
          </xdr:cNvPr>
          <xdr:cNvSpPr/>
        </xdr:nvSpPr>
        <xdr:spPr>
          <a:xfrm>
            <a:off x="446227" y="1764076"/>
            <a:ext cx="5841861" cy="0"/>
          </a:xfrm>
          <a:custGeom>
            <a:avLst/>
            <a:gdLst/>
            <a:ahLst/>
            <a:cxnLst/>
            <a:rect l="0" t="0" r="0" b="0"/>
            <a:pathLst>
              <a:path w="5841861">
                <a:moveTo>
                  <a:pt x="0" y="0"/>
                </a:moveTo>
                <a:lnTo>
                  <a:pt x="5841861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90" name="Shape 220">
            <a:extLst>
              <a:ext uri="{FF2B5EF4-FFF2-40B4-BE49-F238E27FC236}">
                <a16:creationId xmlns:a16="http://schemas.microsoft.com/office/drawing/2014/main" id="{CF2F1B4C-485D-4BD6-B0A4-0EA48B22BCAA}"/>
              </a:ext>
            </a:extLst>
          </xdr:cNvPr>
          <xdr:cNvSpPr/>
        </xdr:nvSpPr>
        <xdr:spPr>
          <a:xfrm>
            <a:off x="446227" y="1904235"/>
            <a:ext cx="5841861" cy="0"/>
          </a:xfrm>
          <a:custGeom>
            <a:avLst/>
            <a:gdLst/>
            <a:ahLst/>
            <a:cxnLst/>
            <a:rect l="0" t="0" r="0" b="0"/>
            <a:pathLst>
              <a:path w="5841861">
                <a:moveTo>
                  <a:pt x="0" y="0"/>
                </a:moveTo>
                <a:lnTo>
                  <a:pt x="5841861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91" name="Shape 221">
            <a:extLst>
              <a:ext uri="{FF2B5EF4-FFF2-40B4-BE49-F238E27FC236}">
                <a16:creationId xmlns:a16="http://schemas.microsoft.com/office/drawing/2014/main" id="{993841B0-9304-449E-91D5-F9BD91406256}"/>
              </a:ext>
            </a:extLst>
          </xdr:cNvPr>
          <xdr:cNvSpPr/>
        </xdr:nvSpPr>
        <xdr:spPr>
          <a:xfrm>
            <a:off x="446227" y="2044395"/>
            <a:ext cx="5841861" cy="0"/>
          </a:xfrm>
          <a:custGeom>
            <a:avLst/>
            <a:gdLst/>
            <a:ahLst/>
            <a:cxnLst/>
            <a:rect l="0" t="0" r="0" b="0"/>
            <a:pathLst>
              <a:path w="5841861">
                <a:moveTo>
                  <a:pt x="0" y="0"/>
                </a:moveTo>
                <a:lnTo>
                  <a:pt x="5841861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92" name="Shape 222">
            <a:extLst>
              <a:ext uri="{FF2B5EF4-FFF2-40B4-BE49-F238E27FC236}">
                <a16:creationId xmlns:a16="http://schemas.microsoft.com/office/drawing/2014/main" id="{6DDC8F35-B556-4E94-8ABA-CF5514C8F902}"/>
              </a:ext>
            </a:extLst>
          </xdr:cNvPr>
          <xdr:cNvSpPr/>
        </xdr:nvSpPr>
        <xdr:spPr>
          <a:xfrm>
            <a:off x="446227" y="2184556"/>
            <a:ext cx="5841861" cy="0"/>
          </a:xfrm>
          <a:custGeom>
            <a:avLst/>
            <a:gdLst/>
            <a:ahLst/>
            <a:cxnLst/>
            <a:rect l="0" t="0" r="0" b="0"/>
            <a:pathLst>
              <a:path w="5841861">
                <a:moveTo>
                  <a:pt x="0" y="0"/>
                </a:moveTo>
                <a:lnTo>
                  <a:pt x="5841861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93" name="Shape 223">
            <a:extLst>
              <a:ext uri="{FF2B5EF4-FFF2-40B4-BE49-F238E27FC236}">
                <a16:creationId xmlns:a16="http://schemas.microsoft.com/office/drawing/2014/main" id="{176B7BA8-ED1F-4976-A87F-833A10669921}"/>
              </a:ext>
            </a:extLst>
          </xdr:cNvPr>
          <xdr:cNvSpPr/>
        </xdr:nvSpPr>
        <xdr:spPr>
          <a:xfrm>
            <a:off x="446227" y="2324716"/>
            <a:ext cx="5841861" cy="0"/>
          </a:xfrm>
          <a:custGeom>
            <a:avLst/>
            <a:gdLst/>
            <a:ahLst/>
            <a:cxnLst/>
            <a:rect l="0" t="0" r="0" b="0"/>
            <a:pathLst>
              <a:path w="5841861">
                <a:moveTo>
                  <a:pt x="0" y="0"/>
                </a:moveTo>
                <a:lnTo>
                  <a:pt x="5841861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94" name="Shape 224">
            <a:extLst>
              <a:ext uri="{FF2B5EF4-FFF2-40B4-BE49-F238E27FC236}">
                <a16:creationId xmlns:a16="http://schemas.microsoft.com/office/drawing/2014/main" id="{52597EAA-466E-447E-B502-8009015D76F3}"/>
              </a:ext>
            </a:extLst>
          </xdr:cNvPr>
          <xdr:cNvSpPr/>
        </xdr:nvSpPr>
        <xdr:spPr>
          <a:xfrm>
            <a:off x="446227" y="2464876"/>
            <a:ext cx="5841861" cy="0"/>
          </a:xfrm>
          <a:custGeom>
            <a:avLst/>
            <a:gdLst/>
            <a:ahLst/>
            <a:cxnLst/>
            <a:rect l="0" t="0" r="0" b="0"/>
            <a:pathLst>
              <a:path w="5841861">
                <a:moveTo>
                  <a:pt x="0" y="0"/>
                </a:moveTo>
                <a:lnTo>
                  <a:pt x="5841861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95" name="Shape 225">
            <a:extLst>
              <a:ext uri="{FF2B5EF4-FFF2-40B4-BE49-F238E27FC236}">
                <a16:creationId xmlns:a16="http://schemas.microsoft.com/office/drawing/2014/main" id="{D32BAAAD-81DB-4134-A6C2-BCB963F76762}"/>
              </a:ext>
            </a:extLst>
          </xdr:cNvPr>
          <xdr:cNvSpPr/>
        </xdr:nvSpPr>
        <xdr:spPr>
          <a:xfrm>
            <a:off x="446227" y="2605037"/>
            <a:ext cx="5841861" cy="0"/>
          </a:xfrm>
          <a:custGeom>
            <a:avLst/>
            <a:gdLst/>
            <a:ahLst/>
            <a:cxnLst/>
            <a:rect l="0" t="0" r="0" b="0"/>
            <a:pathLst>
              <a:path w="5841861">
                <a:moveTo>
                  <a:pt x="0" y="0"/>
                </a:moveTo>
                <a:lnTo>
                  <a:pt x="5841861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96" name="Shape 226">
            <a:extLst>
              <a:ext uri="{FF2B5EF4-FFF2-40B4-BE49-F238E27FC236}">
                <a16:creationId xmlns:a16="http://schemas.microsoft.com/office/drawing/2014/main" id="{6064AF65-7932-4BCF-86E8-C8F893F4188C}"/>
              </a:ext>
            </a:extLst>
          </xdr:cNvPr>
          <xdr:cNvSpPr/>
        </xdr:nvSpPr>
        <xdr:spPr>
          <a:xfrm>
            <a:off x="446227" y="2745197"/>
            <a:ext cx="5841861" cy="0"/>
          </a:xfrm>
          <a:custGeom>
            <a:avLst/>
            <a:gdLst/>
            <a:ahLst/>
            <a:cxnLst/>
            <a:rect l="0" t="0" r="0" b="0"/>
            <a:pathLst>
              <a:path w="5841861">
                <a:moveTo>
                  <a:pt x="0" y="0"/>
                </a:moveTo>
                <a:lnTo>
                  <a:pt x="5841861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97" name="Shape 227">
            <a:extLst>
              <a:ext uri="{FF2B5EF4-FFF2-40B4-BE49-F238E27FC236}">
                <a16:creationId xmlns:a16="http://schemas.microsoft.com/office/drawing/2014/main" id="{BFC22ABE-F24E-44AB-B08A-9A9147FD7495}"/>
              </a:ext>
            </a:extLst>
          </xdr:cNvPr>
          <xdr:cNvSpPr/>
        </xdr:nvSpPr>
        <xdr:spPr>
          <a:xfrm>
            <a:off x="446227" y="2885356"/>
            <a:ext cx="5841861" cy="0"/>
          </a:xfrm>
          <a:custGeom>
            <a:avLst/>
            <a:gdLst/>
            <a:ahLst/>
            <a:cxnLst/>
            <a:rect l="0" t="0" r="0" b="0"/>
            <a:pathLst>
              <a:path w="5841861">
                <a:moveTo>
                  <a:pt x="0" y="0"/>
                </a:moveTo>
                <a:lnTo>
                  <a:pt x="5841861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98" name="Shape 228">
            <a:extLst>
              <a:ext uri="{FF2B5EF4-FFF2-40B4-BE49-F238E27FC236}">
                <a16:creationId xmlns:a16="http://schemas.microsoft.com/office/drawing/2014/main" id="{6031C917-C90C-47F1-B019-D076EB1E3E96}"/>
              </a:ext>
            </a:extLst>
          </xdr:cNvPr>
          <xdr:cNvSpPr/>
        </xdr:nvSpPr>
        <xdr:spPr>
          <a:xfrm>
            <a:off x="446227" y="3025516"/>
            <a:ext cx="5841861" cy="0"/>
          </a:xfrm>
          <a:custGeom>
            <a:avLst/>
            <a:gdLst/>
            <a:ahLst/>
            <a:cxnLst/>
            <a:rect l="0" t="0" r="0" b="0"/>
            <a:pathLst>
              <a:path w="5841861">
                <a:moveTo>
                  <a:pt x="0" y="0"/>
                </a:moveTo>
                <a:lnTo>
                  <a:pt x="5841861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99" name="Shape 229">
            <a:extLst>
              <a:ext uri="{FF2B5EF4-FFF2-40B4-BE49-F238E27FC236}">
                <a16:creationId xmlns:a16="http://schemas.microsoft.com/office/drawing/2014/main" id="{566558B2-A672-49AC-8FAB-B6F50B6B45B7}"/>
              </a:ext>
            </a:extLst>
          </xdr:cNvPr>
          <xdr:cNvSpPr/>
        </xdr:nvSpPr>
        <xdr:spPr>
          <a:xfrm>
            <a:off x="446227" y="3165677"/>
            <a:ext cx="5841861" cy="0"/>
          </a:xfrm>
          <a:custGeom>
            <a:avLst/>
            <a:gdLst/>
            <a:ahLst/>
            <a:cxnLst/>
            <a:rect l="0" t="0" r="0" b="0"/>
            <a:pathLst>
              <a:path w="5841861">
                <a:moveTo>
                  <a:pt x="0" y="0"/>
                </a:moveTo>
                <a:lnTo>
                  <a:pt x="5841861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00" name="Shape 230">
            <a:extLst>
              <a:ext uri="{FF2B5EF4-FFF2-40B4-BE49-F238E27FC236}">
                <a16:creationId xmlns:a16="http://schemas.microsoft.com/office/drawing/2014/main" id="{58162643-D438-41A5-96EA-939397FA267B}"/>
              </a:ext>
            </a:extLst>
          </xdr:cNvPr>
          <xdr:cNvSpPr/>
        </xdr:nvSpPr>
        <xdr:spPr>
          <a:xfrm>
            <a:off x="446227" y="3305837"/>
            <a:ext cx="5841861" cy="0"/>
          </a:xfrm>
          <a:custGeom>
            <a:avLst/>
            <a:gdLst/>
            <a:ahLst/>
            <a:cxnLst/>
            <a:rect l="0" t="0" r="0" b="0"/>
            <a:pathLst>
              <a:path w="5841861">
                <a:moveTo>
                  <a:pt x="0" y="0"/>
                </a:moveTo>
                <a:lnTo>
                  <a:pt x="5841861" y="0"/>
                </a:lnTo>
              </a:path>
            </a:pathLst>
          </a:custGeom>
          <a:ln w="1270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01" name="Shape 231">
            <a:extLst>
              <a:ext uri="{FF2B5EF4-FFF2-40B4-BE49-F238E27FC236}">
                <a16:creationId xmlns:a16="http://schemas.microsoft.com/office/drawing/2014/main" id="{EAE21E71-52E0-404F-9CBD-1C5BEE681604}"/>
              </a:ext>
            </a:extLst>
          </xdr:cNvPr>
          <xdr:cNvSpPr/>
        </xdr:nvSpPr>
        <xdr:spPr>
          <a:xfrm>
            <a:off x="527277" y="223915"/>
            <a:ext cx="0" cy="3118104"/>
          </a:xfrm>
          <a:custGeom>
            <a:avLst/>
            <a:gdLst/>
            <a:ahLst/>
            <a:cxnLst/>
            <a:rect l="0" t="0" r="0" b="0"/>
            <a:pathLst>
              <a:path h="3118104">
                <a:moveTo>
                  <a:pt x="0" y="3118104"/>
                </a:moveTo>
                <a:lnTo>
                  <a:pt x="0" y="0"/>
                </a:lnTo>
              </a:path>
            </a:pathLst>
          </a:custGeom>
          <a:ln w="1270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02" name="Shape 232">
            <a:extLst>
              <a:ext uri="{FF2B5EF4-FFF2-40B4-BE49-F238E27FC236}">
                <a16:creationId xmlns:a16="http://schemas.microsoft.com/office/drawing/2014/main" id="{8E60179F-F880-4631-80B5-8BF9295CB709}"/>
              </a:ext>
            </a:extLst>
          </xdr:cNvPr>
          <xdr:cNvSpPr/>
        </xdr:nvSpPr>
        <xdr:spPr>
          <a:xfrm>
            <a:off x="1100033" y="223915"/>
            <a:ext cx="0" cy="3118104"/>
          </a:xfrm>
          <a:custGeom>
            <a:avLst/>
            <a:gdLst/>
            <a:ahLst/>
            <a:cxnLst/>
            <a:rect l="0" t="0" r="0" b="0"/>
            <a:pathLst>
              <a:path h="3118104">
                <a:moveTo>
                  <a:pt x="0" y="3118104"/>
                </a:moveTo>
                <a:lnTo>
                  <a:pt x="0" y="0"/>
                </a:lnTo>
              </a:path>
            </a:pathLst>
          </a:custGeom>
          <a:ln w="1270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03" name="Shape 233">
            <a:extLst>
              <a:ext uri="{FF2B5EF4-FFF2-40B4-BE49-F238E27FC236}">
                <a16:creationId xmlns:a16="http://schemas.microsoft.com/office/drawing/2014/main" id="{A1997FD2-540B-492F-ABF1-6EB1615E73DE}"/>
              </a:ext>
            </a:extLst>
          </xdr:cNvPr>
          <xdr:cNvSpPr/>
        </xdr:nvSpPr>
        <xdr:spPr>
          <a:xfrm>
            <a:off x="1433513" y="223915"/>
            <a:ext cx="0" cy="3118104"/>
          </a:xfrm>
          <a:custGeom>
            <a:avLst/>
            <a:gdLst/>
            <a:ahLst/>
            <a:cxnLst/>
            <a:rect l="0" t="0" r="0" b="0"/>
            <a:pathLst>
              <a:path h="3118104">
                <a:moveTo>
                  <a:pt x="0" y="3118104"/>
                </a:moveTo>
                <a:lnTo>
                  <a:pt x="0" y="0"/>
                </a:lnTo>
              </a:path>
            </a:pathLst>
          </a:custGeom>
          <a:ln w="1270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04" name="Shape 234">
            <a:extLst>
              <a:ext uri="{FF2B5EF4-FFF2-40B4-BE49-F238E27FC236}">
                <a16:creationId xmlns:a16="http://schemas.microsoft.com/office/drawing/2014/main" id="{099C1E28-7B9E-4A48-AA19-811DE8A638DE}"/>
              </a:ext>
            </a:extLst>
          </xdr:cNvPr>
          <xdr:cNvSpPr/>
        </xdr:nvSpPr>
        <xdr:spPr>
          <a:xfrm>
            <a:off x="1768248" y="223915"/>
            <a:ext cx="0" cy="3118104"/>
          </a:xfrm>
          <a:custGeom>
            <a:avLst/>
            <a:gdLst/>
            <a:ahLst/>
            <a:cxnLst/>
            <a:rect l="0" t="0" r="0" b="0"/>
            <a:pathLst>
              <a:path h="3118104">
                <a:moveTo>
                  <a:pt x="0" y="3118104"/>
                </a:moveTo>
                <a:lnTo>
                  <a:pt x="0" y="0"/>
                </a:lnTo>
              </a:path>
            </a:pathLst>
          </a:custGeom>
          <a:ln w="1270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05" name="Shape 235">
            <a:extLst>
              <a:ext uri="{FF2B5EF4-FFF2-40B4-BE49-F238E27FC236}">
                <a16:creationId xmlns:a16="http://schemas.microsoft.com/office/drawing/2014/main" id="{16484089-5C9A-4042-BE4E-530B69F22BF1}"/>
              </a:ext>
            </a:extLst>
          </xdr:cNvPr>
          <xdr:cNvSpPr/>
        </xdr:nvSpPr>
        <xdr:spPr>
          <a:xfrm>
            <a:off x="2049602" y="223915"/>
            <a:ext cx="0" cy="3118104"/>
          </a:xfrm>
          <a:custGeom>
            <a:avLst/>
            <a:gdLst/>
            <a:ahLst/>
            <a:cxnLst/>
            <a:rect l="0" t="0" r="0" b="0"/>
            <a:pathLst>
              <a:path h="3118104">
                <a:moveTo>
                  <a:pt x="0" y="3118104"/>
                </a:moveTo>
                <a:lnTo>
                  <a:pt x="0" y="0"/>
                </a:lnTo>
              </a:path>
            </a:pathLst>
          </a:custGeom>
          <a:ln w="1270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06" name="Shape 236">
            <a:extLst>
              <a:ext uri="{FF2B5EF4-FFF2-40B4-BE49-F238E27FC236}">
                <a16:creationId xmlns:a16="http://schemas.microsoft.com/office/drawing/2014/main" id="{CD7A5B41-75BE-4D49-AE58-B06A980D6B03}"/>
              </a:ext>
            </a:extLst>
          </xdr:cNvPr>
          <xdr:cNvSpPr/>
        </xdr:nvSpPr>
        <xdr:spPr>
          <a:xfrm>
            <a:off x="2347913" y="223915"/>
            <a:ext cx="0" cy="3118104"/>
          </a:xfrm>
          <a:custGeom>
            <a:avLst/>
            <a:gdLst/>
            <a:ahLst/>
            <a:cxnLst/>
            <a:rect l="0" t="0" r="0" b="0"/>
            <a:pathLst>
              <a:path h="3118104">
                <a:moveTo>
                  <a:pt x="0" y="3118104"/>
                </a:moveTo>
                <a:lnTo>
                  <a:pt x="0" y="0"/>
                </a:lnTo>
              </a:path>
            </a:pathLst>
          </a:custGeom>
          <a:ln w="1270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07" name="Shape 237">
            <a:extLst>
              <a:ext uri="{FF2B5EF4-FFF2-40B4-BE49-F238E27FC236}">
                <a16:creationId xmlns:a16="http://schemas.microsoft.com/office/drawing/2014/main" id="{37B77508-76E1-4EC9-84B3-AA5A66DF032E}"/>
              </a:ext>
            </a:extLst>
          </xdr:cNvPr>
          <xdr:cNvSpPr/>
        </xdr:nvSpPr>
        <xdr:spPr>
          <a:xfrm>
            <a:off x="2790598" y="223915"/>
            <a:ext cx="0" cy="3118104"/>
          </a:xfrm>
          <a:custGeom>
            <a:avLst/>
            <a:gdLst/>
            <a:ahLst/>
            <a:cxnLst/>
            <a:rect l="0" t="0" r="0" b="0"/>
            <a:pathLst>
              <a:path h="3118104">
                <a:moveTo>
                  <a:pt x="0" y="3118104"/>
                </a:moveTo>
                <a:lnTo>
                  <a:pt x="0" y="0"/>
                </a:lnTo>
              </a:path>
            </a:pathLst>
          </a:custGeom>
          <a:ln w="1270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08" name="Shape 238">
            <a:extLst>
              <a:ext uri="{FF2B5EF4-FFF2-40B4-BE49-F238E27FC236}">
                <a16:creationId xmlns:a16="http://schemas.microsoft.com/office/drawing/2014/main" id="{9A056979-103A-48A9-9D42-62E4A74CC74C}"/>
              </a:ext>
            </a:extLst>
          </xdr:cNvPr>
          <xdr:cNvSpPr/>
        </xdr:nvSpPr>
        <xdr:spPr>
          <a:xfrm>
            <a:off x="3684971" y="223915"/>
            <a:ext cx="0" cy="3118104"/>
          </a:xfrm>
          <a:custGeom>
            <a:avLst/>
            <a:gdLst/>
            <a:ahLst/>
            <a:cxnLst/>
            <a:rect l="0" t="0" r="0" b="0"/>
            <a:pathLst>
              <a:path h="3118104">
                <a:moveTo>
                  <a:pt x="0" y="3118104"/>
                </a:moveTo>
                <a:lnTo>
                  <a:pt x="0" y="0"/>
                </a:lnTo>
              </a:path>
            </a:pathLst>
          </a:custGeom>
          <a:ln w="1270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09" name="Shape 239">
            <a:extLst>
              <a:ext uri="{FF2B5EF4-FFF2-40B4-BE49-F238E27FC236}">
                <a16:creationId xmlns:a16="http://schemas.microsoft.com/office/drawing/2014/main" id="{0F8B70AF-1C88-44D0-A3BA-A6F0AEFF4F2C}"/>
              </a:ext>
            </a:extLst>
          </xdr:cNvPr>
          <xdr:cNvSpPr/>
        </xdr:nvSpPr>
        <xdr:spPr>
          <a:xfrm>
            <a:off x="4368573" y="223915"/>
            <a:ext cx="0" cy="3118104"/>
          </a:xfrm>
          <a:custGeom>
            <a:avLst/>
            <a:gdLst/>
            <a:ahLst/>
            <a:cxnLst/>
            <a:rect l="0" t="0" r="0" b="0"/>
            <a:pathLst>
              <a:path h="3118104">
                <a:moveTo>
                  <a:pt x="0" y="3118104"/>
                </a:moveTo>
                <a:lnTo>
                  <a:pt x="0" y="0"/>
                </a:lnTo>
              </a:path>
            </a:pathLst>
          </a:custGeom>
          <a:ln w="1270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10" name="Shape 240">
            <a:extLst>
              <a:ext uri="{FF2B5EF4-FFF2-40B4-BE49-F238E27FC236}">
                <a16:creationId xmlns:a16="http://schemas.microsoft.com/office/drawing/2014/main" id="{ABDAE838-6A92-4C7C-8D60-41C14656BD84}"/>
              </a:ext>
            </a:extLst>
          </xdr:cNvPr>
          <xdr:cNvSpPr/>
        </xdr:nvSpPr>
        <xdr:spPr>
          <a:xfrm>
            <a:off x="4723720" y="223915"/>
            <a:ext cx="0" cy="3118104"/>
          </a:xfrm>
          <a:custGeom>
            <a:avLst/>
            <a:gdLst/>
            <a:ahLst/>
            <a:cxnLst/>
            <a:rect l="0" t="0" r="0" b="0"/>
            <a:pathLst>
              <a:path h="3118104">
                <a:moveTo>
                  <a:pt x="0" y="3118104"/>
                </a:moveTo>
                <a:lnTo>
                  <a:pt x="0" y="0"/>
                </a:lnTo>
              </a:path>
            </a:pathLst>
          </a:custGeom>
          <a:ln w="1270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11" name="Shape 241">
            <a:extLst>
              <a:ext uri="{FF2B5EF4-FFF2-40B4-BE49-F238E27FC236}">
                <a16:creationId xmlns:a16="http://schemas.microsoft.com/office/drawing/2014/main" id="{50892C2E-2992-45DF-B482-BCA7BAB9FE7D}"/>
              </a:ext>
            </a:extLst>
          </xdr:cNvPr>
          <xdr:cNvSpPr/>
        </xdr:nvSpPr>
        <xdr:spPr>
          <a:xfrm>
            <a:off x="5076598" y="223915"/>
            <a:ext cx="0" cy="3118104"/>
          </a:xfrm>
          <a:custGeom>
            <a:avLst/>
            <a:gdLst/>
            <a:ahLst/>
            <a:cxnLst/>
            <a:rect l="0" t="0" r="0" b="0"/>
            <a:pathLst>
              <a:path h="3118104">
                <a:moveTo>
                  <a:pt x="0" y="3118104"/>
                </a:moveTo>
                <a:lnTo>
                  <a:pt x="0" y="0"/>
                </a:lnTo>
              </a:path>
            </a:pathLst>
          </a:custGeom>
          <a:ln w="1270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12" name="Shape 242">
            <a:extLst>
              <a:ext uri="{FF2B5EF4-FFF2-40B4-BE49-F238E27FC236}">
                <a16:creationId xmlns:a16="http://schemas.microsoft.com/office/drawing/2014/main" id="{7D985447-D07A-42DC-8E05-6B258BED6EFA}"/>
              </a:ext>
            </a:extLst>
          </xdr:cNvPr>
          <xdr:cNvSpPr/>
        </xdr:nvSpPr>
        <xdr:spPr>
          <a:xfrm>
            <a:off x="5319713" y="223915"/>
            <a:ext cx="0" cy="3118104"/>
          </a:xfrm>
          <a:custGeom>
            <a:avLst/>
            <a:gdLst/>
            <a:ahLst/>
            <a:cxnLst/>
            <a:rect l="0" t="0" r="0" b="0"/>
            <a:pathLst>
              <a:path h="3118104">
                <a:moveTo>
                  <a:pt x="0" y="3118104"/>
                </a:moveTo>
                <a:lnTo>
                  <a:pt x="0" y="0"/>
                </a:lnTo>
              </a:path>
            </a:pathLst>
          </a:custGeom>
          <a:ln w="1270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13" name="Shape 243">
            <a:extLst>
              <a:ext uri="{FF2B5EF4-FFF2-40B4-BE49-F238E27FC236}">
                <a16:creationId xmlns:a16="http://schemas.microsoft.com/office/drawing/2014/main" id="{9BE3E554-BA1D-457E-849A-40B668A925F3}"/>
              </a:ext>
            </a:extLst>
          </xdr:cNvPr>
          <xdr:cNvSpPr/>
        </xdr:nvSpPr>
        <xdr:spPr>
          <a:xfrm>
            <a:off x="5564642" y="223915"/>
            <a:ext cx="0" cy="3118104"/>
          </a:xfrm>
          <a:custGeom>
            <a:avLst/>
            <a:gdLst/>
            <a:ahLst/>
            <a:cxnLst/>
            <a:rect l="0" t="0" r="0" b="0"/>
            <a:pathLst>
              <a:path h="3118104">
                <a:moveTo>
                  <a:pt x="0" y="3118104"/>
                </a:moveTo>
                <a:lnTo>
                  <a:pt x="0" y="0"/>
                </a:lnTo>
              </a:path>
            </a:pathLst>
          </a:custGeom>
          <a:ln w="1270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14" name="Shape 244">
            <a:extLst>
              <a:ext uri="{FF2B5EF4-FFF2-40B4-BE49-F238E27FC236}">
                <a16:creationId xmlns:a16="http://schemas.microsoft.com/office/drawing/2014/main" id="{F7B99E07-90CF-4D0D-91A7-AEBF1B0E29B8}"/>
              </a:ext>
            </a:extLst>
          </xdr:cNvPr>
          <xdr:cNvSpPr/>
        </xdr:nvSpPr>
        <xdr:spPr>
          <a:xfrm>
            <a:off x="5858556" y="223915"/>
            <a:ext cx="0" cy="3118104"/>
          </a:xfrm>
          <a:custGeom>
            <a:avLst/>
            <a:gdLst/>
            <a:ahLst/>
            <a:cxnLst/>
            <a:rect l="0" t="0" r="0" b="0"/>
            <a:pathLst>
              <a:path h="3118104">
                <a:moveTo>
                  <a:pt x="0" y="3118104"/>
                </a:moveTo>
                <a:lnTo>
                  <a:pt x="0" y="0"/>
                </a:lnTo>
              </a:path>
            </a:pathLst>
          </a:custGeom>
          <a:ln w="1270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15" name="Shape 245">
            <a:extLst>
              <a:ext uri="{FF2B5EF4-FFF2-40B4-BE49-F238E27FC236}">
                <a16:creationId xmlns:a16="http://schemas.microsoft.com/office/drawing/2014/main" id="{AA0C8C83-940B-4A60-B641-4C21BDF5DA26}"/>
              </a:ext>
            </a:extLst>
          </xdr:cNvPr>
          <xdr:cNvSpPr/>
        </xdr:nvSpPr>
        <xdr:spPr>
          <a:xfrm>
            <a:off x="6146817" y="223915"/>
            <a:ext cx="0" cy="3118104"/>
          </a:xfrm>
          <a:custGeom>
            <a:avLst/>
            <a:gdLst/>
            <a:ahLst/>
            <a:cxnLst/>
            <a:rect l="0" t="0" r="0" b="0"/>
            <a:pathLst>
              <a:path h="3118104">
                <a:moveTo>
                  <a:pt x="0" y="3118104"/>
                </a:moveTo>
                <a:lnTo>
                  <a:pt x="0" y="0"/>
                </a:lnTo>
              </a:path>
            </a:pathLst>
          </a:custGeom>
          <a:ln w="1270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16" name="Shape 246">
            <a:extLst>
              <a:ext uri="{FF2B5EF4-FFF2-40B4-BE49-F238E27FC236}">
                <a16:creationId xmlns:a16="http://schemas.microsoft.com/office/drawing/2014/main" id="{E9C7147C-A667-4AE6-9DF4-A557ACCBB6A8}"/>
              </a:ext>
            </a:extLst>
          </xdr:cNvPr>
          <xdr:cNvSpPr/>
        </xdr:nvSpPr>
        <xdr:spPr>
          <a:xfrm>
            <a:off x="6287633" y="223915"/>
            <a:ext cx="0" cy="3118104"/>
          </a:xfrm>
          <a:custGeom>
            <a:avLst/>
            <a:gdLst/>
            <a:ahLst/>
            <a:cxnLst/>
            <a:rect l="0" t="0" r="0" b="0"/>
            <a:pathLst>
              <a:path h="3118104">
                <a:moveTo>
                  <a:pt x="0" y="3118104"/>
                </a:moveTo>
                <a:lnTo>
                  <a:pt x="0" y="0"/>
                </a:lnTo>
              </a:path>
            </a:pathLst>
          </a:custGeom>
          <a:ln w="1270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17" name="Shape 247">
            <a:extLst>
              <a:ext uri="{FF2B5EF4-FFF2-40B4-BE49-F238E27FC236}">
                <a16:creationId xmlns:a16="http://schemas.microsoft.com/office/drawing/2014/main" id="{43087DFC-C6E6-42D1-8409-82FD86C4B33A}"/>
              </a:ext>
            </a:extLst>
          </xdr:cNvPr>
          <xdr:cNvSpPr/>
        </xdr:nvSpPr>
        <xdr:spPr>
          <a:xfrm>
            <a:off x="829356" y="223002"/>
            <a:ext cx="0" cy="3084348"/>
          </a:xfrm>
          <a:custGeom>
            <a:avLst/>
            <a:gdLst/>
            <a:ahLst/>
            <a:cxnLst/>
            <a:rect l="0" t="0" r="0" b="0"/>
            <a:pathLst>
              <a:path h="3084348">
                <a:moveTo>
                  <a:pt x="0" y="3084348"/>
                </a:moveTo>
                <a:lnTo>
                  <a:pt x="0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18" name="Shape 248">
            <a:extLst>
              <a:ext uri="{FF2B5EF4-FFF2-40B4-BE49-F238E27FC236}">
                <a16:creationId xmlns:a16="http://schemas.microsoft.com/office/drawing/2014/main" id="{3678CDEE-DFE7-4E9F-8212-3F3D1DCDFB20}"/>
              </a:ext>
            </a:extLst>
          </xdr:cNvPr>
          <xdr:cNvSpPr/>
        </xdr:nvSpPr>
        <xdr:spPr>
          <a:xfrm>
            <a:off x="1270227" y="223003"/>
            <a:ext cx="0" cy="3084360"/>
          </a:xfrm>
          <a:custGeom>
            <a:avLst/>
            <a:gdLst/>
            <a:ahLst/>
            <a:cxnLst/>
            <a:rect l="0" t="0" r="0" b="0"/>
            <a:pathLst>
              <a:path h="3084360">
                <a:moveTo>
                  <a:pt x="0" y="3084360"/>
                </a:moveTo>
                <a:lnTo>
                  <a:pt x="0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19" name="Shape 249">
            <a:extLst>
              <a:ext uri="{FF2B5EF4-FFF2-40B4-BE49-F238E27FC236}">
                <a16:creationId xmlns:a16="http://schemas.microsoft.com/office/drawing/2014/main" id="{209C5ED7-11F3-482E-8484-CEE85C9506D5}"/>
              </a:ext>
            </a:extLst>
          </xdr:cNvPr>
          <xdr:cNvSpPr/>
        </xdr:nvSpPr>
        <xdr:spPr>
          <a:xfrm>
            <a:off x="1601194" y="223003"/>
            <a:ext cx="0" cy="3084360"/>
          </a:xfrm>
          <a:custGeom>
            <a:avLst/>
            <a:gdLst/>
            <a:ahLst/>
            <a:cxnLst/>
            <a:rect l="0" t="0" r="0" b="0"/>
            <a:pathLst>
              <a:path h="3084360">
                <a:moveTo>
                  <a:pt x="0" y="3084360"/>
                </a:moveTo>
                <a:lnTo>
                  <a:pt x="0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20" name="Shape 250">
            <a:extLst>
              <a:ext uri="{FF2B5EF4-FFF2-40B4-BE49-F238E27FC236}">
                <a16:creationId xmlns:a16="http://schemas.microsoft.com/office/drawing/2014/main" id="{9A0B624A-9345-4ED8-9C73-E35641B93692}"/>
              </a:ext>
            </a:extLst>
          </xdr:cNvPr>
          <xdr:cNvSpPr/>
        </xdr:nvSpPr>
        <xdr:spPr>
          <a:xfrm>
            <a:off x="1915206" y="223003"/>
            <a:ext cx="0" cy="3084360"/>
          </a:xfrm>
          <a:custGeom>
            <a:avLst/>
            <a:gdLst/>
            <a:ahLst/>
            <a:cxnLst/>
            <a:rect l="0" t="0" r="0" b="0"/>
            <a:pathLst>
              <a:path h="3084360">
                <a:moveTo>
                  <a:pt x="0" y="3084360"/>
                </a:moveTo>
                <a:lnTo>
                  <a:pt x="0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21" name="Shape 251">
            <a:extLst>
              <a:ext uri="{FF2B5EF4-FFF2-40B4-BE49-F238E27FC236}">
                <a16:creationId xmlns:a16="http://schemas.microsoft.com/office/drawing/2014/main" id="{518B2A54-E2A1-4AA3-81E5-AAD64C6D9035}"/>
              </a:ext>
            </a:extLst>
          </xdr:cNvPr>
          <xdr:cNvSpPr/>
        </xdr:nvSpPr>
        <xdr:spPr>
          <a:xfrm>
            <a:off x="2200956" y="223003"/>
            <a:ext cx="0" cy="3084360"/>
          </a:xfrm>
          <a:custGeom>
            <a:avLst/>
            <a:gdLst/>
            <a:ahLst/>
            <a:cxnLst/>
            <a:rect l="0" t="0" r="0" b="0"/>
            <a:pathLst>
              <a:path h="3084360">
                <a:moveTo>
                  <a:pt x="0" y="3084360"/>
                </a:moveTo>
                <a:lnTo>
                  <a:pt x="0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22" name="Shape 252">
            <a:extLst>
              <a:ext uri="{FF2B5EF4-FFF2-40B4-BE49-F238E27FC236}">
                <a16:creationId xmlns:a16="http://schemas.microsoft.com/office/drawing/2014/main" id="{153EF51C-503A-42C3-A7A6-2A0244BB5099}"/>
              </a:ext>
            </a:extLst>
          </xdr:cNvPr>
          <xdr:cNvSpPr/>
        </xdr:nvSpPr>
        <xdr:spPr>
          <a:xfrm>
            <a:off x="2561998" y="223003"/>
            <a:ext cx="0" cy="3084360"/>
          </a:xfrm>
          <a:custGeom>
            <a:avLst/>
            <a:gdLst/>
            <a:ahLst/>
            <a:cxnLst/>
            <a:rect l="0" t="0" r="0" b="0"/>
            <a:pathLst>
              <a:path h="3084360">
                <a:moveTo>
                  <a:pt x="0" y="3084360"/>
                </a:moveTo>
                <a:lnTo>
                  <a:pt x="0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23" name="Shape 253">
            <a:extLst>
              <a:ext uri="{FF2B5EF4-FFF2-40B4-BE49-F238E27FC236}">
                <a16:creationId xmlns:a16="http://schemas.microsoft.com/office/drawing/2014/main" id="{47D2ACBE-737E-4F8C-B9F5-E6E8746869AE}"/>
              </a:ext>
            </a:extLst>
          </xdr:cNvPr>
          <xdr:cNvSpPr/>
        </xdr:nvSpPr>
        <xdr:spPr>
          <a:xfrm>
            <a:off x="3227771" y="223003"/>
            <a:ext cx="0" cy="3084360"/>
          </a:xfrm>
          <a:custGeom>
            <a:avLst/>
            <a:gdLst/>
            <a:ahLst/>
            <a:cxnLst/>
            <a:rect l="0" t="0" r="0" b="0"/>
            <a:pathLst>
              <a:path h="3084360">
                <a:moveTo>
                  <a:pt x="0" y="3084360"/>
                </a:moveTo>
                <a:lnTo>
                  <a:pt x="0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24" name="Shape 254">
            <a:extLst>
              <a:ext uri="{FF2B5EF4-FFF2-40B4-BE49-F238E27FC236}">
                <a16:creationId xmlns:a16="http://schemas.microsoft.com/office/drawing/2014/main" id="{9593DC0E-751B-45E7-B057-C17C3437B24C}"/>
              </a:ext>
            </a:extLst>
          </xdr:cNvPr>
          <xdr:cNvSpPr/>
        </xdr:nvSpPr>
        <xdr:spPr>
          <a:xfrm>
            <a:off x="4013428" y="223003"/>
            <a:ext cx="0" cy="3084360"/>
          </a:xfrm>
          <a:custGeom>
            <a:avLst/>
            <a:gdLst/>
            <a:ahLst/>
            <a:cxnLst/>
            <a:rect l="0" t="0" r="0" b="0"/>
            <a:pathLst>
              <a:path h="3084360">
                <a:moveTo>
                  <a:pt x="0" y="3084360"/>
                </a:moveTo>
                <a:lnTo>
                  <a:pt x="0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25" name="Shape 255">
            <a:extLst>
              <a:ext uri="{FF2B5EF4-FFF2-40B4-BE49-F238E27FC236}">
                <a16:creationId xmlns:a16="http://schemas.microsoft.com/office/drawing/2014/main" id="{9317F2AC-7A04-42CF-97AE-A84D420F1D8B}"/>
              </a:ext>
            </a:extLst>
          </xdr:cNvPr>
          <xdr:cNvSpPr/>
        </xdr:nvSpPr>
        <xdr:spPr>
          <a:xfrm>
            <a:off x="4537826" y="223003"/>
            <a:ext cx="0" cy="3084360"/>
          </a:xfrm>
          <a:custGeom>
            <a:avLst/>
            <a:gdLst/>
            <a:ahLst/>
            <a:cxnLst/>
            <a:rect l="0" t="0" r="0" b="0"/>
            <a:pathLst>
              <a:path h="3084360">
                <a:moveTo>
                  <a:pt x="0" y="3084360"/>
                </a:moveTo>
                <a:lnTo>
                  <a:pt x="0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26" name="Shape 256">
            <a:extLst>
              <a:ext uri="{FF2B5EF4-FFF2-40B4-BE49-F238E27FC236}">
                <a16:creationId xmlns:a16="http://schemas.microsoft.com/office/drawing/2014/main" id="{E6C6C87A-DB15-477C-9D38-F895CFB73E03}"/>
              </a:ext>
            </a:extLst>
          </xdr:cNvPr>
          <xdr:cNvSpPr/>
        </xdr:nvSpPr>
        <xdr:spPr>
          <a:xfrm>
            <a:off x="4895170" y="223003"/>
            <a:ext cx="0" cy="3084360"/>
          </a:xfrm>
          <a:custGeom>
            <a:avLst/>
            <a:gdLst/>
            <a:ahLst/>
            <a:cxnLst/>
            <a:rect l="0" t="0" r="0" b="0"/>
            <a:pathLst>
              <a:path h="3084360">
                <a:moveTo>
                  <a:pt x="0" y="3084360"/>
                </a:moveTo>
                <a:lnTo>
                  <a:pt x="0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27" name="Shape 257">
            <a:extLst>
              <a:ext uri="{FF2B5EF4-FFF2-40B4-BE49-F238E27FC236}">
                <a16:creationId xmlns:a16="http://schemas.microsoft.com/office/drawing/2014/main" id="{28A24DB7-DF76-4692-A5DD-BB35310EA363}"/>
              </a:ext>
            </a:extLst>
          </xdr:cNvPr>
          <xdr:cNvSpPr/>
        </xdr:nvSpPr>
        <xdr:spPr>
          <a:xfrm>
            <a:off x="5190898" y="223003"/>
            <a:ext cx="0" cy="3084360"/>
          </a:xfrm>
          <a:custGeom>
            <a:avLst/>
            <a:gdLst/>
            <a:ahLst/>
            <a:cxnLst/>
            <a:rect l="0" t="0" r="0" b="0"/>
            <a:pathLst>
              <a:path h="3084360">
                <a:moveTo>
                  <a:pt x="0" y="3084360"/>
                </a:moveTo>
                <a:lnTo>
                  <a:pt x="0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28" name="Shape 258">
            <a:extLst>
              <a:ext uri="{FF2B5EF4-FFF2-40B4-BE49-F238E27FC236}">
                <a16:creationId xmlns:a16="http://schemas.microsoft.com/office/drawing/2014/main" id="{D7489FCA-E5AC-4882-9113-EB0616882BA3}"/>
              </a:ext>
            </a:extLst>
          </xdr:cNvPr>
          <xdr:cNvSpPr/>
        </xdr:nvSpPr>
        <xdr:spPr>
          <a:xfrm>
            <a:off x="5452226" y="223003"/>
            <a:ext cx="0" cy="3084360"/>
          </a:xfrm>
          <a:custGeom>
            <a:avLst/>
            <a:gdLst/>
            <a:ahLst/>
            <a:cxnLst/>
            <a:rect l="0" t="0" r="0" b="0"/>
            <a:pathLst>
              <a:path h="3084360">
                <a:moveTo>
                  <a:pt x="0" y="3084360"/>
                </a:moveTo>
                <a:lnTo>
                  <a:pt x="0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29" name="Shape 259">
            <a:extLst>
              <a:ext uri="{FF2B5EF4-FFF2-40B4-BE49-F238E27FC236}">
                <a16:creationId xmlns:a16="http://schemas.microsoft.com/office/drawing/2014/main" id="{48757F80-24CB-4959-A21E-E662E7FA7CAF}"/>
              </a:ext>
            </a:extLst>
          </xdr:cNvPr>
          <xdr:cNvSpPr/>
        </xdr:nvSpPr>
        <xdr:spPr>
          <a:xfrm>
            <a:off x="5707202" y="223003"/>
            <a:ext cx="0" cy="3084360"/>
          </a:xfrm>
          <a:custGeom>
            <a:avLst/>
            <a:gdLst/>
            <a:ahLst/>
            <a:cxnLst/>
            <a:rect l="0" t="0" r="0" b="0"/>
            <a:pathLst>
              <a:path h="3084360">
                <a:moveTo>
                  <a:pt x="0" y="3084360"/>
                </a:moveTo>
                <a:lnTo>
                  <a:pt x="0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30" name="Shape 260">
            <a:extLst>
              <a:ext uri="{FF2B5EF4-FFF2-40B4-BE49-F238E27FC236}">
                <a16:creationId xmlns:a16="http://schemas.microsoft.com/office/drawing/2014/main" id="{06F04E43-B7CC-4624-9D32-10FDE72349F9}"/>
              </a:ext>
            </a:extLst>
          </xdr:cNvPr>
          <xdr:cNvSpPr/>
        </xdr:nvSpPr>
        <xdr:spPr>
          <a:xfrm>
            <a:off x="5997349" y="223003"/>
            <a:ext cx="0" cy="3084360"/>
          </a:xfrm>
          <a:custGeom>
            <a:avLst/>
            <a:gdLst/>
            <a:ahLst/>
            <a:cxnLst/>
            <a:rect l="0" t="0" r="0" b="0"/>
            <a:pathLst>
              <a:path h="3084360">
                <a:moveTo>
                  <a:pt x="0" y="3084360"/>
                </a:moveTo>
                <a:lnTo>
                  <a:pt x="0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31" name="Shape 261">
            <a:extLst>
              <a:ext uri="{FF2B5EF4-FFF2-40B4-BE49-F238E27FC236}">
                <a16:creationId xmlns:a16="http://schemas.microsoft.com/office/drawing/2014/main" id="{B33D229A-A8D1-420B-A5A2-3F140A46D7F7}"/>
              </a:ext>
            </a:extLst>
          </xdr:cNvPr>
          <xdr:cNvSpPr/>
        </xdr:nvSpPr>
        <xdr:spPr>
          <a:xfrm>
            <a:off x="524092" y="223804"/>
            <a:ext cx="4629176" cy="2804808"/>
          </a:xfrm>
          <a:custGeom>
            <a:avLst/>
            <a:gdLst/>
            <a:ahLst/>
            <a:cxnLst/>
            <a:rect l="0" t="0" r="0" b="0"/>
            <a:pathLst>
              <a:path w="4629176" h="2804808">
                <a:moveTo>
                  <a:pt x="0" y="0"/>
                </a:moveTo>
                <a:lnTo>
                  <a:pt x="4629176" y="2804808"/>
                </a:lnTo>
              </a:path>
            </a:pathLst>
          </a:custGeom>
          <a:ln w="25400" cap="flat">
            <a:miter lim="100000"/>
          </a:ln>
        </xdr:spPr>
        <xdr:style>
          <a:lnRef idx="1">
            <a:srgbClr val="66676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32" name="Shape 262">
            <a:extLst>
              <a:ext uri="{FF2B5EF4-FFF2-40B4-BE49-F238E27FC236}">
                <a16:creationId xmlns:a16="http://schemas.microsoft.com/office/drawing/2014/main" id="{B0FD89BD-8C74-49D6-8E9B-AAB7CDF1D427}"/>
              </a:ext>
            </a:extLst>
          </xdr:cNvPr>
          <xdr:cNvSpPr/>
        </xdr:nvSpPr>
        <xdr:spPr>
          <a:xfrm>
            <a:off x="5141671" y="3028285"/>
            <a:ext cx="1143000" cy="0"/>
          </a:xfrm>
          <a:custGeom>
            <a:avLst/>
            <a:gdLst/>
            <a:ahLst/>
            <a:cxnLst/>
            <a:rect l="0" t="0" r="0" b="0"/>
            <a:pathLst>
              <a:path w="1143000">
                <a:moveTo>
                  <a:pt x="0" y="0"/>
                </a:moveTo>
                <a:lnTo>
                  <a:pt x="1143000" y="0"/>
                </a:lnTo>
              </a:path>
            </a:pathLst>
          </a:custGeom>
          <a:ln w="25400" cap="flat">
            <a:miter lim="100000"/>
          </a:ln>
        </xdr:spPr>
        <xdr:style>
          <a:lnRef idx="1">
            <a:srgbClr val="66676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33" name="Shape 263">
            <a:extLst>
              <a:ext uri="{FF2B5EF4-FFF2-40B4-BE49-F238E27FC236}">
                <a16:creationId xmlns:a16="http://schemas.microsoft.com/office/drawing/2014/main" id="{6D7A7E2F-2F95-4E6D-812D-4C879697932F}"/>
              </a:ext>
            </a:extLst>
          </xdr:cNvPr>
          <xdr:cNvSpPr/>
        </xdr:nvSpPr>
        <xdr:spPr>
          <a:xfrm>
            <a:off x="448949" y="362421"/>
            <a:ext cx="5841860" cy="0"/>
          </a:xfrm>
          <a:custGeom>
            <a:avLst/>
            <a:gdLst/>
            <a:ahLst/>
            <a:cxnLst/>
            <a:rect l="0" t="0" r="0" b="0"/>
            <a:pathLst>
              <a:path w="5841860">
                <a:moveTo>
                  <a:pt x="0" y="0"/>
                </a:moveTo>
                <a:lnTo>
                  <a:pt x="5841860" y="0"/>
                </a:lnTo>
              </a:path>
            </a:pathLst>
          </a:custGeom>
          <a:ln w="635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34" name="Shape 264">
            <a:extLst>
              <a:ext uri="{FF2B5EF4-FFF2-40B4-BE49-F238E27FC236}">
                <a16:creationId xmlns:a16="http://schemas.microsoft.com/office/drawing/2014/main" id="{5E01C8A8-7F35-4F27-B0A2-5C1A126461DE}"/>
              </a:ext>
            </a:extLst>
          </xdr:cNvPr>
          <xdr:cNvSpPr/>
        </xdr:nvSpPr>
        <xdr:spPr>
          <a:xfrm>
            <a:off x="448949" y="222243"/>
            <a:ext cx="5841860" cy="0"/>
          </a:xfrm>
          <a:custGeom>
            <a:avLst/>
            <a:gdLst/>
            <a:ahLst/>
            <a:cxnLst/>
            <a:rect l="0" t="0" r="0" b="0"/>
            <a:pathLst>
              <a:path w="5841860">
                <a:moveTo>
                  <a:pt x="0" y="0"/>
                </a:moveTo>
                <a:lnTo>
                  <a:pt x="5841860" y="0"/>
                </a:lnTo>
              </a:path>
            </a:pathLst>
          </a:custGeom>
          <a:ln w="12700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es-CO"/>
          </a:p>
        </xdr:txBody>
      </xdr:sp>
      <xdr:sp macro="" textlink="">
        <xdr:nvSpPr>
          <xdr:cNvPr id="135" name="Rectangle 265">
            <a:extLst>
              <a:ext uri="{FF2B5EF4-FFF2-40B4-BE49-F238E27FC236}">
                <a16:creationId xmlns:a16="http://schemas.microsoft.com/office/drawing/2014/main" id="{DFE1CBB7-156A-4EE6-889C-2FEAAEEDF8A9}"/>
              </a:ext>
            </a:extLst>
          </xdr:cNvPr>
          <xdr:cNvSpPr/>
        </xdr:nvSpPr>
        <xdr:spPr>
          <a:xfrm>
            <a:off x="52281" y="1545125"/>
            <a:ext cx="103177" cy="235462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1000" b="1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F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136" name="Rectangle 266">
            <a:extLst>
              <a:ext uri="{FF2B5EF4-FFF2-40B4-BE49-F238E27FC236}">
                <a16:creationId xmlns:a16="http://schemas.microsoft.com/office/drawing/2014/main" id="{07D4BD76-F047-4ECD-9715-9AE3CF5CDF84}"/>
              </a:ext>
            </a:extLst>
          </xdr:cNvPr>
          <xdr:cNvSpPr/>
        </xdr:nvSpPr>
        <xdr:spPr>
          <a:xfrm>
            <a:off x="117158" y="1628628"/>
            <a:ext cx="60152" cy="137273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600" b="1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o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142" name="Rectangle 271">
            <a:extLst>
              <a:ext uri="{FF2B5EF4-FFF2-40B4-BE49-F238E27FC236}">
                <a16:creationId xmlns:a16="http://schemas.microsoft.com/office/drawing/2014/main" id="{4B35072A-9087-4D18-94F1-85A8CBEF0803}"/>
              </a:ext>
            </a:extLst>
          </xdr:cNvPr>
          <xdr:cNvSpPr/>
        </xdr:nvSpPr>
        <xdr:spPr>
          <a:xfrm>
            <a:off x="549544" y="40281"/>
            <a:ext cx="1465455" cy="134951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850" b="1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Overload HP Factor F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  <xdr:sp macro="" textlink="">
        <xdr:nvSpPr>
          <xdr:cNvPr id="143" name="Rectangle 272">
            <a:extLst>
              <a:ext uri="{FF2B5EF4-FFF2-40B4-BE49-F238E27FC236}">
                <a16:creationId xmlns:a16="http://schemas.microsoft.com/office/drawing/2014/main" id="{46210162-15F2-40BE-9A8C-3C4A9C2DF3DF}"/>
              </a:ext>
            </a:extLst>
          </xdr:cNvPr>
          <xdr:cNvSpPr/>
        </xdr:nvSpPr>
        <xdr:spPr>
          <a:xfrm>
            <a:off x="1666255" y="120911"/>
            <a:ext cx="51129" cy="116683"/>
          </a:xfrm>
          <a:prstGeom prst="rect">
            <a:avLst/>
          </a:prstGeom>
          <a:ln>
            <a:noFill/>
          </a:ln>
        </xdr:spPr>
        <xdr:txBody>
          <a:bodyPr vert="horz" wrap="square" lIns="0" tIns="0" rIns="0" bIns="0" rtlCol="0">
            <a:noAutofit/>
          </a:bodyPr>
          <a:lstStyle/>
          <a:p>
            <a:pPr>
              <a:lnSpc>
                <a:spcPct val="107000"/>
              </a:lnSpc>
              <a:spcAft>
                <a:spcPts val="800"/>
              </a:spcAft>
            </a:pPr>
            <a:r>
              <a:rPr lang="es-CO" sz="500" b="1">
                <a:solidFill>
                  <a:srgbClr val="181717"/>
                </a:solidFill>
                <a:effectLst/>
                <a:latin typeface="Arial" panose="020B0604020202020204" pitchFamily="34" charset="0"/>
                <a:ea typeface="Arial" panose="020B0604020202020204" pitchFamily="34" charset="0"/>
              </a:rPr>
              <a:t>o</a:t>
            </a:r>
            <a:endParaRPr lang="es-CO" sz="1100">
              <a:solidFill>
                <a:srgbClr val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</xdr:row>
      <xdr:rowOff>66675</xdr:rowOff>
    </xdr:from>
    <xdr:to>
      <xdr:col>0</xdr:col>
      <xdr:colOff>1737360</xdr:colOff>
      <xdr:row>9</xdr:row>
      <xdr:rowOff>120650</xdr:rowOff>
    </xdr:to>
    <xdr:grpSp>
      <xdr:nvGrpSpPr>
        <xdr:cNvPr id="2" name="Group 7810">
          <a:extLst>
            <a:ext uri="{FF2B5EF4-FFF2-40B4-BE49-F238E27FC236}">
              <a16:creationId xmlns:a16="http://schemas.microsoft.com/office/drawing/2014/main" id="{74276C41-682C-4DB7-9C17-FAC590308A4D}"/>
            </a:ext>
          </a:extLst>
        </xdr:cNvPr>
        <xdr:cNvGrpSpPr/>
      </xdr:nvGrpSpPr>
      <xdr:grpSpPr>
        <a:xfrm>
          <a:off x="190500" y="942975"/>
          <a:ext cx="1546860" cy="1006475"/>
          <a:chOff x="0" y="0"/>
          <a:chExt cx="1547368" cy="1006640"/>
        </a:xfrm>
      </xdr:grpSpPr>
      <xdr:sp macro="" textlink="">
        <xdr:nvSpPr>
          <xdr:cNvPr id="3" name="Shape 650">
            <a:extLst>
              <a:ext uri="{FF2B5EF4-FFF2-40B4-BE49-F238E27FC236}">
                <a16:creationId xmlns:a16="http://schemas.microsoft.com/office/drawing/2014/main" id="{68261291-7E86-4014-B552-075572343AC8}"/>
              </a:ext>
            </a:extLst>
          </xdr:cNvPr>
          <xdr:cNvSpPr/>
        </xdr:nvSpPr>
        <xdr:spPr>
          <a:xfrm>
            <a:off x="557494" y="530827"/>
            <a:ext cx="47117" cy="64186"/>
          </a:xfrm>
          <a:custGeom>
            <a:avLst/>
            <a:gdLst/>
            <a:ahLst/>
            <a:cxnLst/>
            <a:rect l="0" t="0" r="0" b="0"/>
            <a:pathLst>
              <a:path w="47117" h="64186">
                <a:moveTo>
                  <a:pt x="47117" y="0"/>
                </a:moveTo>
                <a:cubicBezTo>
                  <a:pt x="22111" y="12446"/>
                  <a:pt x="4394" y="36424"/>
                  <a:pt x="0" y="64186"/>
                </a:cubicBezTo>
              </a:path>
            </a:pathLst>
          </a:custGeom>
          <a:ln w="3175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s-CO"/>
          </a:p>
        </xdr:txBody>
      </xdr:sp>
      <xdr:sp macro="" textlink="">
        <xdr:nvSpPr>
          <xdr:cNvPr id="4" name="Shape 651">
            <a:extLst>
              <a:ext uri="{FF2B5EF4-FFF2-40B4-BE49-F238E27FC236}">
                <a16:creationId xmlns:a16="http://schemas.microsoft.com/office/drawing/2014/main" id="{90BD5D89-9334-4D01-AEA8-C855529F21D7}"/>
              </a:ext>
            </a:extLst>
          </xdr:cNvPr>
          <xdr:cNvSpPr/>
        </xdr:nvSpPr>
        <xdr:spPr>
          <a:xfrm>
            <a:off x="549275" y="590034"/>
            <a:ext cx="18250" cy="23813"/>
          </a:xfrm>
          <a:custGeom>
            <a:avLst/>
            <a:gdLst/>
            <a:ahLst/>
            <a:cxnLst/>
            <a:rect l="0" t="0" r="0" b="0"/>
            <a:pathLst>
              <a:path w="18250" h="23813">
                <a:moveTo>
                  <a:pt x="0" y="0"/>
                </a:moveTo>
                <a:lnTo>
                  <a:pt x="18250" y="2375"/>
                </a:lnTo>
                <a:lnTo>
                  <a:pt x="5550" y="2381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s-CO"/>
          </a:p>
        </xdr:txBody>
      </xdr:sp>
      <xdr:pic>
        <xdr:nvPicPr>
          <xdr:cNvPr id="5" name="Picture 9362">
            <a:extLst>
              <a:ext uri="{FF2B5EF4-FFF2-40B4-BE49-F238E27FC236}">
                <a16:creationId xmlns:a16="http://schemas.microsoft.com/office/drawing/2014/main" id="{6937E173-60E1-4BC6-A632-5F9382F48CC2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-4571" y="-3466"/>
            <a:ext cx="1551432" cy="100888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190500</xdr:colOff>
      <xdr:row>14</xdr:row>
      <xdr:rowOff>66675</xdr:rowOff>
    </xdr:from>
    <xdr:to>
      <xdr:col>0</xdr:col>
      <xdr:colOff>1737360</xdr:colOff>
      <xdr:row>20</xdr:row>
      <xdr:rowOff>8255</xdr:rowOff>
    </xdr:to>
    <xdr:grpSp>
      <xdr:nvGrpSpPr>
        <xdr:cNvPr id="6" name="Group 8110">
          <a:extLst>
            <a:ext uri="{FF2B5EF4-FFF2-40B4-BE49-F238E27FC236}">
              <a16:creationId xmlns:a16="http://schemas.microsoft.com/office/drawing/2014/main" id="{2F596EA9-3BE0-442D-A8FD-2760D32205D1}"/>
            </a:ext>
          </a:extLst>
        </xdr:cNvPr>
        <xdr:cNvGrpSpPr/>
      </xdr:nvGrpSpPr>
      <xdr:grpSpPr>
        <a:xfrm>
          <a:off x="190500" y="2857500"/>
          <a:ext cx="1546860" cy="1084580"/>
          <a:chOff x="0" y="0"/>
          <a:chExt cx="1547368" cy="1085164"/>
        </a:xfrm>
      </xdr:grpSpPr>
      <xdr:pic>
        <xdr:nvPicPr>
          <xdr:cNvPr id="7" name="Picture 9363">
            <a:extLst>
              <a:ext uri="{FF2B5EF4-FFF2-40B4-BE49-F238E27FC236}">
                <a16:creationId xmlns:a16="http://schemas.microsoft.com/office/drawing/2014/main" id="{EF013C7F-D36D-4FB5-9CC1-61F27D0906E5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-4571" y="-2107"/>
            <a:ext cx="1551432" cy="1088136"/>
          </a:xfrm>
          <a:prstGeom prst="rect">
            <a:avLst/>
          </a:prstGeom>
        </xdr:spPr>
      </xdr:pic>
      <xdr:sp macro="" textlink="">
        <xdr:nvSpPr>
          <xdr:cNvPr id="8" name="Shape 642">
            <a:extLst>
              <a:ext uri="{FF2B5EF4-FFF2-40B4-BE49-F238E27FC236}">
                <a16:creationId xmlns:a16="http://schemas.microsoft.com/office/drawing/2014/main" id="{BB858041-8CBB-48FC-A3B0-BA1C2A4DB010}"/>
              </a:ext>
            </a:extLst>
          </xdr:cNvPr>
          <xdr:cNvSpPr/>
        </xdr:nvSpPr>
        <xdr:spPr>
          <a:xfrm>
            <a:off x="557494" y="515208"/>
            <a:ext cx="47117" cy="64186"/>
          </a:xfrm>
          <a:custGeom>
            <a:avLst/>
            <a:gdLst/>
            <a:ahLst/>
            <a:cxnLst/>
            <a:rect l="0" t="0" r="0" b="0"/>
            <a:pathLst>
              <a:path w="47117" h="64186">
                <a:moveTo>
                  <a:pt x="47117" y="0"/>
                </a:moveTo>
                <a:cubicBezTo>
                  <a:pt x="22111" y="12446"/>
                  <a:pt x="4394" y="36424"/>
                  <a:pt x="0" y="64186"/>
                </a:cubicBezTo>
              </a:path>
            </a:pathLst>
          </a:custGeom>
          <a:ln w="3175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s-CO"/>
          </a:p>
        </xdr:txBody>
      </xdr:sp>
      <xdr:sp macro="" textlink="">
        <xdr:nvSpPr>
          <xdr:cNvPr id="9" name="Shape 643">
            <a:extLst>
              <a:ext uri="{FF2B5EF4-FFF2-40B4-BE49-F238E27FC236}">
                <a16:creationId xmlns:a16="http://schemas.microsoft.com/office/drawing/2014/main" id="{F5B3F551-9112-4363-AA1F-3EF6A323E461}"/>
              </a:ext>
            </a:extLst>
          </xdr:cNvPr>
          <xdr:cNvSpPr/>
        </xdr:nvSpPr>
        <xdr:spPr>
          <a:xfrm>
            <a:off x="549275" y="574416"/>
            <a:ext cx="18250" cy="23813"/>
          </a:xfrm>
          <a:custGeom>
            <a:avLst/>
            <a:gdLst/>
            <a:ahLst/>
            <a:cxnLst/>
            <a:rect l="0" t="0" r="0" b="0"/>
            <a:pathLst>
              <a:path w="18250" h="23813">
                <a:moveTo>
                  <a:pt x="0" y="0"/>
                </a:moveTo>
                <a:lnTo>
                  <a:pt x="18250" y="2375"/>
                </a:lnTo>
                <a:lnTo>
                  <a:pt x="5550" y="2381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s-CO"/>
          </a:p>
        </xdr:txBody>
      </xdr:sp>
    </xdr:grpSp>
    <xdr:clientData/>
  </xdr:twoCellAnchor>
  <xdr:twoCellAnchor>
    <xdr:from>
      <xdr:col>0</xdr:col>
      <xdr:colOff>190500</xdr:colOff>
      <xdr:row>25</xdr:row>
      <xdr:rowOff>66675</xdr:rowOff>
    </xdr:from>
    <xdr:to>
      <xdr:col>0</xdr:col>
      <xdr:colOff>1755775</xdr:colOff>
      <xdr:row>30</xdr:row>
      <xdr:rowOff>134620</xdr:rowOff>
    </xdr:to>
    <xdr:grpSp>
      <xdr:nvGrpSpPr>
        <xdr:cNvPr id="10" name="Group 8410">
          <a:extLst>
            <a:ext uri="{FF2B5EF4-FFF2-40B4-BE49-F238E27FC236}">
              <a16:creationId xmlns:a16="http://schemas.microsoft.com/office/drawing/2014/main" id="{D64719B7-C1D2-4D07-8680-178D7905D2A6}"/>
            </a:ext>
          </a:extLst>
        </xdr:cNvPr>
        <xdr:cNvGrpSpPr/>
      </xdr:nvGrpSpPr>
      <xdr:grpSpPr>
        <a:xfrm>
          <a:off x="190500" y="4962525"/>
          <a:ext cx="1565275" cy="1020445"/>
          <a:chOff x="0" y="0"/>
          <a:chExt cx="1565656" cy="1020864"/>
        </a:xfrm>
      </xdr:grpSpPr>
      <xdr:pic>
        <xdr:nvPicPr>
          <xdr:cNvPr id="11" name="Picture 9364">
            <a:extLst>
              <a:ext uri="{FF2B5EF4-FFF2-40B4-BE49-F238E27FC236}">
                <a16:creationId xmlns:a16="http://schemas.microsoft.com/office/drawing/2014/main" id="{26561853-307E-4435-9760-705435E726A8}"/>
              </a:ext>
            </a:extLst>
          </xdr:cNvPr>
          <xdr:cNvPicPr/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-4571" y="-1828"/>
            <a:ext cx="1569720" cy="1024128"/>
          </a:xfrm>
          <a:prstGeom prst="rect">
            <a:avLst/>
          </a:prstGeom>
        </xdr:spPr>
      </xdr:pic>
      <xdr:sp macro="" textlink="">
        <xdr:nvSpPr>
          <xdr:cNvPr id="12" name="Shape 655">
            <a:extLst>
              <a:ext uri="{FF2B5EF4-FFF2-40B4-BE49-F238E27FC236}">
                <a16:creationId xmlns:a16="http://schemas.microsoft.com/office/drawing/2014/main" id="{4D381BA3-BADB-47C8-999D-9B925542AE0A}"/>
              </a:ext>
            </a:extLst>
          </xdr:cNvPr>
          <xdr:cNvSpPr/>
        </xdr:nvSpPr>
        <xdr:spPr>
          <a:xfrm>
            <a:off x="557494" y="423864"/>
            <a:ext cx="47117" cy="64186"/>
          </a:xfrm>
          <a:custGeom>
            <a:avLst/>
            <a:gdLst/>
            <a:ahLst/>
            <a:cxnLst/>
            <a:rect l="0" t="0" r="0" b="0"/>
            <a:pathLst>
              <a:path w="47117" h="64186">
                <a:moveTo>
                  <a:pt x="47117" y="0"/>
                </a:moveTo>
                <a:cubicBezTo>
                  <a:pt x="22111" y="12446"/>
                  <a:pt x="4394" y="36424"/>
                  <a:pt x="0" y="64186"/>
                </a:cubicBezTo>
              </a:path>
            </a:pathLst>
          </a:custGeom>
          <a:ln w="3175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s-CO"/>
          </a:p>
        </xdr:txBody>
      </xdr:sp>
      <xdr:sp macro="" textlink="">
        <xdr:nvSpPr>
          <xdr:cNvPr id="13" name="Shape 656">
            <a:extLst>
              <a:ext uri="{FF2B5EF4-FFF2-40B4-BE49-F238E27FC236}">
                <a16:creationId xmlns:a16="http://schemas.microsoft.com/office/drawing/2014/main" id="{C803DFBF-C060-4EAA-8DD0-6F40EDAE5D6A}"/>
              </a:ext>
            </a:extLst>
          </xdr:cNvPr>
          <xdr:cNvSpPr/>
        </xdr:nvSpPr>
        <xdr:spPr>
          <a:xfrm>
            <a:off x="549275" y="483072"/>
            <a:ext cx="18250" cy="23813"/>
          </a:xfrm>
          <a:custGeom>
            <a:avLst/>
            <a:gdLst/>
            <a:ahLst/>
            <a:cxnLst/>
            <a:rect l="0" t="0" r="0" b="0"/>
            <a:pathLst>
              <a:path w="18250" h="23813">
                <a:moveTo>
                  <a:pt x="0" y="0"/>
                </a:moveTo>
                <a:lnTo>
                  <a:pt x="18250" y="2375"/>
                </a:lnTo>
                <a:lnTo>
                  <a:pt x="5550" y="2381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s-CO"/>
          </a:p>
        </xdr:txBody>
      </xdr:sp>
    </xdr:grpSp>
    <xdr:clientData/>
  </xdr:twoCellAnchor>
  <xdr:twoCellAnchor>
    <xdr:from>
      <xdr:col>0</xdr:col>
      <xdr:colOff>190500</xdr:colOff>
      <xdr:row>35</xdr:row>
      <xdr:rowOff>66675</xdr:rowOff>
    </xdr:from>
    <xdr:to>
      <xdr:col>0</xdr:col>
      <xdr:colOff>1755775</xdr:colOff>
      <xdr:row>41</xdr:row>
      <xdr:rowOff>40640</xdr:rowOff>
    </xdr:to>
    <xdr:grpSp>
      <xdr:nvGrpSpPr>
        <xdr:cNvPr id="14" name="Group 8710">
          <a:extLst>
            <a:ext uri="{FF2B5EF4-FFF2-40B4-BE49-F238E27FC236}">
              <a16:creationId xmlns:a16="http://schemas.microsoft.com/office/drawing/2014/main" id="{E8954EF0-C58D-4A12-B65F-BE9B77479045}"/>
            </a:ext>
          </a:extLst>
        </xdr:cNvPr>
        <xdr:cNvGrpSpPr/>
      </xdr:nvGrpSpPr>
      <xdr:grpSpPr>
        <a:xfrm>
          <a:off x="190500" y="6877050"/>
          <a:ext cx="1565275" cy="1116965"/>
          <a:chOff x="0" y="0"/>
          <a:chExt cx="1565656" cy="1117588"/>
        </a:xfrm>
      </xdr:grpSpPr>
      <xdr:pic>
        <xdr:nvPicPr>
          <xdr:cNvPr id="15" name="Picture 9365">
            <a:extLst>
              <a:ext uri="{FF2B5EF4-FFF2-40B4-BE49-F238E27FC236}">
                <a16:creationId xmlns:a16="http://schemas.microsoft.com/office/drawing/2014/main" id="{B29F203D-106E-46F3-AF39-2AB673BD509B}"/>
              </a:ext>
            </a:extLst>
          </xdr:cNvPr>
          <xdr:cNvPicPr/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-2742" y="-1866"/>
            <a:ext cx="1569720" cy="1118616"/>
          </a:xfrm>
          <a:prstGeom prst="rect">
            <a:avLst/>
          </a:prstGeom>
        </xdr:spPr>
      </xdr:pic>
      <xdr:sp macro="" textlink="">
        <xdr:nvSpPr>
          <xdr:cNvPr id="16" name="Shape 637">
            <a:extLst>
              <a:ext uri="{FF2B5EF4-FFF2-40B4-BE49-F238E27FC236}">
                <a16:creationId xmlns:a16="http://schemas.microsoft.com/office/drawing/2014/main" id="{A96344E1-1E2E-4EB3-A124-3423CF79E0E8}"/>
              </a:ext>
            </a:extLst>
          </xdr:cNvPr>
          <xdr:cNvSpPr/>
        </xdr:nvSpPr>
        <xdr:spPr>
          <a:xfrm>
            <a:off x="568467" y="430600"/>
            <a:ext cx="47117" cy="64186"/>
          </a:xfrm>
          <a:custGeom>
            <a:avLst/>
            <a:gdLst/>
            <a:ahLst/>
            <a:cxnLst/>
            <a:rect l="0" t="0" r="0" b="0"/>
            <a:pathLst>
              <a:path w="47117" h="64186">
                <a:moveTo>
                  <a:pt x="47117" y="0"/>
                </a:moveTo>
                <a:cubicBezTo>
                  <a:pt x="22111" y="12446"/>
                  <a:pt x="4394" y="36423"/>
                  <a:pt x="0" y="64186"/>
                </a:cubicBezTo>
              </a:path>
            </a:pathLst>
          </a:custGeom>
          <a:ln w="3175" cap="flat">
            <a:miter lim="100000"/>
          </a:ln>
        </xdr:spPr>
        <xdr:style>
          <a:lnRef idx="1">
            <a:srgbClr val="181717"/>
          </a:lnRef>
          <a:fillRef idx="0">
            <a:srgbClr val="000000">
              <a:alpha val="0"/>
            </a:srgbClr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s-CO"/>
          </a:p>
        </xdr:txBody>
      </xdr:sp>
      <xdr:sp macro="" textlink="">
        <xdr:nvSpPr>
          <xdr:cNvPr id="17" name="Shape 638">
            <a:extLst>
              <a:ext uri="{FF2B5EF4-FFF2-40B4-BE49-F238E27FC236}">
                <a16:creationId xmlns:a16="http://schemas.microsoft.com/office/drawing/2014/main" id="{9BACF59B-A7D1-4F1B-8D58-9F70FA618D15}"/>
              </a:ext>
            </a:extLst>
          </xdr:cNvPr>
          <xdr:cNvSpPr/>
        </xdr:nvSpPr>
        <xdr:spPr>
          <a:xfrm>
            <a:off x="560248" y="489807"/>
            <a:ext cx="18250" cy="23813"/>
          </a:xfrm>
          <a:custGeom>
            <a:avLst/>
            <a:gdLst/>
            <a:ahLst/>
            <a:cxnLst/>
            <a:rect l="0" t="0" r="0" b="0"/>
            <a:pathLst>
              <a:path w="18250" h="23813">
                <a:moveTo>
                  <a:pt x="0" y="0"/>
                </a:moveTo>
                <a:lnTo>
                  <a:pt x="18250" y="2375"/>
                </a:lnTo>
                <a:lnTo>
                  <a:pt x="5550" y="2381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81717"/>
          </a:fillRef>
          <a:effectRef idx="0">
            <a:scrgbClr r="0" g="0" b="0"/>
          </a:effectRef>
          <a:fontRef idx="none"/>
        </xdr:style>
        <xdr:txBody>
          <a:bodyPr/>
          <a:lstStyle/>
          <a:p>
            <a:endParaRPr lang="es-CO"/>
          </a:p>
        </xdr:txBody>
      </xdr:sp>
    </xdr:grpSp>
    <xdr:clientData/>
  </xdr:twoCellAnchor>
  <xdr:twoCellAnchor>
    <xdr:from>
      <xdr:col>0</xdr:col>
      <xdr:colOff>133349</xdr:colOff>
      <xdr:row>45</xdr:row>
      <xdr:rowOff>76200</xdr:rowOff>
    </xdr:from>
    <xdr:to>
      <xdr:col>0</xdr:col>
      <xdr:colOff>1757658</xdr:colOff>
      <xdr:row>51</xdr:row>
      <xdr:rowOff>66675</xdr:rowOff>
    </xdr:to>
    <xdr:pic>
      <xdr:nvPicPr>
        <xdr:cNvPr id="26" name="Picture 9366">
          <a:extLst>
            <a:ext uri="{FF2B5EF4-FFF2-40B4-BE49-F238E27FC236}">
              <a16:creationId xmlns:a16="http://schemas.microsoft.com/office/drawing/2014/main" id="{E3B61167-CC93-401F-BC59-4D27DD5356C4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49" y="8801100"/>
          <a:ext cx="1624309" cy="1133475"/>
        </a:xfrm>
        <a:prstGeom prst="rect">
          <a:avLst/>
        </a:prstGeom>
      </xdr:spPr>
    </xdr:pic>
    <xdr:clientData/>
  </xdr:twoCellAnchor>
  <xdr:twoCellAnchor>
    <xdr:from>
      <xdr:col>0</xdr:col>
      <xdr:colOff>752474</xdr:colOff>
      <xdr:row>47</xdr:row>
      <xdr:rowOff>114300</xdr:rowOff>
    </xdr:from>
    <xdr:to>
      <xdr:col>0</xdr:col>
      <xdr:colOff>799580</xdr:colOff>
      <xdr:row>47</xdr:row>
      <xdr:rowOff>178450</xdr:rowOff>
    </xdr:to>
    <xdr:sp macro="" textlink="">
      <xdr:nvSpPr>
        <xdr:cNvPr id="27" name="Shape 637">
          <a:extLst>
            <a:ext uri="{FF2B5EF4-FFF2-40B4-BE49-F238E27FC236}">
              <a16:creationId xmlns:a16="http://schemas.microsoft.com/office/drawing/2014/main" id="{D2034827-2EB8-4EB2-AAEA-CC6A5784E885}"/>
            </a:ext>
          </a:extLst>
        </xdr:cNvPr>
        <xdr:cNvSpPr/>
      </xdr:nvSpPr>
      <xdr:spPr>
        <a:xfrm>
          <a:off x="752474" y="9220200"/>
          <a:ext cx="47106" cy="64150"/>
        </a:xfrm>
        <a:custGeom>
          <a:avLst/>
          <a:gdLst/>
          <a:ahLst/>
          <a:cxnLst/>
          <a:rect l="0" t="0" r="0" b="0"/>
          <a:pathLst>
            <a:path w="47117" h="64186">
              <a:moveTo>
                <a:pt x="47117" y="0"/>
              </a:moveTo>
              <a:cubicBezTo>
                <a:pt x="22111" y="12446"/>
                <a:pt x="4394" y="36423"/>
                <a:pt x="0" y="64186"/>
              </a:cubicBezTo>
            </a:path>
          </a:pathLst>
        </a:custGeom>
        <a:ln w="3175" cap="flat">
          <a:miter lim="100000"/>
        </a:ln>
      </xdr:spPr>
      <xdr:style>
        <a:lnRef idx="1">
          <a:srgbClr val="181717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/>
        <a:lstStyle/>
        <a:p>
          <a:endParaRPr lang="es-CO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7DE77-A81F-45DD-9291-E00BFBE67A96}">
  <sheetPr>
    <pageSetUpPr fitToPage="1"/>
  </sheetPr>
  <dimension ref="A1:L114"/>
  <sheetViews>
    <sheetView tabSelected="1" topLeftCell="A13" workbookViewId="0">
      <selection activeCell="D26" sqref="D26:E26"/>
    </sheetView>
  </sheetViews>
  <sheetFormatPr baseColWidth="10" defaultRowHeight="14.25" x14ac:dyDescent="0.2"/>
  <cols>
    <col min="1" max="1" width="34.140625" style="116" bestFit="1" customWidth="1"/>
    <col min="2" max="2" width="22.7109375" style="116" bestFit="1" customWidth="1"/>
    <col min="3" max="3" width="31.140625" style="116" bestFit="1" customWidth="1"/>
    <col min="4" max="4" width="15.7109375" style="116" bestFit="1" customWidth="1"/>
    <col min="5" max="5" width="15.28515625" style="116" bestFit="1" customWidth="1"/>
    <col min="6" max="8" width="11.42578125" style="116"/>
    <col min="9" max="9" width="12.85546875" style="116" customWidth="1"/>
    <col min="10" max="16384" width="11.42578125" style="116"/>
  </cols>
  <sheetData>
    <row r="1" spans="1:9" ht="15" thickBot="1" x14ac:dyDescent="0.25">
      <c r="B1" s="145"/>
      <c r="C1" s="145"/>
      <c r="D1" s="145"/>
      <c r="E1" s="145"/>
      <c r="F1" s="145"/>
    </row>
    <row r="2" spans="1:9" ht="15" thickBot="1" x14ac:dyDescent="0.25">
      <c r="A2" s="146" t="s">
        <v>1061</v>
      </c>
      <c r="B2" s="477"/>
      <c r="C2" s="146" t="s">
        <v>1151</v>
      </c>
      <c r="D2" s="477"/>
      <c r="E2" s="477"/>
      <c r="F2" s="478"/>
    </row>
    <row r="3" spans="1:9" ht="15.75" customHeight="1" thickBot="1" x14ac:dyDescent="0.25">
      <c r="A3" s="319" t="s">
        <v>1062</v>
      </c>
      <c r="B3" s="320"/>
      <c r="C3" s="311" t="s">
        <v>1152</v>
      </c>
      <c r="D3" s="312"/>
      <c r="E3" s="312"/>
      <c r="F3" s="313"/>
    </row>
    <row r="4" spans="1:9" ht="15" thickBot="1" x14ac:dyDescent="0.25">
      <c r="A4" s="165" t="s">
        <v>0</v>
      </c>
      <c r="B4" s="223" t="s">
        <v>218</v>
      </c>
      <c r="C4" s="215" t="str">
        <f>A74</f>
        <v>Total HP</v>
      </c>
      <c r="D4" s="216">
        <f>B74</f>
        <v>0.35522647681864788</v>
      </c>
      <c r="E4" s="217">
        <f>C74</f>
        <v>0.26489238376366575</v>
      </c>
      <c r="F4" s="300"/>
    </row>
    <row r="5" spans="1:9" ht="15" thickBot="1" x14ac:dyDescent="0.25">
      <c r="A5" s="166" t="s">
        <v>1010</v>
      </c>
      <c r="B5" s="169" t="str">
        <f>VLOOKUP(B4,'Table B'!A5:H436,2,FALSE)</f>
        <v>43E45V</v>
      </c>
      <c r="C5" s="165" t="str">
        <f>A75</f>
        <v>Closest motor HP</v>
      </c>
      <c r="D5" s="142">
        <f t="shared" ref="D5:E5" si="0">B75</f>
        <v>1</v>
      </c>
      <c r="E5" s="143">
        <f t="shared" si="0"/>
        <v>0.74570000000000003</v>
      </c>
      <c r="F5" s="301"/>
    </row>
    <row r="6" spans="1:9" ht="15" thickBot="1" x14ac:dyDescent="0.25">
      <c r="A6" s="167" t="s">
        <v>1060</v>
      </c>
      <c r="B6" s="168">
        <f>VLOOKUP(B4,'Table B'!A5:H436,7,FALSE)</f>
        <v>42.5</v>
      </c>
      <c r="C6" s="290" t="str">
        <f>A76</f>
        <v>Upper size motor HP</v>
      </c>
      <c r="D6" s="291">
        <f t="shared" ref="D6:E6" si="1">B76</f>
        <v>3</v>
      </c>
      <c r="E6" s="292">
        <f t="shared" si="1"/>
        <v>2.2370999999999999</v>
      </c>
      <c r="F6" s="302"/>
    </row>
    <row r="7" spans="1:9" ht="15" thickBot="1" x14ac:dyDescent="0.25">
      <c r="A7" s="311" t="s">
        <v>1063</v>
      </c>
      <c r="B7" s="313"/>
      <c r="C7" s="311" t="s">
        <v>1228</v>
      </c>
      <c r="D7" s="312"/>
      <c r="E7" s="312"/>
      <c r="F7" s="313"/>
    </row>
    <row r="8" spans="1:9" ht="15" thickBot="1" x14ac:dyDescent="0.25">
      <c r="A8" s="171" t="s">
        <v>887</v>
      </c>
      <c r="B8" s="229">
        <f>B9/(B6*0.453592)</f>
        <v>414.98812615224045</v>
      </c>
      <c r="C8" s="294" t="s">
        <v>1207</v>
      </c>
      <c r="D8" s="314">
        <f>B113</f>
        <v>2.0309401031336769</v>
      </c>
      <c r="E8" s="315"/>
      <c r="F8" s="295" t="str">
        <f>IF(D8&gt;$B$22,"OK","FAILURE")</f>
        <v>OK</v>
      </c>
    </row>
    <row r="9" spans="1:9" ht="15" thickBot="1" x14ac:dyDescent="0.25">
      <c r="A9" s="163" t="s">
        <v>1155</v>
      </c>
      <c r="B9" s="228">
        <v>8000</v>
      </c>
      <c r="C9" s="294" t="s">
        <v>1209</v>
      </c>
      <c r="D9" s="296">
        <f>B101</f>
        <v>6.8756879102638939E-3</v>
      </c>
      <c r="E9" s="297">
        <f>C101</f>
        <v>0.1746424729207029</v>
      </c>
      <c r="F9" s="295" t="str">
        <f>IF(D9&lt;3/16,"OK","FAILURE")</f>
        <v>OK</v>
      </c>
    </row>
    <row r="10" spans="1:9" ht="15" thickBot="1" x14ac:dyDescent="0.25">
      <c r="A10" s="163" t="s">
        <v>1154</v>
      </c>
      <c r="B10" s="221">
        <v>20</v>
      </c>
      <c r="C10" s="294" t="s">
        <v>1227</v>
      </c>
      <c r="D10" s="287">
        <f>B104</f>
        <v>3.7185589296926196</v>
      </c>
      <c r="E10" s="288">
        <f>C104</f>
        <v>25.638571366087486</v>
      </c>
      <c r="F10" s="295"/>
    </row>
    <row r="11" spans="1:9" ht="15.75" thickBot="1" x14ac:dyDescent="0.3">
      <c r="A11" s="163" t="s">
        <v>995</v>
      </c>
      <c r="B11" s="230">
        <v>2000</v>
      </c>
      <c r="C11" s="294" t="s">
        <v>1225</v>
      </c>
      <c r="D11" s="314">
        <f>B105</f>
        <v>6.7230345068288404</v>
      </c>
      <c r="E11" s="315"/>
      <c r="F11" s="295" t="str">
        <f>IF(D11&gt;$B$22,"OK","FAILURE")</f>
        <v>OK</v>
      </c>
      <c r="G11" s="483"/>
      <c r="I11" s="483"/>
    </row>
    <row r="12" spans="1:9" ht="15" thickBot="1" x14ac:dyDescent="0.25">
      <c r="A12" s="163" t="s">
        <v>888</v>
      </c>
      <c r="B12" s="222">
        <v>9</v>
      </c>
      <c r="C12" s="294" t="s">
        <v>1155</v>
      </c>
      <c r="D12" s="303">
        <f>IF(B23="RPM",B50,B37)</f>
        <v>4328.7037037037035</v>
      </c>
      <c r="E12" s="304">
        <f>IF(B23="RPM",C50,C37)</f>
        <v>1963.4653703703702</v>
      </c>
      <c r="F12" s="293"/>
    </row>
    <row r="13" spans="1:9" ht="15" thickBot="1" x14ac:dyDescent="0.25">
      <c r="A13" s="163" t="s">
        <v>1233</v>
      </c>
      <c r="B13" s="308">
        <v>0</v>
      </c>
      <c r="C13" s="294" t="s">
        <v>1234</v>
      </c>
      <c r="D13" s="323">
        <f>IF(B23="RPM",B48,B35)</f>
        <v>20</v>
      </c>
      <c r="E13" s="324"/>
      <c r="F13" s="293"/>
    </row>
    <row r="14" spans="1:9" ht="15" thickBot="1" x14ac:dyDescent="0.25">
      <c r="A14" s="170" t="s">
        <v>1057</v>
      </c>
      <c r="B14" s="220" t="s">
        <v>1038</v>
      </c>
      <c r="C14" s="479"/>
      <c r="D14" s="479"/>
      <c r="E14" s="479"/>
      <c r="F14" s="480"/>
    </row>
    <row r="15" spans="1:9" ht="15" thickBot="1" x14ac:dyDescent="0.25">
      <c r="A15" s="218" t="s">
        <v>889</v>
      </c>
      <c r="B15" s="231" t="s">
        <v>932</v>
      </c>
      <c r="C15" s="146" t="s">
        <v>1241</v>
      </c>
      <c r="D15" s="479"/>
      <c r="E15" s="479"/>
      <c r="F15" s="480"/>
    </row>
    <row r="16" spans="1:9" ht="15" thickBot="1" x14ac:dyDescent="0.25">
      <c r="A16" s="218" t="s">
        <v>1156</v>
      </c>
      <c r="B16" s="231" t="s">
        <v>1157</v>
      </c>
      <c r="C16" s="311" t="s">
        <v>1242</v>
      </c>
      <c r="D16" s="312"/>
      <c r="E16" s="312"/>
      <c r="F16" s="313"/>
    </row>
    <row r="17" spans="1:9" ht="15" thickBot="1" x14ac:dyDescent="0.25">
      <c r="A17" s="218" t="s">
        <v>1166</v>
      </c>
      <c r="B17" s="231" t="s">
        <v>1117</v>
      </c>
      <c r="C17" s="215" t="s">
        <v>1244</v>
      </c>
      <c r="D17" s="473">
        <v>20</v>
      </c>
      <c r="E17" s="474"/>
      <c r="F17" s="300"/>
    </row>
    <row r="18" spans="1:9" ht="15" thickBot="1" x14ac:dyDescent="0.25">
      <c r="A18" s="218" t="s">
        <v>1160</v>
      </c>
      <c r="B18" s="230">
        <v>60</v>
      </c>
      <c r="C18" s="165" t="s">
        <v>1245</v>
      </c>
      <c r="D18" s="473">
        <v>30</v>
      </c>
      <c r="E18" s="474">
        <v>1.4914000000000001</v>
      </c>
      <c r="F18" s="301"/>
    </row>
    <row r="19" spans="1:9" ht="15" thickBot="1" x14ac:dyDescent="0.25">
      <c r="A19" s="218" t="s">
        <v>1161</v>
      </c>
      <c r="B19" s="235">
        <v>2</v>
      </c>
      <c r="C19" s="471" t="s">
        <v>1247</v>
      </c>
      <c r="D19" s="486">
        <f>D18/D17</f>
        <v>1.5</v>
      </c>
      <c r="E19" s="487">
        <v>1.4914000000000001</v>
      </c>
      <c r="F19" s="301"/>
      <c r="I19" s="472"/>
    </row>
    <row r="20" spans="1:9" ht="15.75" customHeight="1" thickBot="1" x14ac:dyDescent="0.25">
      <c r="A20" s="218" t="s">
        <v>1162</v>
      </c>
      <c r="B20" s="227" t="s">
        <v>1189</v>
      </c>
      <c r="C20" s="165" t="s">
        <v>1248</v>
      </c>
      <c r="D20" s="323">
        <f>D13</f>
        <v>20</v>
      </c>
      <c r="E20" s="324"/>
      <c r="F20" s="301"/>
    </row>
    <row r="21" spans="1:9" ht="15" thickBot="1" x14ac:dyDescent="0.25">
      <c r="A21" s="218" t="s">
        <v>1206</v>
      </c>
      <c r="B21" s="227">
        <v>5</v>
      </c>
      <c r="C21" s="471" t="s">
        <v>1243</v>
      </c>
      <c r="D21" s="484">
        <f>D23/D22</f>
        <v>58.333333333333336</v>
      </c>
      <c r="E21" s="485">
        <v>59</v>
      </c>
      <c r="F21" s="301"/>
    </row>
    <row r="22" spans="1:9" ht="15.75" customHeight="1" thickBot="1" x14ac:dyDescent="0.25">
      <c r="A22" s="218" t="s">
        <v>1226</v>
      </c>
      <c r="B22" s="289">
        <v>1.5</v>
      </c>
      <c r="C22" s="165" t="s">
        <v>1246</v>
      </c>
      <c r="D22" s="323">
        <f>D20*D19</f>
        <v>30</v>
      </c>
      <c r="E22" s="324"/>
      <c r="F22" s="301"/>
    </row>
    <row r="23" spans="1:9" ht="15.75" customHeight="1" thickBot="1" x14ac:dyDescent="0.25">
      <c r="A23" s="219" t="s">
        <v>1153</v>
      </c>
      <c r="B23" s="220" t="s">
        <v>1235</v>
      </c>
      <c r="C23" s="165" t="s">
        <v>1252</v>
      </c>
      <c r="D23" s="323">
        <v>1750</v>
      </c>
      <c r="E23" s="324"/>
      <c r="F23" s="301"/>
    </row>
    <row r="24" spans="1:9" ht="15" thickBot="1" x14ac:dyDescent="0.25">
      <c r="A24" s="311" t="s">
        <v>938</v>
      </c>
      <c r="B24" s="313"/>
      <c r="C24" s="165" t="s">
        <v>1251</v>
      </c>
      <c r="D24" s="323">
        <f>D23/E21</f>
        <v>29.661016949152543</v>
      </c>
      <c r="E24" s="324"/>
      <c r="F24" s="301"/>
    </row>
    <row r="25" spans="1:9" ht="15" thickBot="1" x14ac:dyDescent="0.25">
      <c r="A25" s="171" t="s">
        <v>937</v>
      </c>
      <c r="B25" s="224">
        <v>1</v>
      </c>
      <c r="C25" s="165" t="s">
        <v>1253</v>
      </c>
      <c r="D25" s="323">
        <f>D24/D19</f>
        <v>19.774011299435028</v>
      </c>
      <c r="E25" s="324"/>
      <c r="F25" s="301"/>
    </row>
    <row r="26" spans="1:9" ht="15" thickBot="1" x14ac:dyDescent="0.25">
      <c r="A26" s="163" t="s">
        <v>939</v>
      </c>
      <c r="B26" s="282">
        <v>0.375</v>
      </c>
      <c r="C26" s="471" t="s">
        <v>1249</v>
      </c>
      <c r="D26" s="475" t="s">
        <v>1250</v>
      </c>
      <c r="E26" s="476"/>
      <c r="F26" s="302"/>
    </row>
    <row r="27" spans="1:9" x14ac:dyDescent="0.2">
      <c r="A27" s="163" t="s">
        <v>940</v>
      </c>
      <c r="B27" s="225" t="s">
        <v>901</v>
      </c>
      <c r="C27" s="479"/>
      <c r="D27" s="479"/>
      <c r="E27" s="479"/>
      <c r="F27" s="480"/>
    </row>
    <row r="28" spans="1:9" ht="15" thickBot="1" x14ac:dyDescent="0.25">
      <c r="A28" s="164" t="s">
        <v>941</v>
      </c>
      <c r="B28" s="226">
        <v>1</v>
      </c>
      <c r="C28" s="481"/>
      <c r="D28" s="481"/>
      <c r="E28" s="481"/>
      <c r="F28" s="482"/>
    </row>
    <row r="29" spans="1:9" x14ac:dyDescent="0.2">
      <c r="B29" s="118"/>
    </row>
    <row r="30" spans="1:9" x14ac:dyDescent="0.2">
      <c r="B30" s="118"/>
      <c r="C30" s="118"/>
    </row>
    <row r="31" spans="1:9" x14ac:dyDescent="0.2">
      <c r="B31" s="118"/>
      <c r="C31" s="118"/>
    </row>
    <row r="32" spans="1:9" ht="15" thickBot="1" x14ac:dyDescent="0.25"/>
    <row r="33" spans="1:9" ht="15" thickBot="1" x14ac:dyDescent="0.25">
      <c r="A33" s="340" t="s">
        <v>998</v>
      </c>
      <c r="B33" s="341"/>
      <c r="C33" s="341"/>
      <c r="D33" s="317"/>
      <c r="E33" s="317"/>
      <c r="F33" s="317"/>
      <c r="G33" s="317"/>
      <c r="H33" s="317"/>
      <c r="I33" s="318"/>
    </row>
    <row r="34" spans="1:9" ht="15" thickBot="1" x14ac:dyDescent="0.25">
      <c r="A34" s="155" t="s">
        <v>942</v>
      </c>
      <c r="B34" s="156" t="s">
        <v>943</v>
      </c>
      <c r="C34" s="156" t="s">
        <v>944</v>
      </c>
      <c r="D34" s="119"/>
      <c r="E34" s="119"/>
      <c r="F34" s="119"/>
      <c r="G34" s="119"/>
      <c r="H34" s="119"/>
      <c r="I34" s="120"/>
    </row>
    <row r="35" spans="1:9" x14ac:dyDescent="0.2">
      <c r="A35" s="147" t="s">
        <v>40</v>
      </c>
      <c r="B35" s="332">
        <f>B38/(B40)</f>
        <v>81.488577498985407</v>
      </c>
      <c r="C35" s="333"/>
      <c r="D35" s="121"/>
      <c r="E35" s="121"/>
      <c r="F35" s="121"/>
      <c r="G35" s="121"/>
      <c r="H35" s="121"/>
      <c r="I35" s="122"/>
    </row>
    <row r="36" spans="1:9" ht="15" x14ac:dyDescent="0.25">
      <c r="A36" s="148" t="s">
        <v>887</v>
      </c>
      <c r="B36" s="123">
        <f>B8</f>
        <v>414.98812615224045</v>
      </c>
      <c r="C36" s="124">
        <f>B36*0.0283168</f>
        <v>11.751135770627762</v>
      </c>
      <c r="E36" s="121"/>
      <c r="F36"/>
      <c r="G36" s="121"/>
      <c r="H36" s="121"/>
      <c r="I36" s="122"/>
    </row>
    <row r="37" spans="1:9" x14ac:dyDescent="0.2">
      <c r="A37" s="148" t="s">
        <v>1059</v>
      </c>
      <c r="B37" s="125">
        <f>B36*B6</f>
        <v>17636.995361470221</v>
      </c>
      <c r="C37" s="126">
        <f>B37*0.453592</f>
        <v>8000</v>
      </c>
      <c r="E37" s="121"/>
      <c r="F37" s="121"/>
      <c r="G37" s="121"/>
      <c r="H37" s="121"/>
      <c r="I37" s="122"/>
    </row>
    <row r="38" spans="1:9" x14ac:dyDescent="0.2">
      <c r="A38" s="148" t="s">
        <v>946</v>
      </c>
      <c r="B38" s="123">
        <f>(B36*B42*B43*(B44))/B41</f>
        <v>448.18717624441973</v>
      </c>
      <c r="C38" s="124">
        <f>B38*0.0283168</f>
        <v>12.691226632277985</v>
      </c>
      <c r="D38" s="121"/>
      <c r="E38" s="121"/>
      <c r="F38" s="121"/>
      <c r="G38" s="121"/>
      <c r="H38" s="121"/>
      <c r="I38" s="122"/>
    </row>
    <row r="39" spans="1:9" x14ac:dyDescent="0.2">
      <c r="A39" s="148" t="s">
        <v>889</v>
      </c>
      <c r="B39" s="338" t="str">
        <f>B15</f>
        <v>30%A</v>
      </c>
      <c r="C39" s="339"/>
      <c r="D39" s="121"/>
      <c r="E39" s="121"/>
      <c r="F39" s="121"/>
      <c r="G39" s="121"/>
      <c r="H39" s="121"/>
      <c r="I39" s="122"/>
    </row>
    <row r="40" spans="1:9" x14ac:dyDescent="0.2">
      <c r="A40" s="149" t="s">
        <v>947</v>
      </c>
      <c r="B40" s="127">
        <f>IF(B39=15%,VLOOKUP(B12,'Table D'!B4:E13,4,FALSE),IF(B39="30%A",VLOOKUP(B12,'Table D'!B14:E23,4,FALSE),IF(B39="30%B",VLOOKUP(B12,'Table D'!B24:E33,4,FALSE),IF(B39=45%,VLOOKUP(B12,'Table D'!B34:E43,4,FALSE),IF(B39=95%,VLOOKUP(B12,'Table D'!B44:E53,4,FALSE))))))</f>
        <v>5.5</v>
      </c>
      <c r="C40" s="128">
        <f>B40*0.0283168</f>
        <v>0.1557424</v>
      </c>
      <c r="D40" s="121"/>
      <c r="E40" s="121"/>
      <c r="F40" s="121"/>
      <c r="G40" s="121"/>
      <c r="H40" s="121"/>
      <c r="I40" s="122"/>
    </row>
    <row r="41" spans="1:9" x14ac:dyDescent="0.2">
      <c r="A41" s="149" t="s">
        <v>1232</v>
      </c>
      <c r="B41" s="321">
        <f>VLOOKUP(B13,Tables!A381:B390,2,FALSE)</f>
        <v>1</v>
      </c>
      <c r="C41" s="322"/>
      <c r="D41" s="121"/>
      <c r="E41" s="121"/>
      <c r="F41" s="121"/>
      <c r="G41" s="121"/>
      <c r="H41" s="121"/>
      <c r="I41" s="122"/>
    </row>
    <row r="42" spans="1:9" x14ac:dyDescent="0.2">
      <c r="A42" s="148" t="s">
        <v>929</v>
      </c>
      <c r="B42" s="321">
        <f>VLOOKUP(B25,Tables!D46:F51,3,FALSE)</f>
        <v>1</v>
      </c>
      <c r="C42" s="322"/>
      <c r="D42" s="121"/>
      <c r="E42" s="121"/>
      <c r="F42" s="121"/>
      <c r="G42" s="121"/>
      <c r="H42" s="121"/>
      <c r="I42" s="122"/>
    </row>
    <row r="43" spans="1:9" x14ac:dyDescent="0.2">
      <c r="A43" s="148" t="s">
        <v>930</v>
      </c>
      <c r="B43" s="321">
        <f>IF(B39=15%,VLOOKUP(B27,Tables!A55:D58,4,FALSE),IF(B39="30%A",VLOOKUP(B27,Tables!A55:E58,5,FALSE),IF(B39="30%B",VLOOKUP(B27,Tables!A55:E58,5,FALSE),IF(B39=45%,VLOOKUP(B27,Tables!A55:F58,6,FALSE),IF(B39=95%,VLOOKUP(B27,Tables!A55:F58,6,FALSE))))))</f>
        <v>1</v>
      </c>
      <c r="C43" s="322"/>
      <c r="D43" s="121"/>
      <c r="E43" s="121"/>
      <c r="F43" s="121"/>
      <c r="G43" s="121"/>
      <c r="H43" s="121"/>
      <c r="I43" s="122"/>
    </row>
    <row r="44" spans="1:9" ht="15" thickBot="1" x14ac:dyDescent="0.25">
      <c r="A44" s="150" t="s">
        <v>931</v>
      </c>
      <c r="B44" s="342">
        <f>VLOOKUP(B28,Tables!A61:B65,2,FALSE)</f>
        <v>1.08</v>
      </c>
      <c r="C44" s="343"/>
      <c r="D44" s="129"/>
      <c r="E44" s="129"/>
      <c r="F44" s="129"/>
      <c r="G44" s="129"/>
      <c r="H44" s="129"/>
      <c r="I44" s="130"/>
    </row>
    <row r="45" spans="1:9" ht="15" thickBot="1" x14ac:dyDescent="0.25">
      <c r="B45" s="116">
        <f>B35*B40</f>
        <v>448.18717624441973</v>
      </c>
    </row>
    <row r="46" spans="1:9" ht="15" thickBot="1" x14ac:dyDescent="0.25">
      <c r="A46" s="316" t="s">
        <v>997</v>
      </c>
      <c r="B46" s="317"/>
      <c r="C46" s="317"/>
      <c r="D46" s="317"/>
      <c r="E46" s="317"/>
      <c r="F46" s="317"/>
      <c r="G46" s="317"/>
      <c r="H46" s="317"/>
      <c r="I46" s="318"/>
    </row>
    <row r="47" spans="1:9" ht="15" thickBot="1" x14ac:dyDescent="0.25">
      <c r="A47" s="155" t="s">
        <v>942</v>
      </c>
      <c r="B47" s="156" t="s">
        <v>943</v>
      </c>
      <c r="C47" s="156" t="s">
        <v>944</v>
      </c>
      <c r="D47" s="119"/>
      <c r="E47" s="119"/>
      <c r="F47" s="119"/>
      <c r="G47" s="119"/>
      <c r="H47" s="119"/>
      <c r="I47" s="120"/>
    </row>
    <row r="48" spans="1:9" x14ac:dyDescent="0.2">
      <c r="A48" s="151" t="s">
        <v>40</v>
      </c>
      <c r="B48" s="332">
        <f>B10</f>
        <v>20</v>
      </c>
      <c r="C48" s="333"/>
      <c r="D48" s="121"/>
      <c r="E48" s="121"/>
      <c r="F48" s="121"/>
      <c r="G48" s="121"/>
      <c r="H48" s="121"/>
      <c r="I48" s="122"/>
    </row>
    <row r="49" spans="1:9" x14ac:dyDescent="0.2">
      <c r="A49" s="152" t="s">
        <v>887</v>
      </c>
      <c r="B49" s="131">
        <f>(B51/(B55*B56*(B57)))/B54</f>
        <v>101.85185185185185</v>
      </c>
      <c r="C49" s="124">
        <f>B49*0.0283168</f>
        <v>2.8841185185185183</v>
      </c>
      <c r="D49" s="121"/>
      <c r="E49" s="121"/>
      <c r="F49" s="121"/>
      <c r="G49" s="121"/>
      <c r="H49" s="121"/>
      <c r="I49" s="122"/>
    </row>
    <row r="50" spans="1:9" x14ac:dyDescent="0.2">
      <c r="A50" s="148" t="s">
        <v>1059</v>
      </c>
      <c r="B50" s="125">
        <f>B49*B6</f>
        <v>4328.7037037037035</v>
      </c>
      <c r="C50" s="126">
        <f>B50*0.453592</f>
        <v>1963.4653703703702</v>
      </c>
      <c r="D50" s="121"/>
      <c r="E50" s="121"/>
      <c r="F50" s="121"/>
      <c r="G50" s="121"/>
      <c r="H50" s="121"/>
      <c r="I50" s="122"/>
    </row>
    <row r="51" spans="1:9" ht="15" x14ac:dyDescent="0.25">
      <c r="A51" s="152" t="s">
        <v>945</v>
      </c>
      <c r="B51" s="131">
        <f>B48*B53</f>
        <v>110</v>
      </c>
      <c r="C51" s="124">
        <f>B51*0.0283168</f>
        <v>3.1148479999999998</v>
      </c>
      <c r="D51" s="121"/>
      <c r="E51" s="121"/>
      <c r="F51"/>
      <c r="G51" s="121"/>
      <c r="H51" s="121"/>
      <c r="I51" s="122"/>
    </row>
    <row r="52" spans="1:9" x14ac:dyDescent="0.2">
      <c r="A52" s="152" t="s">
        <v>889</v>
      </c>
      <c r="B52" s="338" t="str">
        <f>B15</f>
        <v>30%A</v>
      </c>
      <c r="C52" s="339">
        <v>0.45</v>
      </c>
      <c r="D52" s="121"/>
      <c r="E52" s="121"/>
      <c r="F52" s="121"/>
      <c r="G52" s="121"/>
      <c r="H52" s="121"/>
      <c r="I52" s="122"/>
    </row>
    <row r="53" spans="1:9" x14ac:dyDescent="0.2">
      <c r="A53" s="153" t="s">
        <v>947</v>
      </c>
      <c r="B53" s="132">
        <f>IF(B52=15%,VLOOKUP(B12,'Table D'!B4:E13,4,FALSE),IF(B52="30%A",VLOOKUP(B12,'Table D'!B14:E23,4,FALSE),IF(B52="30%B",VLOOKUP(B12,'Table D'!B24:E33,4,FALSE),IF(B52=45%,VLOOKUP(B12,'Table D'!B34:E43,4,FALSE),IF(B52=95%,VLOOKUP(B12,'Table D'!B44:E53,4,FALSE))))))</f>
        <v>5.5</v>
      </c>
      <c r="C53" s="128">
        <f>B53*0.0283168</f>
        <v>0.1557424</v>
      </c>
      <c r="D53" s="121"/>
      <c r="E53" s="121"/>
      <c r="F53" s="121"/>
      <c r="G53" s="121"/>
      <c r="H53" s="121"/>
      <c r="I53" s="122"/>
    </row>
    <row r="54" spans="1:9" x14ac:dyDescent="0.2">
      <c r="A54" s="149" t="s">
        <v>1232</v>
      </c>
      <c r="B54" s="321">
        <f>VLOOKUP(B13,Tables!A381:B390,2,FALSE)</f>
        <v>1</v>
      </c>
      <c r="C54" s="322"/>
      <c r="D54" s="121"/>
      <c r="E54" s="121"/>
      <c r="F54" s="121"/>
      <c r="G54" s="121"/>
      <c r="H54" s="121"/>
      <c r="I54" s="122"/>
    </row>
    <row r="55" spans="1:9" x14ac:dyDescent="0.2">
      <c r="A55" s="152" t="s">
        <v>929</v>
      </c>
      <c r="B55" s="321">
        <f>VLOOKUP(B25,Tables!D46:F51,3,FALSE)</f>
        <v>1</v>
      </c>
      <c r="C55" s="322"/>
      <c r="D55" s="121"/>
      <c r="E55" s="121"/>
      <c r="F55" s="121"/>
      <c r="G55" s="121"/>
      <c r="H55" s="121"/>
      <c r="I55" s="122"/>
    </row>
    <row r="56" spans="1:9" x14ac:dyDescent="0.2">
      <c r="A56" s="152" t="s">
        <v>930</v>
      </c>
      <c r="B56" s="321">
        <f>IF(B52=15%,VLOOKUP(B27,Tables!A55:D58,4,FALSE),IF(B52="30%A",VLOOKUP(B27,Tables!A55:E58,5,FALSE),IF(B52="30%B",VLOOKUP(B27,Tables!A55:E58,5,FALSE),IF(B52=45%,VLOOKUP(B27,Tables!A55:F58,6,FALSE),IF(B52=95%,VLOOKUP(B27,Tables!A55:F58,6,FALSE))))))</f>
        <v>1</v>
      </c>
      <c r="C56" s="322"/>
      <c r="D56" s="121"/>
      <c r="E56" s="121"/>
      <c r="F56" s="121"/>
      <c r="G56" s="121"/>
      <c r="H56" s="121"/>
      <c r="I56" s="122"/>
    </row>
    <row r="57" spans="1:9" ht="15" thickBot="1" x14ac:dyDescent="0.25">
      <c r="A57" s="154" t="s">
        <v>931</v>
      </c>
      <c r="B57" s="342">
        <f>VLOOKUP(B28,Tables!A61:B65,2,FALSE)</f>
        <v>1.08</v>
      </c>
      <c r="C57" s="343"/>
      <c r="D57" s="129"/>
      <c r="E57" s="129"/>
      <c r="F57" s="129"/>
      <c r="G57" s="129"/>
      <c r="H57" s="129"/>
      <c r="I57" s="130"/>
    </row>
    <row r="59" spans="1:9" ht="15" thickBot="1" x14ac:dyDescent="0.25"/>
    <row r="60" spans="1:9" ht="15" thickBot="1" x14ac:dyDescent="0.25">
      <c r="A60" s="329" t="s">
        <v>999</v>
      </c>
      <c r="B60" s="330"/>
      <c r="C60" s="330"/>
      <c r="D60" s="330"/>
      <c r="E60" s="330"/>
      <c r="F60" s="330"/>
      <c r="G60" s="330"/>
      <c r="H60" s="330"/>
      <c r="I60" s="331"/>
    </row>
    <row r="61" spans="1:9" ht="15" thickBot="1" x14ac:dyDescent="0.25">
      <c r="A61" s="155" t="s">
        <v>942</v>
      </c>
      <c r="B61" s="156" t="s">
        <v>943</v>
      </c>
      <c r="C61" s="156" t="s">
        <v>944</v>
      </c>
      <c r="D61" s="133"/>
      <c r="E61" s="134"/>
      <c r="F61" s="134"/>
      <c r="G61" s="134"/>
      <c r="H61" s="134"/>
      <c r="I61" s="135"/>
    </row>
    <row r="62" spans="1:9" x14ac:dyDescent="0.2">
      <c r="A62" s="159" t="s">
        <v>996</v>
      </c>
      <c r="B62" s="332" t="str">
        <f>B23</f>
        <v>RPM</v>
      </c>
      <c r="C62" s="333"/>
      <c r="D62" s="136"/>
      <c r="E62" s="121"/>
      <c r="F62" s="121"/>
      <c r="G62" s="121"/>
      <c r="H62" s="121"/>
      <c r="I62" s="122"/>
    </row>
    <row r="63" spans="1:9" x14ac:dyDescent="0.2">
      <c r="A63" s="152" t="s">
        <v>995</v>
      </c>
      <c r="B63" s="137">
        <f>C63/(12*25.4)</f>
        <v>6.5616797900262478</v>
      </c>
      <c r="C63" s="138">
        <f>B11</f>
        <v>2000</v>
      </c>
      <c r="D63" s="136"/>
      <c r="E63" s="121"/>
      <c r="F63" s="121"/>
      <c r="G63" s="121"/>
      <c r="H63" s="121"/>
      <c r="I63" s="122"/>
    </row>
    <row r="64" spans="1:9" x14ac:dyDescent="0.2">
      <c r="A64" s="152" t="s">
        <v>1000</v>
      </c>
      <c r="B64" s="139">
        <f>B12*B25</f>
        <v>9</v>
      </c>
      <c r="C64" s="138">
        <f>B64*25.4</f>
        <v>228.6</v>
      </c>
      <c r="D64" s="136"/>
      <c r="E64" s="121"/>
      <c r="F64" s="121"/>
      <c r="G64" s="121"/>
      <c r="H64" s="121"/>
      <c r="I64" s="122"/>
    </row>
    <row r="65" spans="1:12" x14ac:dyDescent="0.2">
      <c r="A65" s="152" t="s">
        <v>40</v>
      </c>
      <c r="B65" s="334">
        <f>IF(B62="RPM",B48,B35)</f>
        <v>20</v>
      </c>
      <c r="C65" s="335"/>
      <c r="D65" s="136"/>
      <c r="E65" s="121"/>
      <c r="F65" s="121"/>
      <c r="G65" s="121"/>
      <c r="H65" s="121"/>
      <c r="I65" s="122"/>
    </row>
    <row r="66" spans="1:12" ht="15" thickBot="1" x14ac:dyDescent="0.25">
      <c r="A66" s="154" t="s">
        <v>1001</v>
      </c>
      <c r="B66" s="336">
        <f>(12*B63)/(B65*B64)</f>
        <v>0.43744531933508318</v>
      </c>
      <c r="C66" s="337"/>
      <c r="D66" s="140"/>
      <c r="E66" s="129"/>
      <c r="F66" s="129"/>
      <c r="G66" s="129"/>
      <c r="H66" s="129"/>
      <c r="I66" s="130"/>
    </row>
    <row r="68" spans="1:12" ht="15" thickBot="1" x14ac:dyDescent="0.25"/>
    <row r="69" spans="1:12" ht="15" thickBot="1" x14ac:dyDescent="0.25">
      <c r="A69" s="316" t="s">
        <v>1002</v>
      </c>
      <c r="B69" s="317"/>
      <c r="C69" s="317"/>
      <c r="D69" s="317"/>
      <c r="E69" s="317"/>
      <c r="F69" s="317"/>
      <c r="G69" s="317"/>
      <c r="H69" s="317"/>
      <c r="I69" s="317"/>
      <c r="J69" s="317"/>
      <c r="K69" s="317"/>
      <c r="L69" s="318"/>
    </row>
    <row r="70" spans="1:12" ht="15" thickBot="1" x14ac:dyDescent="0.25">
      <c r="A70" s="157" t="s">
        <v>942</v>
      </c>
      <c r="B70" s="158" t="s">
        <v>943</v>
      </c>
      <c r="C70" s="158" t="s">
        <v>944</v>
      </c>
      <c r="D70" s="141"/>
      <c r="E70" s="119"/>
      <c r="F70" s="119"/>
      <c r="G70" s="119"/>
      <c r="H70" s="119"/>
      <c r="I70" s="121"/>
      <c r="J70" s="121"/>
      <c r="K70" s="121"/>
      <c r="L70" s="122"/>
    </row>
    <row r="71" spans="1:12" x14ac:dyDescent="0.2">
      <c r="A71" s="159" t="s">
        <v>996</v>
      </c>
      <c r="B71" s="332" t="str">
        <f>B62</f>
        <v>RPM</v>
      </c>
      <c r="C71" s="333"/>
      <c r="D71" s="136"/>
      <c r="E71" s="121"/>
      <c r="F71" s="121"/>
      <c r="G71" s="121"/>
      <c r="H71" s="121"/>
      <c r="I71" s="121"/>
      <c r="J71" s="121"/>
      <c r="K71" s="121"/>
      <c r="L71" s="122"/>
    </row>
    <row r="72" spans="1:12" x14ac:dyDescent="0.2">
      <c r="A72" s="151" t="s">
        <v>1011</v>
      </c>
      <c r="B72" s="142">
        <f>(B80*B78*B82*B83)/1000000</f>
        <v>4.0682414698162738E-3</v>
      </c>
      <c r="C72" s="143">
        <f>B72*0.7457</f>
        <v>3.0336876640419956E-3</v>
      </c>
      <c r="D72" s="136"/>
      <c r="E72" s="121"/>
      <c r="F72" s="121"/>
      <c r="G72" s="121"/>
      <c r="H72" s="121"/>
      <c r="I72" s="121"/>
      <c r="J72" s="121"/>
      <c r="K72" s="121"/>
      <c r="L72" s="122"/>
    </row>
    <row r="73" spans="1:12" x14ac:dyDescent="0.2">
      <c r="A73" s="151" t="s">
        <v>1012</v>
      </c>
      <c r="B73" s="142">
        <f>(B79*B80*B81*B84*B85*B86)/1000000</f>
        <v>8.5210702828813073E-2</v>
      </c>
      <c r="C73" s="143">
        <f t="shared" ref="C73:C76" si="2">B73*0.7457</f>
        <v>6.3541621099445916E-2</v>
      </c>
      <c r="D73" s="136"/>
      <c r="E73" s="121"/>
      <c r="F73" s="121"/>
      <c r="G73" s="121"/>
      <c r="H73" s="121"/>
      <c r="I73" s="121"/>
      <c r="J73" s="121"/>
      <c r="K73" s="121"/>
      <c r="L73" s="122"/>
    </row>
    <row r="74" spans="1:12" x14ac:dyDescent="0.2">
      <c r="A74" s="151" t="s">
        <v>1013</v>
      </c>
      <c r="B74" s="142">
        <f>SUM(B72:B73)*(B87/B88)</f>
        <v>0.35522647681864788</v>
      </c>
      <c r="C74" s="143">
        <f t="shared" si="2"/>
        <v>0.26489238376366575</v>
      </c>
      <c r="D74" s="136"/>
      <c r="E74" s="121"/>
      <c r="F74" s="121"/>
      <c r="G74" s="121"/>
      <c r="H74" s="121"/>
      <c r="I74" s="121"/>
      <c r="J74" s="121"/>
      <c r="K74" s="121"/>
      <c r="L74" s="122"/>
    </row>
    <row r="75" spans="1:12" x14ac:dyDescent="0.2">
      <c r="A75" s="151" t="s">
        <v>1145</v>
      </c>
      <c r="B75" s="142">
        <f>VLOOKUP((ROUND(B74+1,0)),Tables!A169:A197,1,TRUE)</f>
        <v>1</v>
      </c>
      <c r="C75" s="143">
        <f t="shared" si="2"/>
        <v>0.74570000000000003</v>
      </c>
      <c r="D75" s="136"/>
      <c r="E75" s="121"/>
      <c r="F75" s="121"/>
      <c r="G75" s="121"/>
      <c r="H75" s="121"/>
      <c r="I75" s="121"/>
      <c r="J75" s="121"/>
      <c r="K75" s="121"/>
      <c r="L75" s="122"/>
    </row>
    <row r="76" spans="1:12" x14ac:dyDescent="0.2">
      <c r="A76" s="151" t="s">
        <v>1146</v>
      </c>
      <c r="B76" s="142">
        <f>VLOOKUP((ROUND(B74+2.75,0)),Tables!A169:A197,1,TRUE)</f>
        <v>3</v>
      </c>
      <c r="C76" s="143">
        <f t="shared" si="2"/>
        <v>2.2370999999999999</v>
      </c>
      <c r="D76" s="136"/>
      <c r="E76" s="121"/>
      <c r="F76" s="121"/>
      <c r="G76" s="121"/>
      <c r="H76" s="121"/>
      <c r="I76" s="121"/>
      <c r="J76" s="121"/>
      <c r="K76" s="121"/>
      <c r="L76" s="122"/>
    </row>
    <row r="77" spans="1:12" x14ac:dyDescent="0.2">
      <c r="A77" s="152" t="s">
        <v>889</v>
      </c>
      <c r="B77" s="338" t="str">
        <f>IF(B71="RPM",B52,B39)</f>
        <v>30%A</v>
      </c>
      <c r="C77" s="339"/>
      <c r="D77" s="136"/>
      <c r="E77" s="121"/>
      <c r="F77" s="121"/>
      <c r="G77" s="121"/>
      <c r="H77" s="121"/>
      <c r="I77" s="121"/>
      <c r="J77" s="121"/>
      <c r="K77" s="121"/>
      <c r="L77" s="122"/>
    </row>
    <row r="78" spans="1:12" x14ac:dyDescent="0.2">
      <c r="A78" s="152" t="s">
        <v>40</v>
      </c>
      <c r="B78" s="334">
        <f>IF(B71="RPM",B48,B35)</f>
        <v>20</v>
      </c>
      <c r="C78" s="335"/>
      <c r="D78" s="136"/>
      <c r="E78" s="121"/>
      <c r="F78" s="121"/>
      <c r="G78" s="121"/>
      <c r="H78" s="121"/>
      <c r="I78" s="121"/>
      <c r="J78" s="121"/>
      <c r="K78" s="121"/>
      <c r="L78" s="122"/>
    </row>
    <row r="79" spans="1:12" x14ac:dyDescent="0.2">
      <c r="A79" s="152" t="s">
        <v>887</v>
      </c>
      <c r="B79" s="131">
        <f>IF(B71="RPM",B49,B36)</f>
        <v>101.85185185185185</v>
      </c>
      <c r="C79" s="124">
        <f>B79*0.0283168</f>
        <v>2.8841185185185183</v>
      </c>
      <c r="D79" s="136"/>
      <c r="E79" s="121"/>
      <c r="F79" s="121"/>
      <c r="G79" s="121"/>
      <c r="H79" s="121"/>
      <c r="I79" s="121"/>
      <c r="J79" s="121"/>
      <c r="K79" s="121"/>
      <c r="L79" s="122"/>
    </row>
    <row r="80" spans="1:12" x14ac:dyDescent="0.2">
      <c r="A80" s="152" t="s">
        <v>995</v>
      </c>
      <c r="B80" s="137">
        <f>C63/(12*25.4)</f>
        <v>6.5616797900262478</v>
      </c>
      <c r="C80" s="138">
        <f>B11</f>
        <v>2000</v>
      </c>
      <c r="D80" s="136"/>
      <c r="E80" s="121"/>
      <c r="F80" s="121"/>
      <c r="G80" s="121"/>
      <c r="H80" s="121"/>
      <c r="I80" s="121"/>
      <c r="J80" s="121"/>
      <c r="K80" s="121"/>
      <c r="L80" s="122"/>
    </row>
    <row r="81" spans="1:12" x14ac:dyDescent="0.2">
      <c r="A81" s="152" t="s">
        <v>1003</v>
      </c>
      <c r="B81" s="117">
        <f>VLOOKUP(B4,'Table B'!A5:H436,7,FALSE)</f>
        <v>42.5</v>
      </c>
      <c r="C81" s="144">
        <f>B81*16.0185</f>
        <v>680.78625</v>
      </c>
      <c r="D81" s="136"/>
      <c r="E81" s="121"/>
      <c r="F81" s="121"/>
      <c r="G81" s="121"/>
      <c r="H81" s="121"/>
      <c r="I81" s="121"/>
      <c r="J81" s="121"/>
      <c r="K81" s="121"/>
      <c r="L81" s="122"/>
    </row>
    <row r="82" spans="1:12" x14ac:dyDescent="0.2">
      <c r="A82" s="160" t="s">
        <v>1058</v>
      </c>
      <c r="B82" s="309">
        <f>VLOOKUP(B12,Tables!A218:B232,2,FALSE)</f>
        <v>31</v>
      </c>
      <c r="C82" s="310"/>
      <c r="D82" s="136"/>
      <c r="E82" s="121"/>
      <c r="F82" s="121"/>
      <c r="G82" s="121"/>
      <c r="H82" s="121"/>
      <c r="I82" s="121"/>
      <c r="J82" s="121"/>
      <c r="K82" s="121"/>
      <c r="L82" s="122"/>
    </row>
    <row r="83" spans="1:12" x14ac:dyDescent="0.2">
      <c r="A83" s="160" t="s">
        <v>1005</v>
      </c>
      <c r="B83" s="309">
        <f>VLOOKUP(B14,Tables!B236:C253,2,FALSE)</f>
        <v>1</v>
      </c>
      <c r="C83" s="310"/>
      <c r="D83" s="136"/>
      <c r="E83" s="121"/>
      <c r="F83" s="121"/>
      <c r="G83" s="121"/>
      <c r="H83" s="121"/>
      <c r="I83" s="121"/>
      <c r="J83" s="121"/>
      <c r="K83" s="121"/>
      <c r="L83" s="122"/>
    </row>
    <row r="84" spans="1:12" x14ac:dyDescent="0.2">
      <c r="A84" s="160" t="s">
        <v>1004</v>
      </c>
      <c r="B84" s="309">
        <f>VLOOKUP(B4,'Table B'!A5:H436,8,FALSE)</f>
        <v>3</v>
      </c>
      <c r="C84" s="310"/>
      <c r="D84" s="136"/>
      <c r="E84" s="121"/>
      <c r="F84" s="121"/>
      <c r="G84" s="121"/>
      <c r="H84" s="121"/>
      <c r="I84" s="121"/>
      <c r="J84" s="121"/>
      <c r="K84" s="121"/>
      <c r="L84" s="122"/>
    </row>
    <row r="85" spans="1:12" x14ac:dyDescent="0.2">
      <c r="A85" s="160" t="s">
        <v>1006</v>
      </c>
      <c r="B85" s="309">
        <f>IF(B77=15%,VLOOKUP(Main!B27,Tables!A203:E206,2,FALSE),IF(B77="30%A",VLOOKUP(Main!B27,Tables!A203:E206,3,FALSE),IF(B77="30%B",VLOOKUP(Main!B27,Tables!A203:E206,3,FALSE),IF(B77=45%,VLOOKUP(Main!B27,Tables!A203:E206,4,FALSE),IF(B77=95%,VLOOKUP(Main!B27,Tables!A203:E206,5,FALSE))))))</f>
        <v>1</v>
      </c>
      <c r="C85" s="310"/>
      <c r="D85" s="136"/>
      <c r="E85" s="121"/>
      <c r="F85" s="121"/>
      <c r="G85" s="121"/>
      <c r="H85" s="121"/>
      <c r="I85" s="121"/>
      <c r="J85" s="121"/>
      <c r="K85" s="121"/>
      <c r="L85" s="122"/>
    </row>
    <row r="86" spans="1:12" x14ac:dyDescent="0.2">
      <c r="A86" s="160" t="s">
        <v>1007</v>
      </c>
      <c r="B86" s="309">
        <v>1</v>
      </c>
      <c r="C86" s="310"/>
      <c r="D86" s="136"/>
      <c r="E86" s="121"/>
      <c r="F86" s="121"/>
      <c r="G86" s="121"/>
      <c r="H86" s="121"/>
      <c r="I86" s="121"/>
      <c r="J86" s="121"/>
      <c r="K86" s="121"/>
      <c r="L86" s="122"/>
    </row>
    <row r="87" spans="1:12" x14ac:dyDescent="0.2">
      <c r="A87" s="161" t="s">
        <v>1008</v>
      </c>
      <c r="B87" s="309">
        <f>IF(SUM(B72:B73)&gt;=5.1,1,(LN(B72+B73)*-0.6115+2.024))</f>
        <v>3.5013776434765633</v>
      </c>
      <c r="C87" s="310"/>
      <c r="D87" s="136"/>
      <c r="E87" s="121"/>
      <c r="F87" s="121"/>
      <c r="G87" s="121"/>
      <c r="H87" s="121"/>
      <c r="I87" s="121"/>
      <c r="J87" s="121"/>
      <c r="K87" s="121"/>
      <c r="L87" s="122"/>
    </row>
    <row r="88" spans="1:12" ht="15" thickBot="1" x14ac:dyDescent="0.25">
      <c r="A88" s="162" t="s">
        <v>1009</v>
      </c>
      <c r="B88" s="327">
        <v>0.88</v>
      </c>
      <c r="C88" s="328"/>
      <c r="D88" s="140"/>
      <c r="E88" s="129"/>
      <c r="F88" s="129"/>
      <c r="G88" s="129"/>
      <c r="H88" s="129"/>
      <c r="I88" s="129"/>
      <c r="J88" s="129"/>
      <c r="K88" s="129"/>
      <c r="L88" s="130"/>
    </row>
    <row r="91" spans="1:12" ht="15" thickBot="1" x14ac:dyDescent="0.25"/>
    <row r="92" spans="1:12" ht="15.75" customHeight="1" thickBot="1" x14ac:dyDescent="0.25">
      <c r="A92" s="329" t="s">
        <v>1158</v>
      </c>
      <c r="B92" s="330"/>
      <c r="C92" s="331"/>
      <c r="D92" s="121"/>
      <c r="E92" s="121"/>
      <c r="F92" s="121"/>
      <c r="G92" s="121"/>
      <c r="H92" s="121"/>
      <c r="I92" s="121"/>
      <c r="J92" s="121"/>
    </row>
    <row r="93" spans="1:12" x14ac:dyDescent="0.2">
      <c r="A93" s="159" t="s">
        <v>1146</v>
      </c>
      <c r="B93" s="258">
        <f>B76</f>
        <v>3</v>
      </c>
      <c r="C93" s="259">
        <f t="shared" ref="C93" si="3">B93*0.7457</f>
        <v>2.2370999999999999</v>
      </c>
      <c r="D93" s="121"/>
      <c r="E93" s="121"/>
      <c r="F93" s="121"/>
      <c r="G93" s="121"/>
      <c r="H93" s="121"/>
      <c r="I93" s="121"/>
      <c r="J93" s="121"/>
    </row>
    <row r="94" spans="1:12" x14ac:dyDescent="0.2">
      <c r="A94" s="151" t="s">
        <v>1142</v>
      </c>
      <c r="B94" s="232">
        <f>(63025*B93)/(B78)</f>
        <v>9453.75</v>
      </c>
      <c r="C94" s="240">
        <f>0.11298*B94</f>
        <v>1068.0846750000001</v>
      </c>
      <c r="D94" s="121"/>
      <c r="E94" s="121"/>
      <c r="F94" s="121"/>
      <c r="G94" s="121"/>
      <c r="H94" s="121"/>
      <c r="I94" s="121"/>
      <c r="J94" s="121"/>
    </row>
    <row r="95" spans="1:12" x14ac:dyDescent="0.2">
      <c r="A95" s="151" t="s">
        <v>1166</v>
      </c>
      <c r="B95" s="309" t="str">
        <f>B17</f>
        <v>3" sch 80</v>
      </c>
      <c r="C95" s="310"/>
      <c r="D95" s="121"/>
      <c r="E95" s="121"/>
      <c r="F95" s="121"/>
      <c r="G95" s="121"/>
      <c r="H95" s="121"/>
      <c r="I95" s="121"/>
      <c r="J95" s="121"/>
    </row>
    <row r="96" spans="1:12" x14ac:dyDescent="0.2">
      <c r="A96" s="151" t="s">
        <v>1208</v>
      </c>
      <c r="B96" s="309">
        <f>IF(B16="Yes",2,1)</f>
        <v>2</v>
      </c>
      <c r="C96" s="310"/>
      <c r="D96" s="121"/>
      <c r="E96" s="121"/>
      <c r="F96" s="121"/>
      <c r="G96" s="121"/>
      <c r="H96" s="121"/>
      <c r="I96" s="121"/>
      <c r="J96" s="121"/>
    </row>
    <row r="97" spans="1:10" x14ac:dyDescent="0.2">
      <c r="A97" s="151" t="s">
        <v>1216</v>
      </c>
      <c r="B97" s="284">
        <f>C97/0.45747</f>
        <v>6.3785603427547164</v>
      </c>
      <c r="C97" s="283">
        <f>IF(B26=3/16,VLOOKUP(B12,Tables!A367:H376,2),IF(B26=1/4,VLOOKUP(B12,Tables!A367:H376,3),IF(B26=3/8,VLOOKUP(B12,Tables!A367:H376,4),IF(B26=1/2,VLOOKUP(B12,Tables!A367:H376,5),IF(B26=5/8,VLOOKUP(B12,Tables!A367:H376,6),IF(B26=3/4,VLOOKUP(B12,Tables!A367:H376,7),IF(B26=1,VLOOKUP(B12,Tables!A367:H376,8))))))))</f>
        <v>2.9180000000000001</v>
      </c>
      <c r="D97" s="121"/>
      <c r="E97" s="121"/>
      <c r="F97" s="121"/>
      <c r="G97" s="121"/>
      <c r="H97" s="121"/>
      <c r="I97" s="121"/>
      <c r="J97" s="121"/>
    </row>
    <row r="98" spans="1:10" x14ac:dyDescent="0.2">
      <c r="A98" s="151" t="s">
        <v>1214</v>
      </c>
      <c r="B98" s="298">
        <f>C98/0.45747</f>
        <v>33.175732646792667</v>
      </c>
      <c r="C98" s="299">
        <f>VLOOKUP(B17,Tables!A309:G333,7,FALSE)</f>
        <v>15.176902413928241</v>
      </c>
      <c r="D98" s="121"/>
      <c r="E98" s="121"/>
      <c r="F98" s="121"/>
      <c r="G98" s="121"/>
      <c r="H98" s="121"/>
      <c r="I98" s="121"/>
      <c r="J98" s="121"/>
    </row>
    <row r="99" spans="1:10" x14ac:dyDescent="0.2">
      <c r="A99" s="151" t="s">
        <v>1215</v>
      </c>
      <c r="B99" s="298">
        <f>C99/0.45747</f>
        <v>122.15689261427403</v>
      </c>
      <c r="C99" s="299">
        <f>C98*(B11/1000)+((B11/1000)/(B25*B12*25.4/1000))*C97</f>
        <v>55.883113664251937</v>
      </c>
      <c r="D99" s="121"/>
      <c r="E99" s="121"/>
      <c r="F99" s="121"/>
      <c r="G99" s="121"/>
      <c r="H99" s="121"/>
      <c r="I99" s="121"/>
      <c r="J99" s="121"/>
    </row>
    <row r="100" spans="1:10" x14ac:dyDescent="0.2">
      <c r="A100" s="151" t="s">
        <v>1217</v>
      </c>
      <c r="B100" s="285">
        <f>VLOOKUP(B17,Tables!A309:H333,8,FALSE)</f>
        <v>3.894318253389907</v>
      </c>
      <c r="C100" s="286">
        <f>B100*416231.4256</f>
        <v>1620937.6383485831</v>
      </c>
      <c r="D100" s="121"/>
      <c r="E100" s="121"/>
      <c r="F100" s="121"/>
      <c r="G100" s="121"/>
      <c r="H100" s="121"/>
      <c r="I100" s="121"/>
      <c r="J100" s="121"/>
    </row>
    <row r="101" spans="1:10" x14ac:dyDescent="0.2">
      <c r="A101" s="151" t="s">
        <v>1209</v>
      </c>
      <c r="B101" s="139">
        <f>IF(B96&gt;1,(B99*((B11/25.4)^3)/(76.8*29000000*B100)),((B99*((B11/25.4)^3))/(8*29000000*B100)))</f>
        <v>6.8756879102638939E-3</v>
      </c>
      <c r="C101" s="238">
        <f>B101*25.4</f>
        <v>0.1746424729207029</v>
      </c>
      <c r="D101" s="121"/>
      <c r="E101" s="121"/>
      <c r="F101" s="121"/>
      <c r="G101" s="121"/>
      <c r="H101" s="121"/>
      <c r="I101" s="121"/>
      <c r="J101" s="121"/>
    </row>
    <row r="102" spans="1:10" x14ac:dyDescent="0.2">
      <c r="A102" s="151" t="s">
        <v>1211</v>
      </c>
      <c r="B102" s="287">
        <f>(IF(B96&gt;1,((B11/25.4)*(B99/8)),(B99*(B11/25.4)/2)))*((B106/2)/(B100*1000))</f>
        <v>0.5402949113242369</v>
      </c>
      <c r="C102" s="288">
        <f>B102*6.89476</f>
        <v>3.7252037428018956</v>
      </c>
      <c r="D102" s="121"/>
      <c r="E102" s="121"/>
      <c r="F102" s="121"/>
      <c r="G102" s="121"/>
      <c r="H102" s="121"/>
      <c r="I102" s="121"/>
      <c r="J102" s="121"/>
    </row>
    <row r="103" spans="1:10" x14ac:dyDescent="0.2">
      <c r="A103" s="151" t="s">
        <v>1210</v>
      </c>
      <c r="B103" s="287">
        <f>(B94*B106/2)/(B100*2000)</f>
        <v>2.124128207241256</v>
      </c>
      <c r="C103" s="288">
        <f>B103*6.89476</f>
        <v>14.645354198158721</v>
      </c>
      <c r="D103" s="121"/>
      <c r="E103" s="121"/>
      <c r="F103" s="121"/>
      <c r="G103" s="121"/>
      <c r="H103" s="121"/>
      <c r="I103" s="121"/>
      <c r="J103" s="121"/>
    </row>
    <row r="104" spans="1:10" x14ac:dyDescent="0.2">
      <c r="A104" s="151" t="s">
        <v>1224</v>
      </c>
      <c r="B104" s="287">
        <f>SQRT((B102^2)+3*(B103^2))</f>
        <v>3.7185589296926196</v>
      </c>
      <c r="C104" s="288">
        <f>B104*6.89476</f>
        <v>25.638571366087486</v>
      </c>
      <c r="D104" s="121"/>
      <c r="E104" s="121"/>
      <c r="F104" s="121"/>
      <c r="G104" s="121"/>
      <c r="H104" s="121"/>
      <c r="I104" s="121"/>
      <c r="J104" s="121"/>
    </row>
    <row r="105" spans="1:10" x14ac:dyDescent="0.2">
      <c r="A105" s="151" t="s">
        <v>1225</v>
      </c>
      <c r="B105" s="309">
        <f>25/B104</f>
        <v>6.7230345068288404</v>
      </c>
      <c r="C105" s="310"/>
      <c r="D105" s="121"/>
      <c r="E105" s="121"/>
      <c r="F105" s="121"/>
      <c r="G105" s="121"/>
      <c r="H105" s="121"/>
      <c r="I105" s="121"/>
      <c r="J105" s="121"/>
    </row>
    <row r="106" spans="1:10" x14ac:dyDescent="0.2">
      <c r="A106" s="151" t="s">
        <v>1167</v>
      </c>
      <c r="B106" s="239">
        <f>C106/25.4</f>
        <v>3.5000000000000004</v>
      </c>
      <c r="C106" s="237">
        <f>VLOOKUP(B95,Tables!A309:E333,3,FALSE)</f>
        <v>88.9</v>
      </c>
      <c r="D106" s="121"/>
      <c r="E106" s="121"/>
      <c r="F106" s="121"/>
      <c r="G106" s="121"/>
      <c r="H106" s="121"/>
      <c r="I106" s="121"/>
      <c r="J106" s="121"/>
    </row>
    <row r="107" spans="1:10" ht="28.5" x14ac:dyDescent="0.2">
      <c r="A107" s="236" t="s">
        <v>1165</v>
      </c>
      <c r="B107" s="242">
        <f>C107*224.80894</f>
        <v>2700.9559461979134</v>
      </c>
      <c r="C107" s="241">
        <f>(C94/(C106/1000))/1000</f>
        <v>12.014450787401575</v>
      </c>
      <c r="D107" s="121"/>
      <c r="E107" s="121"/>
      <c r="F107" s="121"/>
      <c r="G107" s="121"/>
      <c r="H107" s="121"/>
      <c r="I107" s="121"/>
      <c r="J107" s="121"/>
    </row>
    <row r="108" spans="1:10" x14ac:dyDescent="0.2">
      <c r="A108" s="151" t="s">
        <v>1161</v>
      </c>
      <c r="B108" s="309">
        <f>B19</f>
        <v>2</v>
      </c>
      <c r="C108" s="310"/>
      <c r="D108" s="121"/>
      <c r="E108" s="121"/>
      <c r="F108" s="121"/>
      <c r="G108" s="121"/>
      <c r="H108" s="121"/>
      <c r="I108" s="121"/>
      <c r="J108" s="121"/>
    </row>
    <row r="109" spans="1:10" x14ac:dyDescent="0.2">
      <c r="A109" s="151" t="s">
        <v>1163</v>
      </c>
      <c r="B109" s="239">
        <f>VLOOKUP(B20,'Thread table'!A3:F16,3,FALSE)</f>
        <v>0.625</v>
      </c>
      <c r="C109" s="237">
        <f>B109*25.4</f>
        <v>15.875</v>
      </c>
      <c r="D109" s="121"/>
      <c r="E109" s="121"/>
      <c r="F109" s="121"/>
      <c r="G109" s="121"/>
      <c r="H109" s="121"/>
      <c r="I109" s="121"/>
      <c r="J109" s="121"/>
    </row>
    <row r="110" spans="1:10" x14ac:dyDescent="0.2">
      <c r="A110" s="151" t="s">
        <v>1164</v>
      </c>
      <c r="B110" s="239">
        <f>C110/25.4</f>
        <v>9.0905511811023632E-2</v>
      </c>
      <c r="C110" s="237">
        <f>VLOOKUP(B20,'Thread table'!A3:F16,6,FALSE)</f>
        <v>2.3090000000000002</v>
      </c>
      <c r="D110" s="121"/>
      <c r="E110" s="121"/>
      <c r="F110" s="121"/>
      <c r="G110" s="121"/>
      <c r="H110" s="121"/>
      <c r="I110" s="121"/>
      <c r="J110" s="121"/>
    </row>
    <row r="111" spans="1:10" x14ac:dyDescent="0.2">
      <c r="A111" s="151" t="s">
        <v>1206</v>
      </c>
      <c r="B111" s="309">
        <f>B21</f>
        <v>5</v>
      </c>
      <c r="C111" s="310"/>
      <c r="D111" s="121"/>
      <c r="E111" s="121"/>
      <c r="F111" s="121"/>
      <c r="G111" s="121"/>
      <c r="H111" s="121"/>
      <c r="I111" s="121"/>
      <c r="J111" s="121"/>
    </row>
    <row r="112" spans="1:10" x14ac:dyDescent="0.2">
      <c r="A112" s="236" t="s">
        <v>1205</v>
      </c>
      <c r="B112" s="242">
        <f>IF(B111=2,VLOOKUP(B20,'Thread table'!A3:J16,7,FALSE),IF(B111=5,VLOOKUP(B20,'Thread table'!A3:J16,8,FALSE),IF(B111=8,VLOOKUP(B20,'Thread table'!A3:J16,9,FALSE),IF(B111="Lamalloy",VLOOKUP(B20,'Thread table'!A3:J16,10,FALSE)))))</f>
        <v>19200</v>
      </c>
      <c r="C112" s="241">
        <f>B112*0.004448</f>
        <v>85.401599999999988</v>
      </c>
      <c r="D112" s="121"/>
      <c r="E112" s="121"/>
      <c r="F112" s="121"/>
      <c r="G112" s="121"/>
      <c r="H112" s="121"/>
      <c r="I112" s="121"/>
      <c r="J112" s="121"/>
    </row>
    <row r="113" spans="1:10" ht="15" thickBot="1" x14ac:dyDescent="0.25">
      <c r="A113" s="260" t="s">
        <v>1207</v>
      </c>
      <c r="B113" s="325">
        <f>B112/B94</f>
        <v>2.0309401031336769</v>
      </c>
      <c r="C113" s="326"/>
      <c r="D113" s="121"/>
      <c r="E113" s="121"/>
      <c r="F113" s="121"/>
      <c r="G113" s="121"/>
      <c r="H113" s="121"/>
      <c r="I113" s="121"/>
      <c r="J113" s="121"/>
    </row>
    <row r="114" spans="1:10" x14ac:dyDescent="0.2">
      <c r="D114" s="121"/>
      <c r="E114" s="121"/>
      <c r="F114" s="121"/>
      <c r="G114" s="121"/>
      <c r="H114" s="121"/>
      <c r="I114" s="121"/>
      <c r="J114" s="121"/>
    </row>
  </sheetData>
  <mergeCells count="54">
    <mergeCell ref="D22:E22"/>
    <mergeCell ref="D20:E20"/>
    <mergeCell ref="D26:E26"/>
    <mergeCell ref="D23:E23"/>
    <mergeCell ref="D24:E24"/>
    <mergeCell ref="D25:E25"/>
    <mergeCell ref="C16:F16"/>
    <mergeCell ref="D17:E17"/>
    <mergeCell ref="D18:E18"/>
    <mergeCell ref="D19:E19"/>
    <mergeCell ref="B62:C62"/>
    <mergeCell ref="B77:C77"/>
    <mergeCell ref="A33:I33"/>
    <mergeCell ref="A46:I46"/>
    <mergeCell ref="A60:I60"/>
    <mergeCell ref="B55:C55"/>
    <mergeCell ref="B56:C56"/>
    <mergeCell ref="B57:C57"/>
    <mergeCell ref="B48:C48"/>
    <mergeCell ref="B35:C35"/>
    <mergeCell ref="B39:C39"/>
    <mergeCell ref="B52:C52"/>
    <mergeCell ref="B42:C42"/>
    <mergeCell ref="B43:C43"/>
    <mergeCell ref="B44:C44"/>
    <mergeCell ref="B83:C83"/>
    <mergeCell ref="B84:C84"/>
    <mergeCell ref="B85:C85"/>
    <mergeCell ref="B86:C86"/>
    <mergeCell ref="B87:C87"/>
    <mergeCell ref="B111:C111"/>
    <mergeCell ref="B113:C113"/>
    <mergeCell ref="B95:C95"/>
    <mergeCell ref="B108:C108"/>
    <mergeCell ref="B88:C88"/>
    <mergeCell ref="B96:C96"/>
    <mergeCell ref="A92:C92"/>
    <mergeCell ref="B105:C105"/>
    <mergeCell ref="B82:C82"/>
    <mergeCell ref="C3:F3"/>
    <mergeCell ref="C7:F7"/>
    <mergeCell ref="D8:E8"/>
    <mergeCell ref="D11:E11"/>
    <mergeCell ref="A69:L69"/>
    <mergeCell ref="A7:B7"/>
    <mergeCell ref="A3:B3"/>
    <mergeCell ref="A24:B24"/>
    <mergeCell ref="B41:C41"/>
    <mergeCell ref="B54:C54"/>
    <mergeCell ref="D13:E13"/>
    <mergeCell ref="B71:C71"/>
    <mergeCell ref="B65:C65"/>
    <mergeCell ref="B78:C78"/>
    <mergeCell ref="B66:C66"/>
  </mergeCells>
  <conditionalFormatting sqref="F8">
    <cfRule type="containsText" dxfId="6" priority="6" operator="containsText" text="FAILURE">
      <formula>NOT(ISERROR(SEARCH("FAILURE",F8)))</formula>
    </cfRule>
    <cfRule type="containsText" dxfId="5" priority="8" operator="containsText" text="OK">
      <formula>NOT(ISERROR(SEARCH("OK",F8)))</formula>
    </cfRule>
  </conditionalFormatting>
  <conditionalFormatting sqref="F9">
    <cfRule type="containsText" dxfId="4" priority="4" operator="containsText" text="FAILURE">
      <formula>NOT(ISERROR(SEARCH("FAILURE",F9)))</formula>
    </cfRule>
    <cfRule type="containsText" dxfId="3" priority="5" operator="containsText" text="OK">
      <formula>NOT(ISERROR(SEARCH("OK",F9)))</formula>
    </cfRule>
  </conditionalFormatting>
  <conditionalFormatting sqref="F10">
    <cfRule type="containsText" dxfId="2" priority="3" operator="containsText" text="OK">
      <formula>NOT(ISERROR(SEARCH("OK",F10)))</formula>
    </cfRule>
  </conditionalFormatting>
  <conditionalFormatting sqref="F11">
    <cfRule type="containsText" dxfId="1" priority="1" operator="containsText" text="FAILURE">
      <formula>NOT(ISERROR(SEARCH("FAILURE",F11)))</formula>
    </cfRule>
    <cfRule type="containsText" dxfId="0" priority="2" operator="containsText" text="OK">
      <formula>NOT(ISERROR(SEARCH("OK",F11)))</formula>
    </cfRule>
  </conditionalFormatting>
  <dataValidations count="14">
    <dataValidation type="list" allowBlank="1" showInputMessage="1" showErrorMessage="1" sqref="B4" xr:uid="{61A8622B-1D7A-456A-BF5A-619A88542CE6}">
      <formula1>MatType</formula1>
    </dataValidation>
    <dataValidation type="list" allowBlank="1" showInputMessage="1" showErrorMessage="1" sqref="B52:C52 B39 B15" xr:uid="{E8E2C4BB-255E-4EEA-A532-04983C463BF6}">
      <formula1>"15%,30%A,30%B,45%,95%"</formula1>
    </dataValidation>
    <dataValidation type="list" allowBlank="1" showInputMessage="1" showErrorMessage="1" sqref="B25" xr:uid="{60F8C0C1-DC60-4033-86BF-67B2BD88654A}">
      <formula1>ScrwPitch</formula1>
    </dataValidation>
    <dataValidation type="list" allowBlank="1" showInputMessage="1" showErrorMessage="1" sqref="B27" xr:uid="{00F17E1D-2DCF-4379-969A-984683ECAE56}">
      <formula1>FlightType</formula1>
    </dataValidation>
    <dataValidation type="list" allowBlank="1" showInputMessage="1" showErrorMessage="1" sqref="B28 C30:C31" xr:uid="{D80C0735-5B2E-451D-B48A-F72ADF6421D0}">
      <formula1>QtyPaddles</formula1>
    </dataValidation>
    <dataValidation type="list" allowBlank="1" showInputMessage="1" showErrorMessage="1" sqref="B24 B12" xr:uid="{DFAF1CDF-B32A-41C0-A3D9-558B06CB6A27}">
      <formula1>ScrwDiam</formula1>
    </dataValidation>
    <dataValidation type="list" allowBlank="1" showInputMessage="1" showErrorMessage="1" sqref="B62 B71 B23" xr:uid="{43A4F2FD-F919-4614-8ADC-B38DE9E65EE7}">
      <formula1>"RPM,FLOW"</formula1>
    </dataValidation>
    <dataValidation type="list" allowBlank="1" showInputMessage="1" showErrorMessage="1" sqref="B14" xr:uid="{F16014C4-A8BD-428C-BFB1-DA7403B68A15}">
      <formula1>BearingType</formula1>
    </dataValidation>
    <dataValidation type="list" allowBlank="1" showInputMessage="1" showErrorMessage="1" sqref="B16" xr:uid="{0A4A3AFB-713A-44A6-B2ED-26A8A67666F1}">
      <formula1>"Yes,No"</formula1>
    </dataValidation>
    <dataValidation type="list" allowBlank="1" showInputMessage="1" showErrorMessage="1" sqref="B17" xr:uid="{30EA88AC-048D-4301-8D1F-D0DDE3A8C551}">
      <formula1>PipeSize</formula1>
    </dataValidation>
    <dataValidation type="list" allowBlank="1" showInputMessage="1" showErrorMessage="1" sqref="B20" xr:uid="{B8937E1C-226C-42BF-BA81-212CC5556129}">
      <formula1>ScrewSize</formula1>
    </dataValidation>
    <dataValidation type="list" allowBlank="1" showInputMessage="1" showErrorMessage="1" sqref="B21" xr:uid="{AF569495-0101-426A-A7E9-F29C24B3A892}">
      <formula1>ScrewGrade</formula1>
    </dataValidation>
    <dataValidation type="list" allowBlank="1" showInputMessage="1" showErrorMessage="1" sqref="B26" xr:uid="{9FF1B345-ED3A-40B0-932E-E7F5478E75B9}">
      <formula1>FlightThick</formula1>
    </dataValidation>
    <dataValidation type="list" allowBlank="1" showInputMessage="1" showErrorMessage="1" sqref="B13" xr:uid="{449F31B9-4D0C-441C-948F-6E5210AF4481}">
      <formula1>ScrewInc</formula1>
    </dataValidation>
  </dataValidations>
  <pageMargins left="0.7" right="0.7" top="0.75" bottom="0.75" header="0.3" footer="0.3"/>
  <pageSetup scale="30" orientation="landscape" r:id="rId1"/>
  <ignoredErrors>
    <ignoredError sqref="C37 C5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A09CB-47C9-46C1-8599-E06D167C754B}">
  <dimension ref="A1:J390"/>
  <sheetViews>
    <sheetView topLeftCell="A374" zoomScale="115" zoomScaleNormal="115" workbookViewId="0">
      <selection activeCell="D236" sqref="D236:D253"/>
    </sheetView>
  </sheetViews>
  <sheetFormatPr baseColWidth="10" defaultRowHeight="15" x14ac:dyDescent="0.25"/>
  <cols>
    <col min="1" max="1" width="33.5703125" bestFit="1" customWidth="1"/>
    <col min="2" max="2" width="13.85546875" bestFit="1" customWidth="1"/>
    <col min="8" max="8" width="13.85546875" bestFit="1" customWidth="1"/>
  </cols>
  <sheetData>
    <row r="1" spans="1:6" ht="15.75" thickBot="1" x14ac:dyDescent="0.3">
      <c r="A1" s="346" t="s">
        <v>66</v>
      </c>
      <c r="B1" s="348"/>
    </row>
    <row r="2" spans="1:6" x14ac:dyDescent="0.25">
      <c r="A2" s="46" t="s">
        <v>884</v>
      </c>
      <c r="B2" s="362" t="s">
        <v>886</v>
      </c>
    </row>
    <row r="3" spans="1:6" ht="15.75" thickBot="1" x14ac:dyDescent="0.3">
      <c r="A3" s="1" t="s">
        <v>885</v>
      </c>
      <c r="B3" s="363"/>
    </row>
    <row r="4" spans="1:6" x14ac:dyDescent="0.25">
      <c r="A4" s="3" t="s">
        <v>1</v>
      </c>
      <c r="B4" s="4"/>
    </row>
    <row r="5" spans="1:6" x14ac:dyDescent="0.25">
      <c r="A5" s="5" t="s">
        <v>6</v>
      </c>
      <c r="B5" s="6" t="s">
        <v>7</v>
      </c>
    </row>
    <row r="6" spans="1:6" x14ac:dyDescent="0.25">
      <c r="A6" s="3" t="s">
        <v>2</v>
      </c>
      <c r="B6" s="4"/>
    </row>
    <row r="7" spans="1:6" x14ac:dyDescent="0.25">
      <c r="A7" s="5" t="s">
        <v>8</v>
      </c>
      <c r="B7" s="6" t="s">
        <v>9</v>
      </c>
    </row>
    <row r="8" spans="1:6" x14ac:dyDescent="0.25">
      <c r="A8" s="7" t="s">
        <v>10</v>
      </c>
      <c r="B8" s="8" t="s">
        <v>11</v>
      </c>
    </row>
    <row r="9" spans="1:6" x14ac:dyDescent="0.25">
      <c r="A9" s="5" t="s">
        <v>12</v>
      </c>
      <c r="B9" s="6" t="s">
        <v>13</v>
      </c>
    </row>
    <row r="10" spans="1:6" ht="15.75" thickBot="1" x14ac:dyDescent="0.3">
      <c r="A10" s="7" t="s">
        <v>14</v>
      </c>
      <c r="B10" s="8" t="s">
        <v>15</v>
      </c>
    </row>
    <row r="11" spans="1:6" x14ac:dyDescent="0.25">
      <c r="A11" s="5" t="s">
        <v>16</v>
      </c>
      <c r="B11" s="6" t="s">
        <v>17</v>
      </c>
      <c r="D11" s="419" t="s">
        <v>65</v>
      </c>
      <c r="E11" s="420"/>
      <c r="F11" s="421"/>
    </row>
    <row r="12" spans="1:6" x14ac:dyDescent="0.25">
      <c r="A12" s="3" t="s">
        <v>3</v>
      </c>
      <c r="B12" s="4"/>
      <c r="D12" s="422"/>
      <c r="E12" s="423"/>
      <c r="F12" s="424"/>
    </row>
    <row r="13" spans="1:6" x14ac:dyDescent="0.25">
      <c r="A13" s="5" t="s">
        <v>18</v>
      </c>
      <c r="B13" s="6">
        <v>1</v>
      </c>
      <c r="D13" s="422"/>
      <c r="E13" s="423"/>
      <c r="F13" s="424"/>
    </row>
    <row r="14" spans="1:6" x14ac:dyDescent="0.25">
      <c r="A14" s="7" t="s">
        <v>19</v>
      </c>
      <c r="B14" s="8">
        <v>2</v>
      </c>
      <c r="D14" s="422"/>
      <c r="E14" s="423"/>
      <c r="F14" s="424"/>
    </row>
    <row r="15" spans="1:6" x14ac:dyDescent="0.25">
      <c r="A15" s="5" t="s">
        <v>20</v>
      </c>
      <c r="B15" s="6">
        <v>3</v>
      </c>
      <c r="D15" s="422"/>
      <c r="E15" s="423"/>
      <c r="F15" s="424"/>
    </row>
    <row r="16" spans="1:6" x14ac:dyDescent="0.25">
      <c r="A16" s="7" t="s">
        <v>21</v>
      </c>
      <c r="B16" s="8">
        <v>4</v>
      </c>
      <c r="D16" s="422"/>
      <c r="E16" s="423"/>
      <c r="F16" s="424"/>
    </row>
    <row r="17" spans="1:6" ht="15.75" thickBot="1" x14ac:dyDescent="0.3">
      <c r="A17" s="3" t="s">
        <v>4</v>
      </c>
      <c r="B17" s="4"/>
      <c r="D17" s="425"/>
      <c r="E17" s="426"/>
      <c r="F17" s="427"/>
    </row>
    <row r="18" spans="1:6" x14ac:dyDescent="0.25">
      <c r="A18" s="7" t="s">
        <v>22</v>
      </c>
      <c r="B18" s="8">
        <v>5</v>
      </c>
    </row>
    <row r="19" spans="1:6" x14ac:dyDescent="0.25">
      <c r="A19" s="5" t="s">
        <v>23</v>
      </c>
      <c r="B19" s="6">
        <v>6</v>
      </c>
    </row>
    <row r="20" spans="1:6" x14ac:dyDescent="0.25">
      <c r="A20" s="7" t="s">
        <v>24</v>
      </c>
      <c r="B20" s="8">
        <v>7</v>
      </c>
    </row>
    <row r="21" spans="1:6" x14ac:dyDescent="0.25">
      <c r="A21" s="3" t="s">
        <v>5</v>
      </c>
      <c r="B21" s="4"/>
    </row>
    <row r="22" spans="1:6" x14ac:dyDescent="0.25">
      <c r="A22" s="7" t="s">
        <v>25</v>
      </c>
      <c r="B22" s="8" t="s">
        <v>26</v>
      </c>
    </row>
    <row r="23" spans="1:6" x14ac:dyDescent="0.25">
      <c r="A23" s="5" t="s">
        <v>27</v>
      </c>
      <c r="B23" s="6" t="s">
        <v>28</v>
      </c>
    </row>
    <row r="24" spans="1:6" x14ac:dyDescent="0.25">
      <c r="A24" s="7" t="s">
        <v>29</v>
      </c>
      <c r="B24" s="8" t="s">
        <v>30</v>
      </c>
    </row>
    <row r="25" spans="1:6" x14ac:dyDescent="0.25">
      <c r="A25" s="5" t="s">
        <v>31</v>
      </c>
      <c r="B25" s="6" t="s">
        <v>32</v>
      </c>
    </row>
    <row r="26" spans="1:6" x14ac:dyDescent="0.25">
      <c r="A26" s="7" t="s">
        <v>33</v>
      </c>
      <c r="B26" s="8" t="s">
        <v>34</v>
      </c>
    </row>
    <row r="27" spans="1:6" x14ac:dyDescent="0.25">
      <c r="A27" s="5" t="s">
        <v>35</v>
      </c>
      <c r="B27" s="6" t="s">
        <v>36</v>
      </c>
    </row>
    <row r="28" spans="1:6" x14ac:dyDescent="0.25">
      <c r="A28" s="7" t="s">
        <v>37</v>
      </c>
      <c r="B28" s="8" t="s">
        <v>38</v>
      </c>
    </row>
    <row r="29" spans="1:6" x14ac:dyDescent="0.25">
      <c r="A29" s="5" t="s">
        <v>39</v>
      </c>
      <c r="B29" s="6" t="s">
        <v>40</v>
      </c>
    </row>
    <row r="30" spans="1:6" x14ac:dyDescent="0.25">
      <c r="A30" s="7" t="s">
        <v>41</v>
      </c>
      <c r="B30" s="8" t="s">
        <v>42</v>
      </c>
    </row>
    <row r="31" spans="1:6" x14ac:dyDescent="0.25">
      <c r="A31" s="5" t="s">
        <v>43</v>
      </c>
      <c r="B31" s="6" t="s">
        <v>44</v>
      </c>
    </row>
    <row r="32" spans="1:6" x14ac:dyDescent="0.25">
      <c r="A32" s="7" t="s">
        <v>45</v>
      </c>
      <c r="B32" s="8" t="s">
        <v>46</v>
      </c>
    </row>
    <row r="33" spans="1:9" x14ac:dyDescent="0.25">
      <c r="A33" s="5" t="s">
        <v>47</v>
      </c>
      <c r="B33" s="6" t="s">
        <v>48</v>
      </c>
    </row>
    <row r="34" spans="1:9" x14ac:dyDescent="0.25">
      <c r="A34" s="7" t="s">
        <v>49</v>
      </c>
      <c r="B34" s="8" t="s">
        <v>50</v>
      </c>
    </row>
    <row r="35" spans="1:9" x14ac:dyDescent="0.25">
      <c r="A35" s="5" t="s">
        <v>51</v>
      </c>
      <c r="B35" s="6" t="s">
        <v>52</v>
      </c>
    </row>
    <row r="36" spans="1:9" x14ac:dyDescent="0.25">
      <c r="A36" s="7" t="s">
        <v>53</v>
      </c>
      <c r="B36" s="8" t="s">
        <v>54</v>
      </c>
    </row>
    <row r="37" spans="1:9" x14ac:dyDescent="0.25">
      <c r="A37" s="5" t="s">
        <v>55</v>
      </c>
      <c r="B37" s="6" t="s">
        <v>56</v>
      </c>
    </row>
    <row r="38" spans="1:9" x14ac:dyDescent="0.25">
      <c r="A38" s="7" t="s">
        <v>57</v>
      </c>
      <c r="B38" s="8" t="s">
        <v>58</v>
      </c>
    </row>
    <row r="39" spans="1:9" x14ac:dyDescent="0.25">
      <c r="A39" s="5" t="s">
        <v>59</v>
      </c>
      <c r="B39" s="6" t="s">
        <v>60</v>
      </c>
    </row>
    <row r="40" spans="1:9" x14ac:dyDescent="0.25">
      <c r="A40" s="7" t="s">
        <v>61</v>
      </c>
      <c r="B40" s="8" t="s">
        <v>62</v>
      </c>
    </row>
    <row r="41" spans="1:9" ht="15.75" thickBot="1" x14ac:dyDescent="0.3">
      <c r="A41" s="9" t="s">
        <v>63</v>
      </c>
      <c r="B41" s="10" t="s">
        <v>64</v>
      </c>
    </row>
    <row r="42" spans="1:9" ht="15.75" thickBot="1" x14ac:dyDescent="0.3"/>
    <row r="43" spans="1:9" ht="15.75" thickBot="1" x14ac:dyDescent="0.3">
      <c r="A43" s="346" t="s">
        <v>907</v>
      </c>
      <c r="B43" s="347"/>
      <c r="C43" s="347"/>
      <c r="D43" s="347"/>
      <c r="E43" s="347"/>
      <c r="F43" s="348"/>
    </row>
    <row r="44" spans="1:9" ht="15.75" thickBot="1" x14ac:dyDescent="0.3">
      <c r="A44" s="428" t="s">
        <v>890</v>
      </c>
      <c r="B44" s="429"/>
      <c r="C44" s="429"/>
      <c r="D44" s="429"/>
      <c r="E44" s="429"/>
      <c r="F44" s="36"/>
    </row>
    <row r="45" spans="1:9" ht="15.75" thickBot="1" x14ac:dyDescent="0.3">
      <c r="A45" s="430" t="s">
        <v>891</v>
      </c>
      <c r="B45" s="431"/>
      <c r="C45" s="405" t="s">
        <v>892</v>
      </c>
      <c r="D45" s="406"/>
      <c r="E45" s="416"/>
      <c r="F45" s="33" t="s">
        <v>893</v>
      </c>
      <c r="H45" s="54">
        <v>1</v>
      </c>
      <c r="I45">
        <v>1</v>
      </c>
    </row>
    <row r="46" spans="1:9" ht="15" customHeight="1" x14ac:dyDescent="0.25">
      <c r="A46" s="417" t="s">
        <v>894</v>
      </c>
      <c r="B46" s="418"/>
      <c r="C46" s="53" t="s">
        <v>935</v>
      </c>
      <c r="D46" s="54">
        <v>1</v>
      </c>
      <c r="E46" s="52" t="s">
        <v>936</v>
      </c>
      <c r="F46" s="34">
        <v>1</v>
      </c>
      <c r="H46" s="54">
        <f>2/3</f>
        <v>0.66666666666666663</v>
      </c>
      <c r="I46">
        <v>1.5</v>
      </c>
    </row>
    <row r="47" spans="1:9" ht="15" customHeight="1" x14ac:dyDescent="0.25">
      <c r="A47" s="386" t="s">
        <v>895</v>
      </c>
      <c r="B47" s="387"/>
      <c r="C47" s="53" t="s">
        <v>935</v>
      </c>
      <c r="D47" s="54">
        <f>2/3</f>
        <v>0.66666666666666663</v>
      </c>
      <c r="E47" s="52" t="s">
        <v>936</v>
      </c>
      <c r="F47" s="34">
        <v>1.5</v>
      </c>
      <c r="H47" s="54">
        <v>0.5</v>
      </c>
      <c r="I47">
        <v>2</v>
      </c>
    </row>
    <row r="48" spans="1:9" ht="15" customHeight="1" x14ac:dyDescent="0.25">
      <c r="A48" s="386" t="s">
        <v>896</v>
      </c>
      <c r="B48" s="387"/>
      <c r="C48" s="53" t="s">
        <v>935</v>
      </c>
      <c r="D48" s="54">
        <v>0.5</v>
      </c>
      <c r="E48" s="52" t="s">
        <v>936</v>
      </c>
      <c r="F48" s="34">
        <v>2</v>
      </c>
      <c r="H48" s="54">
        <f>3/4</f>
        <v>0.75</v>
      </c>
      <c r="I48">
        <v>1.5</v>
      </c>
    </row>
    <row r="49" spans="1:9" ht="15" customHeight="1" x14ac:dyDescent="0.25">
      <c r="A49" s="386" t="s">
        <v>933</v>
      </c>
      <c r="B49" s="387"/>
      <c r="C49" s="53" t="s">
        <v>935</v>
      </c>
      <c r="D49" s="54">
        <f>3/4</f>
        <v>0.75</v>
      </c>
      <c r="E49" s="52" t="s">
        <v>936</v>
      </c>
      <c r="F49" s="55">
        <f>F46+((F48-F46)/(D48-D46))*(D49-D46)</f>
        <v>1.5</v>
      </c>
      <c r="H49" s="54">
        <v>0.33333333333333331</v>
      </c>
      <c r="I49">
        <v>2.3333333333333335</v>
      </c>
    </row>
    <row r="50" spans="1:9" x14ac:dyDescent="0.25">
      <c r="A50" s="386" t="s">
        <v>934</v>
      </c>
      <c r="B50" s="387"/>
      <c r="C50" s="53" t="s">
        <v>935</v>
      </c>
      <c r="D50" s="54">
        <v>0.33333333333333331</v>
      </c>
      <c r="E50" s="52" t="s">
        <v>936</v>
      </c>
      <c r="F50" s="55">
        <f>F46+((F48-F46)/(D48-D46))*(D50-D46)</f>
        <v>2.3333333333333335</v>
      </c>
      <c r="H50" s="54">
        <v>1.5</v>
      </c>
      <c r="I50">
        <v>0.67</v>
      </c>
    </row>
    <row r="51" spans="1:9" ht="15.75" customHeight="1" thickBot="1" x14ac:dyDescent="0.3">
      <c r="A51" s="384" t="s">
        <v>897</v>
      </c>
      <c r="B51" s="385"/>
      <c r="C51" s="53" t="s">
        <v>935</v>
      </c>
      <c r="D51" s="54">
        <v>1.5</v>
      </c>
      <c r="E51" s="52" t="s">
        <v>936</v>
      </c>
      <c r="F51" s="35">
        <v>0.67</v>
      </c>
    </row>
    <row r="52" spans="1:9" ht="16.5" thickTop="1" thickBot="1" x14ac:dyDescent="0.3">
      <c r="A52" s="408" t="s">
        <v>898</v>
      </c>
      <c r="B52" s="409"/>
      <c r="C52" s="409"/>
      <c r="D52" s="409"/>
      <c r="E52" s="409"/>
      <c r="F52" s="36"/>
    </row>
    <row r="53" spans="1:9" ht="15.75" customHeight="1" thickBot="1" x14ac:dyDescent="0.3">
      <c r="A53" s="410" t="s">
        <v>899</v>
      </c>
      <c r="B53" s="411"/>
      <c r="C53" s="412"/>
      <c r="D53" s="405" t="s">
        <v>900</v>
      </c>
      <c r="E53" s="406"/>
      <c r="F53" s="416"/>
    </row>
    <row r="54" spans="1:9" ht="15.75" thickBot="1" x14ac:dyDescent="0.3">
      <c r="A54" s="413"/>
      <c r="B54" s="414"/>
      <c r="C54" s="415"/>
      <c r="D54" s="37">
        <v>0.15</v>
      </c>
      <c r="E54" s="37">
        <v>0.3</v>
      </c>
      <c r="F54" s="38">
        <v>0.45</v>
      </c>
    </row>
    <row r="55" spans="1:9" x14ac:dyDescent="0.25">
      <c r="A55" s="58" t="s">
        <v>901</v>
      </c>
      <c r="B55" s="388"/>
      <c r="C55" s="389"/>
      <c r="D55" s="39">
        <v>1</v>
      </c>
      <c r="E55" s="39">
        <v>1</v>
      </c>
      <c r="F55" s="39">
        <v>1</v>
      </c>
    </row>
    <row r="56" spans="1:9" x14ac:dyDescent="0.25">
      <c r="A56" s="53" t="s">
        <v>902</v>
      </c>
      <c r="B56" s="390"/>
      <c r="C56" s="391"/>
      <c r="D56" s="39">
        <v>1.95</v>
      </c>
      <c r="E56" s="39">
        <v>1.57</v>
      </c>
      <c r="F56" s="39">
        <v>1.43</v>
      </c>
    </row>
    <row r="57" spans="1:9" x14ac:dyDescent="0.25">
      <c r="A57" s="53" t="s">
        <v>903</v>
      </c>
      <c r="B57" s="390"/>
      <c r="C57" s="391"/>
      <c r="D57" s="39" t="s">
        <v>908</v>
      </c>
      <c r="E57" s="39">
        <v>3.75</v>
      </c>
      <c r="F57" s="39">
        <v>2.54</v>
      </c>
    </row>
    <row r="58" spans="1:9" ht="15.75" thickBot="1" x14ac:dyDescent="0.3">
      <c r="A58" s="59" t="s">
        <v>904</v>
      </c>
      <c r="B58" s="392"/>
      <c r="C58" s="393"/>
      <c r="D58" s="47">
        <v>1.04</v>
      </c>
      <c r="E58" s="47">
        <v>1.37</v>
      </c>
      <c r="F58" s="47">
        <v>1.62</v>
      </c>
    </row>
    <row r="59" spans="1:9" ht="15.75" customHeight="1" thickBot="1" x14ac:dyDescent="0.3">
      <c r="A59" s="403" t="s">
        <v>905</v>
      </c>
      <c r="B59" s="404"/>
      <c r="C59" s="404"/>
      <c r="D59" s="404"/>
      <c r="E59" s="404"/>
      <c r="F59" s="36"/>
    </row>
    <row r="60" spans="1:9" ht="15.75" thickBot="1" x14ac:dyDescent="0.3">
      <c r="A60" s="405" t="s">
        <v>906</v>
      </c>
      <c r="B60" s="406"/>
      <c r="C60" s="407"/>
      <c r="D60" s="407"/>
      <c r="E60" s="407"/>
      <c r="F60" s="60"/>
    </row>
    <row r="61" spans="1:9" ht="15.75" thickBot="1" x14ac:dyDescent="0.3">
      <c r="A61" s="40">
        <v>0</v>
      </c>
      <c r="B61" s="59">
        <v>1</v>
      </c>
      <c r="C61" s="394"/>
      <c r="D61" s="395"/>
      <c r="E61" s="395"/>
      <c r="F61" s="396"/>
    </row>
    <row r="62" spans="1:9" ht="15.75" thickBot="1" x14ac:dyDescent="0.3">
      <c r="A62" s="45">
        <v>1</v>
      </c>
      <c r="B62" s="44">
        <v>1.08</v>
      </c>
      <c r="C62" s="397"/>
      <c r="D62" s="398"/>
      <c r="E62" s="398"/>
      <c r="F62" s="399"/>
    </row>
    <row r="63" spans="1:9" ht="15.75" thickBot="1" x14ac:dyDescent="0.3">
      <c r="A63" s="41">
        <v>2</v>
      </c>
      <c r="B63" s="42">
        <v>1.1599999999999999</v>
      </c>
      <c r="C63" s="397"/>
      <c r="D63" s="398"/>
      <c r="E63" s="398"/>
      <c r="F63" s="399"/>
    </row>
    <row r="64" spans="1:9" ht="15.75" thickBot="1" x14ac:dyDescent="0.3">
      <c r="A64" s="41">
        <v>3</v>
      </c>
      <c r="B64" s="42">
        <v>1.24</v>
      </c>
      <c r="C64" s="397"/>
      <c r="D64" s="398"/>
      <c r="E64" s="398"/>
      <c r="F64" s="399"/>
    </row>
    <row r="65" spans="1:6" ht="15.75" thickBot="1" x14ac:dyDescent="0.3">
      <c r="A65" s="41">
        <v>4</v>
      </c>
      <c r="B65" s="42">
        <v>1.32</v>
      </c>
      <c r="C65" s="400"/>
      <c r="D65" s="401"/>
      <c r="E65" s="401"/>
      <c r="F65" s="402"/>
    </row>
    <row r="66" spans="1:6" ht="15.75" thickBot="1" x14ac:dyDescent="0.3"/>
    <row r="67" spans="1:6" ht="15.75" thickBot="1" x14ac:dyDescent="0.3">
      <c r="A67" s="346" t="s">
        <v>994</v>
      </c>
      <c r="B67" s="347"/>
      <c r="C67" s="347"/>
      <c r="D67" s="347"/>
      <c r="E67" s="347"/>
      <c r="F67" s="348"/>
    </row>
    <row r="68" spans="1:6" x14ac:dyDescent="0.25">
      <c r="A68" s="381" t="s">
        <v>948</v>
      </c>
      <c r="B68" s="381" t="s">
        <v>949</v>
      </c>
      <c r="C68" s="61" t="s">
        <v>950</v>
      </c>
      <c r="D68" s="61" t="s">
        <v>953</v>
      </c>
      <c r="E68" s="61" t="s">
        <v>955</v>
      </c>
      <c r="F68" s="61" t="s">
        <v>957</v>
      </c>
    </row>
    <row r="69" spans="1:6" ht="33.75" x14ac:dyDescent="0.25">
      <c r="A69" s="382"/>
      <c r="B69" s="382"/>
      <c r="C69" s="62" t="s">
        <v>951</v>
      </c>
      <c r="D69" s="62" t="s">
        <v>954</v>
      </c>
      <c r="E69" s="62" t="s">
        <v>956</v>
      </c>
      <c r="F69" s="62" t="s">
        <v>958</v>
      </c>
    </row>
    <row r="70" spans="1:6" ht="15.75" thickBot="1" x14ac:dyDescent="0.3">
      <c r="A70" s="383"/>
      <c r="B70" s="383"/>
      <c r="C70" s="63" t="s">
        <v>952</v>
      </c>
      <c r="D70" s="69"/>
      <c r="E70" s="69"/>
      <c r="F70" s="69"/>
    </row>
    <row r="71" spans="1:6" x14ac:dyDescent="0.25">
      <c r="A71" s="64">
        <v>6</v>
      </c>
      <c r="B71" s="8" t="s">
        <v>959</v>
      </c>
      <c r="C71" s="8" t="s">
        <v>960</v>
      </c>
      <c r="D71" s="8" t="s">
        <v>961</v>
      </c>
      <c r="E71" s="65" t="s">
        <v>962</v>
      </c>
      <c r="F71" s="65" t="s">
        <v>963</v>
      </c>
    </row>
    <row r="72" spans="1:6" x14ac:dyDescent="0.25">
      <c r="A72" s="66">
        <v>9</v>
      </c>
      <c r="B72" s="6" t="s">
        <v>959</v>
      </c>
      <c r="C72" s="6" t="s">
        <v>964</v>
      </c>
      <c r="D72" s="6" t="s">
        <v>965</v>
      </c>
      <c r="E72" s="6" t="s">
        <v>966</v>
      </c>
      <c r="F72" s="67" t="s">
        <v>962</v>
      </c>
    </row>
    <row r="73" spans="1:6" x14ac:dyDescent="0.25">
      <c r="A73" s="66">
        <v>9</v>
      </c>
      <c r="B73" s="6" t="s">
        <v>967</v>
      </c>
      <c r="C73" s="6" t="s">
        <v>968</v>
      </c>
      <c r="D73" s="6" t="s">
        <v>965</v>
      </c>
      <c r="E73" s="6" t="s">
        <v>966</v>
      </c>
      <c r="F73" s="67" t="s">
        <v>962</v>
      </c>
    </row>
    <row r="74" spans="1:6" x14ac:dyDescent="0.25">
      <c r="A74" s="64">
        <v>12</v>
      </c>
      <c r="B74" s="8" t="s">
        <v>967</v>
      </c>
      <c r="C74" s="8" t="s">
        <v>969</v>
      </c>
      <c r="D74" s="8" t="s">
        <v>970</v>
      </c>
      <c r="E74" s="8">
        <v>2</v>
      </c>
      <c r="F74" s="8">
        <v>1</v>
      </c>
    </row>
    <row r="75" spans="1:6" x14ac:dyDescent="0.25">
      <c r="A75" s="64">
        <v>12</v>
      </c>
      <c r="B75" s="8" t="s">
        <v>971</v>
      </c>
      <c r="C75" s="8" t="s">
        <v>972</v>
      </c>
      <c r="D75" s="8" t="s">
        <v>970</v>
      </c>
      <c r="E75" s="8">
        <v>2</v>
      </c>
      <c r="F75" s="8">
        <v>1</v>
      </c>
    </row>
    <row r="76" spans="1:6" x14ac:dyDescent="0.25">
      <c r="A76" s="64">
        <v>12</v>
      </c>
      <c r="B76" s="8">
        <v>4</v>
      </c>
      <c r="C76" s="8" t="s">
        <v>973</v>
      </c>
      <c r="D76" s="8" t="s">
        <v>970</v>
      </c>
      <c r="E76" s="8">
        <v>2</v>
      </c>
      <c r="F76" s="8">
        <v>1</v>
      </c>
    </row>
    <row r="77" spans="1:6" x14ac:dyDescent="0.25">
      <c r="A77" s="66">
        <v>14</v>
      </c>
      <c r="B77" s="6" t="s">
        <v>971</v>
      </c>
      <c r="C77" s="6" t="s">
        <v>974</v>
      </c>
      <c r="D77" s="6" t="s">
        <v>975</v>
      </c>
      <c r="E77" s="6" t="s">
        <v>976</v>
      </c>
      <c r="F77" s="6" t="s">
        <v>961</v>
      </c>
    </row>
    <row r="78" spans="1:6" x14ac:dyDescent="0.25">
      <c r="A78" s="66">
        <v>14</v>
      </c>
      <c r="B78" s="6">
        <v>4</v>
      </c>
      <c r="C78" s="6" t="s">
        <v>977</v>
      </c>
      <c r="D78" s="6" t="s">
        <v>975</v>
      </c>
      <c r="E78" s="6" t="s">
        <v>976</v>
      </c>
      <c r="F78" s="6" t="s">
        <v>961</v>
      </c>
    </row>
    <row r="79" spans="1:6" x14ac:dyDescent="0.25">
      <c r="A79" s="66">
        <v>14</v>
      </c>
      <c r="B79" s="6" t="s">
        <v>973</v>
      </c>
      <c r="C79" s="6" t="s">
        <v>978</v>
      </c>
      <c r="D79" s="6">
        <v>3</v>
      </c>
      <c r="E79" s="6">
        <v>2</v>
      </c>
      <c r="F79" s="6">
        <v>1</v>
      </c>
    </row>
    <row r="80" spans="1:6" x14ac:dyDescent="0.25">
      <c r="A80" s="64">
        <v>16</v>
      </c>
      <c r="B80" s="8">
        <v>4</v>
      </c>
      <c r="C80" s="8" t="s">
        <v>979</v>
      </c>
      <c r="D80" s="8" t="s">
        <v>980</v>
      </c>
      <c r="E80" s="8" t="s">
        <v>970</v>
      </c>
      <c r="F80" s="8" t="s">
        <v>966</v>
      </c>
    </row>
    <row r="81" spans="1:6" x14ac:dyDescent="0.25">
      <c r="A81" s="64">
        <v>16</v>
      </c>
      <c r="B81" s="8" t="s">
        <v>973</v>
      </c>
      <c r="C81" s="8" t="s">
        <v>981</v>
      </c>
      <c r="D81" s="8" t="s">
        <v>980</v>
      </c>
      <c r="E81" s="8" t="s">
        <v>970</v>
      </c>
      <c r="F81" s="8" t="s">
        <v>966</v>
      </c>
    </row>
    <row r="82" spans="1:6" x14ac:dyDescent="0.25">
      <c r="A82" s="64">
        <v>16</v>
      </c>
      <c r="B82" s="8" t="s">
        <v>982</v>
      </c>
      <c r="C82" s="8" t="s">
        <v>983</v>
      </c>
      <c r="D82" s="8" t="s">
        <v>975</v>
      </c>
      <c r="E82" s="8" t="s">
        <v>965</v>
      </c>
      <c r="F82" s="8" t="s">
        <v>961</v>
      </c>
    </row>
    <row r="83" spans="1:6" x14ac:dyDescent="0.25">
      <c r="A83" s="66">
        <v>18</v>
      </c>
      <c r="B83" s="6">
        <v>4</v>
      </c>
      <c r="C83" s="6" t="s">
        <v>984</v>
      </c>
      <c r="D83" s="6" t="s">
        <v>985</v>
      </c>
      <c r="E83" s="6">
        <v>3</v>
      </c>
      <c r="F83" s="6" t="s">
        <v>986</v>
      </c>
    </row>
    <row r="84" spans="1:6" x14ac:dyDescent="0.25">
      <c r="A84" s="66">
        <v>18</v>
      </c>
      <c r="B84" s="6" t="s">
        <v>973</v>
      </c>
      <c r="C84" s="6" t="s">
        <v>987</v>
      </c>
      <c r="D84" s="6" t="s">
        <v>985</v>
      </c>
      <c r="E84" s="6">
        <v>3</v>
      </c>
      <c r="F84" s="6" t="s">
        <v>986</v>
      </c>
    </row>
    <row r="85" spans="1:6" x14ac:dyDescent="0.25">
      <c r="A85" s="66">
        <v>18</v>
      </c>
      <c r="B85" s="6" t="s">
        <v>982</v>
      </c>
      <c r="C85" s="6" t="s">
        <v>988</v>
      </c>
      <c r="D85" s="6" t="s">
        <v>980</v>
      </c>
      <c r="E85" s="6" t="s">
        <v>976</v>
      </c>
      <c r="F85" s="6" t="s">
        <v>966</v>
      </c>
    </row>
    <row r="86" spans="1:6" x14ac:dyDescent="0.25">
      <c r="A86" s="64">
        <v>20</v>
      </c>
      <c r="B86" s="8">
        <v>4</v>
      </c>
      <c r="C86" s="8" t="s">
        <v>989</v>
      </c>
      <c r="D86" s="8" t="s">
        <v>972</v>
      </c>
      <c r="E86" s="8" t="s">
        <v>971</v>
      </c>
      <c r="F86" s="8">
        <v>2</v>
      </c>
    </row>
    <row r="87" spans="1:6" x14ac:dyDescent="0.25">
      <c r="A87" s="64">
        <v>20</v>
      </c>
      <c r="B87" s="8" t="s">
        <v>973</v>
      </c>
      <c r="C87" s="8" t="s">
        <v>990</v>
      </c>
      <c r="D87" s="8" t="s">
        <v>972</v>
      </c>
      <c r="E87" s="8" t="s">
        <v>971</v>
      </c>
      <c r="F87" s="8">
        <v>2</v>
      </c>
    </row>
    <row r="88" spans="1:6" x14ac:dyDescent="0.25">
      <c r="A88" s="64">
        <v>20</v>
      </c>
      <c r="B88" s="8" t="s">
        <v>982</v>
      </c>
      <c r="C88" s="8" t="s">
        <v>991</v>
      </c>
      <c r="D88" s="8" t="s">
        <v>985</v>
      </c>
      <c r="E88" s="8">
        <v>3</v>
      </c>
      <c r="F88" s="8" t="s">
        <v>966</v>
      </c>
    </row>
    <row r="89" spans="1:6" x14ac:dyDescent="0.25">
      <c r="A89" s="66">
        <v>24</v>
      </c>
      <c r="B89" s="6" t="s">
        <v>973</v>
      </c>
      <c r="C89" s="6" t="s">
        <v>992</v>
      </c>
      <c r="D89" s="6">
        <v>6</v>
      </c>
      <c r="E89" s="6" t="s">
        <v>980</v>
      </c>
      <c r="F89" s="6" t="s">
        <v>976</v>
      </c>
    </row>
    <row r="90" spans="1:6" ht="15.75" thickBot="1" x14ac:dyDescent="0.3">
      <c r="A90" s="68">
        <v>24</v>
      </c>
      <c r="B90" s="10" t="s">
        <v>982</v>
      </c>
      <c r="C90" s="10" t="s">
        <v>993</v>
      </c>
      <c r="D90" s="10" t="s">
        <v>977</v>
      </c>
      <c r="E90" s="10" t="s">
        <v>980</v>
      </c>
      <c r="F90" s="10">
        <v>2</v>
      </c>
    </row>
    <row r="92" spans="1:6" ht="15.75" thickBot="1" x14ac:dyDescent="0.3"/>
    <row r="93" spans="1:6" ht="15.75" thickBot="1" x14ac:dyDescent="0.3">
      <c r="A93" s="346" t="s">
        <v>1014</v>
      </c>
      <c r="B93" s="347"/>
      <c r="C93" s="347"/>
      <c r="D93" s="347"/>
      <c r="E93" s="347"/>
      <c r="F93" s="348"/>
    </row>
    <row r="127" spans="1:2" ht="15.75" thickBot="1" x14ac:dyDescent="0.3"/>
    <row r="128" spans="1:2" ht="15.75" thickBot="1" x14ac:dyDescent="0.3">
      <c r="A128" s="376" t="s">
        <v>1014</v>
      </c>
      <c r="B128" s="378"/>
    </row>
    <row r="129" spans="1:2" x14ac:dyDescent="0.25">
      <c r="A129" s="71" t="s">
        <v>1015</v>
      </c>
      <c r="B129" s="76">
        <v>0.94</v>
      </c>
    </row>
    <row r="130" spans="1:2" ht="22.5" x14ac:dyDescent="0.25">
      <c r="A130" s="72" t="s">
        <v>1016</v>
      </c>
      <c r="B130" s="77">
        <v>0.93</v>
      </c>
    </row>
    <row r="131" spans="1:2" ht="22.5" x14ac:dyDescent="0.25">
      <c r="A131" s="72" t="s">
        <v>1017</v>
      </c>
      <c r="B131" s="77">
        <v>0.94</v>
      </c>
    </row>
    <row r="132" spans="1:2" ht="22.5" x14ac:dyDescent="0.25">
      <c r="A132" s="73" t="s">
        <v>1018</v>
      </c>
      <c r="B132" s="78">
        <v>0.95</v>
      </c>
    </row>
    <row r="133" spans="1:2" ht="22.5" x14ac:dyDescent="0.25">
      <c r="A133" s="73" t="s">
        <v>1019</v>
      </c>
      <c r="B133" s="78">
        <v>0.94</v>
      </c>
    </row>
    <row r="134" spans="1:2" ht="22.5" x14ac:dyDescent="0.25">
      <c r="A134" s="73" t="s">
        <v>1020</v>
      </c>
      <c r="B134" s="78">
        <v>0.93</v>
      </c>
    </row>
    <row r="135" spans="1:2" ht="22.5" x14ac:dyDescent="0.25">
      <c r="A135" s="72" t="s">
        <v>1021</v>
      </c>
      <c r="B135" s="77">
        <v>0.9</v>
      </c>
    </row>
    <row r="136" spans="1:2" ht="22.5" x14ac:dyDescent="0.25">
      <c r="A136" s="72" t="s">
        <v>1022</v>
      </c>
      <c r="B136" s="77">
        <v>0.7</v>
      </c>
    </row>
    <row r="137" spans="1:2" ht="22.5" x14ac:dyDescent="0.25">
      <c r="A137" s="72" t="s">
        <v>1023</v>
      </c>
      <c r="B137" s="77">
        <v>0.5</v>
      </c>
    </row>
    <row r="138" spans="1:2" ht="22.5" x14ac:dyDescent="0.25">
      <c r="A138" s="74" t="s">
        <v>1024</v>
      </c>
      <c r="B138" s="78">
        <v>0.93</v>
      </c>
    </row>
    <row r="139" spans="1:2" ht="22.5" x14ac:dyDescent="0.25">
      <c r="A139" s="74" t="s">
        <v>1025</v>
      </c>
      <c r="B139" s="78">
        <v>0.93</v>
      </c>
    </row>
    <row r="140" spans="1:2" ht="22.5" x14ac:dyDescent="0.25">
      <c r="A140" s="74" t="s">
        <v>1026</v>
      </c>
      <c r="B140" s="78">
        <v>0.9</v>
      </c>
    </row>
    <row r="141" spans="1:2" ht="22.5" x14ac:dyDescent="0.25">
      <c r="A141" s="74" t="s">
        <v>1027</v>
      </c>
      <c r="B141" s="78">
        <v>0.9</v>
      </c>
    </row>
    <row r="142" spans="1:2" ht="23.25" thickBot="1" x14ac:dyDescent="0.3">
      <c r="A142" s="75" t="s">
        <v>1028</v>
      </c>
      <c r="B142" s="79">
        <v>0.85</v>
      </c>
    </row>
    <row r="144" spans="1:2" ht="15.75" thickBot="1" x14ac:dyDescent="0.3"/>
    <row r="145" spans="1:6" ht="15.75" thickBot="1" x14ac:dyDescent="0.3">
      <c r="A145" s="346" t="s">
        <v>1029</v>
      </c>
      <c r="B145" s="347"/>
      <c r="C145" s="347"/>
      <c r="D145" s="347"/>
      <c r="E145" s="347"/>
      <c r="F145" s="348"/>
    </row>
    <row r="146" spans="1:6" x14ac:dyDescent="0.25">
      <c r="A146" s="80"/>
      <c r="B146" s="81"/>
      <c r="C146" s="81"/>
      <c r="D146" s="81"/>
      <c r="E146" s="81"/>
      <c r="F146" s="82"/>
    </row>
    <row r="147" spans="1:6" x14ac:dyDescent="0.25">
      <c r="A147" s="83"/>
      <c r="B147" s="84"/>
      <c r="C147" s="84"/>
      <c r="D147" s="84"/>
      <c r="E147" s="84"/>
      <c r="F147" s="85"/>
    </row>
    <row r="148" spans="1:6" x14ac:dyDescent="0.25">
      <c r="A148" s="83"/>
      <c r="B148" s="84"/>
      <c r="C148" s="84"/>
      <c r="D148" s="84"/>
      <c r="E148" s="84"/>
      <c r="F148" s="85"/>
    </row>
    <row r="149" spans="1:6" x14ac:dyDescent="0.25">
      <c r="A149" s="83"/>
      <c r="B149" s="84"/>
      <c r="C149" s="84"/>
      <c r="D149" s="84"/>
      <c r="E149" s="84"/>
      <c r="F149" s="85"/>
    </row>
    <row r="150" spans="1:6" x14ac:dyDescent="0.25">
      <c r="A150" s="83"/>
      <c r="B150" s="84"/>
      <c r="C150" s="84"/>
      <c r="D150" s="84"/>
      <c r="E150" s="84"/>
      <c r="F150" s="85"/>
    </row>
    <row r="151" spans="1:6" x14ac:dyDescent="0.25">
      <c r="A151" s="83"/>
      <c r="B151" s="84"/>
      <c r="C151" s="84"/>
      <c r="D151" s="84"/>
      <c r="E151" s="84"/>
      <c r="F151" s="85"/>
    </row>
    <row r="152" spans="1:6" x14ac:dyDescent="0.25">
      <c r="A152" s="83"/>
      <c r="B152" s="84"/>
      <c r="C152" s="84"/>
      <c r="D152" s="84"/>
      <c r="E152" s="84"/>
      <c r="F152" s="85"/>
    </row>
    <row r="153" spans="1:6" x14ac:dyDescent="0.25">
      <c r="A153" s="83"/>
      <c r="B153" s="84"/>
      <c r="C153" s="84"/>
      <c r="D153" s="84"/>
      <c r="E153" s="84"/>
      <c r="F153" s="85"/>
    </row>
    <row r="154" spans="1:6" x14ac:dyDescent="0.25">
      <c r="A154" s="83"/>
      <c r="B154" s="84"/>
      <c r="C154" s="84"/>
      <c r="D154" s="84"/>
      <c r="E154" s="84"/>
      <c r="F154" s="85"/>
    </row>
    <row r="155" spans="1:6" x14ac:dyDescent="0.25">
      <c r="A155" s="83"/>
      <c r="B155" s="84"/>
      <c r="C155" s="84"/>
      <c r="D155" s="84"/>
      <c r="E155" s="84"/>
      <c r="F155" s="85"/>
    </row>
    <row r="156" spans="1:6" x14ac:dyDescent="0.25">
      <c r="A156" s="83"/>
      <c r="B156" s="84"/>
      <c r="C156" s="84"/>
      <c r="D156" s="84"/>
      <c r="E156" s="84"/>
      <c r="F156" s="85"/>
    </row>
    <row r="157" spans="1:6" x14ac:dyDescent="0.25">
      <c r="A157" s="83"/>
      <c r="B157" s="84"/>
      <c r="C157" s="84"/>
      <c r="D157" s="84"/>
      <c r="E157" s="84"/>
      <c r="F157" s="85"/>
    </row>
    <row r="158" spans="1:6" x14ac:dyDescent="0.25">
      <c r="A158" s="83"/>
      <c r="B158" s="84"/>
      <c r="C158" s="84"/>
      <c r="D158" s="84"/>
      <c r="E158" s="84"/>
      <c r="F158" s="85"/>
    </row>
    <row r="159" spans="1:6" x14ac:dyDescent="0.25">
      <c r="A159" s="83"/>
      <c r="B159" s="84"/>
      <c r="C159" s="84"/>
      <c r="D159" s="84"/>
      <c r="E159" s="84"/>
      <c r="F159" s="85"/>
    </row>
    <row r="160" spans="1:6" x14ac:dyDescent="0.25">
      <c r="A160" s="83"/>
      <c r="B160" s="84"/>
      <c r="C160" s="84"/>
      <c r="D160" s="84"/>
      <c r="E160" s="84"/>
      <c r="F160" s="85"/>
    </row>
    <row r="161" spans="1:6" x14ac:dyDescent="0.25">
      <c r="A161" s="83"/>
      <c r="B161" s="84"/>
      <c r="C161" s="84"/>
      <c r="D161" s="84"/>
      <c r="E161" s="84"/>
      <c r="F161" s="85"/>
    </row>
    <row r="162" spans="1:6" x14ac:dyDescent="0.25">
      <c r="A162" s="83"/>
      <c r="B162" s="84"/>
      <c r="C162" s="84"/>
      <c r="D162" s="84"/>
      <c r="E162" s="84"/>
      <c r="F162" s="85"/>
    </row>
    <row r="163" spans="1:6" x14ac:dyDescent="0.25">
      <c r="A163" s="83"/>
      <c r="B163" s="84"/>
      <c r="C163" s="84"/>
      <c r="D163" s="84"/>
      <c r="E163" s="84"/>
      <c r="F163" s="85"/>
    </row>
    <row r="164" spans="1:6" ht="15.75" thickBot="1" x14ac:dyDescent="0.3">
      <c r="A164" s="86"/>
      <c r="B164" s="87"/>
      <c r="C164" s="87"/>
      <c r="D164" s="87"/>
      <c r="E164" s="87"/>
      <c r="F164" s="88"/>
    </row>
    <row r="166" spans="1:6" ht="15.75" thickBot="1" x14ac:dyDescent="0.3"/>
    <row r="167" spans="1:6" ht="15.75" thickBot="1" x14ac:dyDescent="0.3">
      <c r="A167" s="346" t="s">
        <v>1147</v>
      </c>
      <c r="B167" s="348"/>
    </row>
    <row r="168" spans="1:6" ht="15.75" thickBot="1" x14ac:dyDescent="0.3">
      <c r="A168" s="194" t="s">
        <v>1143</v>
      </c>
      <c r="B168" s="195" t="s">
        <v>1144</v>
      </c>
    </row>
    <row r="169" spans="1:6" x14ac:dyDescent="0.25">
      <c r="A169" s="196">
        <v>0.5</v>
      </c>
      <c r="B169" s="197">
        <v>0.5</v>
      </c>
    </row>
    <row r="170" spans="1:6" x14ac:dyDescent="0.25">
      <c r="A170" s="107">
        <v>0.75</v>
      </c>
      <c r="B170" s="198">
        <v>0.75</v>
      </c>
    </row>
    <row r="171" spans="1:6" x14ac:dyDescent="0.25">
      <c r="A171" s="105">
        <v>1</v>
      </c>
      <c r="B171" s="199">
        <v>1</v>
      </c>
    </row>
    <row r="172" spans="1:6" x14ac:dyDescent="0.25">
      <c r="A172" s="107">
        <v>1.5</v>
      </c>
      <c r="B172" s="198">
        <v>1.5</v>
      </c>
    </row>
    <row r="173" spans="1:6" x14ac:dyDescent="0.25">
      <c r="A173" s="105">
        <v>2</v>
      </c>
      <c r="B173" s="199">
        <v>2</v>
      </c>
    </row>
    <row r="174" spans="1:6" x14ac:dyDescent="0.25">
      <c r="A174" s="107">
        <v>3</v>
      </c>
      <c r="B174" s="198">
        <v>3</v>
      </c>
    </row>
    <row r="175" spans="1:6" x14ac:dyDescent="0.25">
      <c r="A175" s="105">
        <v>5</v>
      </c>
      <c r="B175" s="199">
        <v>5</v>
      </c>
    </row>
    <row r="176" spans="1:6" x14ac:dyDescent="0.25">
      <c r="A176" s="107">
        <v>7.5</v>
      </c>
      <c r="B176" s="198">
        <v>7.5</v>
      </c>
    </row>
    <row r="177" spans="1:2" x14ac:dyDescent="0.25">
      <c r="A177" s="105">
        <v>10</v>
      </c>
      <c r="B177" s="199">
        <v>10</v>
      </c>
    </row>
    <row r="178" spans="1:2" x14ac:dyDescent="0.25">
      <c r="A178" s="107">
        <v>15</v>
      </c>
      <c r="B178" s="198">
        <v>15</v>
      </c>
    </row>
    <row r="179" spans="1:2" x14ac:dyDescent="0.25">
      <c r="A179" s="105">
        <v>20</v>
      </c>
      <c r="B179" s="199">
        <v>20</v>
      </c>
    </row>
    <row r="180" spans="1:2" x14ac:dyDescent="0.25">
      <c r="A180" s="107">
        <v>25</v>
      </c>
      <c r="B180" s="198">
        <v>25</v>
      </c>
    </row>
    <row r="181" spans="1:2" x14ac:dyDescent="0.25">
      <c r="A181" s="105">
        <v>30</v>
      </c>
      <c r="B181" s="199">
        <v>30</v>
      </c>
    </row>
    <row r="182" spans="1:2" x14ac:dyDescent="0.25">
      <c r="A182" s="107">
        <v>40</v>
      </c>
      <c r="B182" s="198">
        <v>40</v>
      </c>
    </row>
    <row r="183" spans="1:2" x14ac:dyDescent="0.25">
      <c r="A183" s="105">
        <v>50</v>
      </c>
      <c r="B183" s="199">
        <v>50</v>
      </c>
    </row>
    <row r="184" spans="1:2" x14ac:dyDescent="0.25">
      <c r="A184" s="107">
        <v>60</v>
      </c>
      <c r="B184" s="198">
        <v>60</v>
      </c>
    </row>
    <row r="185" spans="1:2" x14ac:dyDescent="0.25">
      <c r="A185" s="105">
        <v>75</v>
      </c>
      <c r="B185" s="199">
        <v>75</v>
      </c>
    </row>
    <row r="186" spans="1:2" x14ac:dyDescent="0.25">
      <c r="A186" s="107">
        <v>100</v>
      </c>
      <c r="B186" s="198">
        <v>100</v>
      </c>
    </row>
    <row r="187" spans="1:2" x14ac:dyDescent="0.25">
      <c r="A187" s="105">
        <v>125</v>
      </c>
      <c r="B187" s="199">
        <v>125</v>
      </c>
    </row>
    <row r="188" spans="1:2" x14ac:dyDescent="0.25">
      <c r="A188" s="107">
        <v>150</v>
      </c>
      <c r="B188" s="198">
        <v>150</v>
      </c>
    </row>
    <row r="189" spans="1:2" x14ac:dyDescent="0.25">
      <c r="A189" s="105">
        <v>200</v>
      </c>
      <c r="B189" s="199">
        <v>200</v>
      </c>
    </row>
    <row r="190" spans="1:2" x14ac:dyDescent="0.25">
      <c r="A190" s="107">
        <v>250</v>
      </c>
      <c r="B190" s="198">
        <v>250</v>
      </c>
    </row>
    <row r="191" spans="1:2" x14ac:dyDescent="0.25">
      <c r="A191" s="105">
        <v>300</v>
      </c>
      <c r="B191" s="199">
        <v>300</v>
      </c>
    </row>
    <row r="192" spans="1:2" x14ac:dyDescent="0.25">
      <c r="A192" s="107">
        <v>350</v>
      </c>
      <c r="B192" s="198">
        <v>350</v>
      </c>
    </row>
    <row r="193" spans="1:5" x14ac:dyDescent="0.25">
      <c r="A193" s="105">
        <v>450</v>
      </c>
      <c r="B193" s="199">
        <v>450</v>
      </c>
    </row>
    <row r="194" spans="1:5" x14ac:dyDescent="0.25">
      <c r="A194" s="107">
        <v>500</v>
      </c>
      <c r="B194" s="198">
        <v>500</v>
      </c>
    </row>
    <row r="195" spans="1:5" x14ac:dyDescent="0.25">
      <c r="A195" s="105">
        <v>600</v>
      </c>
      <c r="B195" s="199">
        <v>600</v>
      </c>
    </row>
    <row r="196" spans="1:5" x14ac:dyDescent="0.25">
      <c r="A196" s="107">
        <v>1090</v>
      </c>
      <c r="B196" s="198">
        <v>1090</v>
      </c>
    </row>
    <row r="197" spans="1:5" ht="15.75" thickBot="1" x14ac:dyDescent="0.3">
      <c r="A197" s="111">
        <v>1220</v>
      </c>
      <c r="B197" s="200">
        <v>1220</v>
      </c>
    </row>
    <row r="199" spans="1:5" ht="15.75" thickBot="1" x14ac:dyDescent="0.3"/>
    <row r="200" spans="1:5" ht="15.75" thickBot="1" x14ac:dyDescent="0.3">
      <c r="A200" s="376" t="s">
        <v>1033</v>
      </c>
      <c r="B200" s="377"/>
      <c r="C200" s="377"/>
      <c r="D200" s="377"/>
      <c r="E200" s="378"/>
    </row>
    <row r="201" spans="1:5" ht="15.75" thickBot="1" x14ac:dyDescent="0.3">
      <c r="A201" s="92" t="s">
        <v>1030</v>
      </c>
      <c r="B201" s="93"/>
      <c r="C201" s="375" t="s">
        <v>900</v>
      </c>
      <c r="D201" s="375"/>
      <c r="E201" s="94"/>
    </row>
    <row r="202" spans="1:5" ht="15.75" thickBot="1" x14ac:dyDescent="0.3">
      <c r="A202" s="91" t="s">
        <v>1031</v>
      </c>
      <c r="B202" s="95">
        <v>0.15</v>
      </c>
      <c r="C202" s="95">
        <v>0.3</v>
      </c>
      <c r="D202" s="95">
        <v>0.45</v>
      </c>
      <c r="E202" s="95">
        <v>0.95</v>
      </c>
    </row>
    <row r="203" spans="1:5" x14ac:dyDescent="0.25">
      <c r="A203" s="89" t="s">
        <v>901</v>
      </c>
      <c r="B203" s="8">
        <v>1</v>
      </c>
      <c r="C203" s="8">
        <v>1</v>
      </c>
      <c r="D203" s="8">
        <v>1</v>
      </c>
      <c r="E203" s="8">
        <v>1</v>
      </c>
    </row>
    <row r="204" spans="1:5" x14ac:dyDescent="0.25">
      <c r="A204" s="89" t="s">
        <v>902</v>
      </c>
      <c r="B204" s="8">
        <v>1.1000000000000001</v>
      </c>
      <c r="C204" s="8">
        <v>1.1499999999999999</v>
      </c>
      <c r="D204" s="8">
        <v>1.2</v>
      </c>
      <c r="E204" s="8">
        <v>1.3</v>
      </c>
    </row>
    <row r="205" spans="1:5" x14ac:dyDescent="0.25">
      <c r="A205" s="89" t="s">
        <v>903</v>
      </c>
      <c r="B205" s="8" t="s">
        <v>1032</v>
      </c>
      <c r="C205" s="8">
        <v>1.5</v>
      </c>
      <c r="D205" s="8">
        <v>1.7</v>
      </c>
      <c r="E205" s="8">
        <v>2.2000000000000002</v>
      </c>
    </row>
    <row r="206" spans="1:5" ht="15.75" thickBot="1" x14ac:dyDescent="0.3">
      <c r="A206" s="90" t="s">
        <v>904</v>
      </c>
      <c r="B206" s="43">
        <v>1.05</v>
      </c>
      <c r="C206" s="43">
        <v>1.1399999999999999</v>
      </c>
      <c r="D206" s="43">
        <v>1.2</v>
      </c>
      <c r="E206" s="43" t="s">
        <v>1032</v>
      </c>
    </row>
    <row r="207" spans="1:5" ht="15.75" thickBot="1" x14ac:dyDescent="0.3"/>
    <row r="208" spans="1:5" ht="15.75" thickBot="1" x14ac:dyDescent="0.3">
      <c r="A208" s="346" t="s">
        <v>1034</v>
      </c>
      <c r="B208" s="348"/>
    </row>
    <row r="209" spans="1:2" ht="15.75" customHeight="1" thickBot="1" x14ac:dyDescent="0.3">
      <c r="A209" s="379" t="s">
        <v>906</v>
      </c>
      <c r="B209" s="380"/>
    </row>
    <row r="210" spans="1:2" ht="15.75" thickBot="1" x14ac:dyDescent="0.3">
      <c r="A210" s="96">
        <v>0</v>
      </c>
      <c r="B210" s="97">
        <v>1</v>
      </c>
    </row>
    <row r="211" spans="1:2" ht="15.75" thickBot="1" x14ac:dyDescent="0.3">
      <c r="A211" s="98">
        <v>1</v>
      </c>
      <c r="B211" s="99">
        <v>1.29</v>
      </c>
    </row>
    <row r="212" spans="1:2" ht="15.75" thickBot="1" x14ac:dyDescent="0.3">
      <c r="A212" s="96">
        <v>2</v>
      </c>
      <c r="B212" s="100">
        <v>1.58</v>
      </c>
    </row>
    <row r="213" spans="1:2" ht="15.75" thickBot="1" x14ac:dyDescent="0.3">
      <c r="A213" s="96">
        <v>3</v>
      </c>
      <c r="B213" s="100">
        <v>1.87</v>
      </c>
    </row>
    <row r="214" spans="1:2" ht="15.75" thickBot="1" x14ac:dyDescent="0.3">
      <c r="A214" s="101">
        <v>4</v>
      </c>
      <c r="B214" s="102">
        <v>2.16</v>
      </c>
    </row>
    <row r="215" spans="1:2" ht="15.75" thickBot="1" x14ac:dyDescent="0.3"/>
    <row r="216" spans="1:2" ht="15.75" thickBot="1" x14ac:dyDescent="0.3">
      <c r="A216" s="346" t="s">
        <v>1037</v>
      </c>
      <c r="B216" s="348"/>
    </row>
    <row r="217" spans="1:2" ht="15.75" thickBot="1" x14ac:dyDescent="0.3">
      <c r="A217" s="103" t="s">
        <v>1035</v>
      </c>
      <c r="B217" s="104" t="s">
        <v>1036</v>
      </c>
    </row>
    <row r="218" spans="1:2" x14ac:dyDescent="0.25">
      <c r="A218" s="105">
        <v>6</v>
      </c>
      <c r="B218" s="106">
        <v>18</v>
      </c>
    </row>
    <row r="219" spans="1:2" x14ac:dyDescent="0.25">
      <c r="A219" s="107">
        <v>9</v>
      </c>
      <c r="B219" s="108">
        <v>31</v>
      </c>
    </row>
    <row r="220" spans="1:2" x14ac:dyDescent="0.25">
      <c r="A220" s="105">
        <v>10</v>
      </c>
      <c r="B220" s="106">
        <v>37</v>
      </c>
    </row>
    <row r="221" spans="1:2" x14ac:dyDescent="0.25">
      <c r="A221" s="107">
        <v>12</v>
      </c>
      <c r="B221" s="108">
        <v>55</v>
      </c>
    </row>
    <row r="222" spans="1:2" x14ac:dyDescent="0.25">
      <c r="A222" s="105">
        <v>14</v>
      </c>
      <c r="B222" s="106">
        <v>78</v>
      </c>
    </row>
    <row r="223" spans="1:2" x14ac:dyDescent="0.25">
      <c r="A223" s="107">
        <v>16</v>
      </c>
      <c r="B223" s="108">
        <v>106</v>
      </c>
    </row>
    <row r="224" spans="1:2" x14ac:dyDescent="0.25">
      <c r="A224" s="105">
        <v>18</v>
      </c>
      <c r="B224" s="106">
        <v>135</v>
      </c>
    </row>
    <row r="225" spans="1:4" ht="15.75" thickBot="1" x14ac:dyDescent="0.3">
      <c r="A225" s="109">
        <v>20</v>
      </c>
      <c r="B225" s="110">
        <v>165</v>
      </c>
    </row>
    <row r="226" spans="1:4" x14ac:dyDescent="0.25">
      <c r="A226" s="105">
        <v>24</v>
      </c>
      <c r="B226" s="106">
        <v>235</v>
      </c>
    </row>
    <row r="227" spans="1:4" x14ac:dyDescent="0.25">
      <c r="A227" s="107">
        <v>30</v>
      </c>
      <c r="B227" s="108">
        <v>360</v>
      </c>
    </row>
    <row r="228" spans="1:4" x14ac:dyDescent="0.25">
      <c r="A228" s="105">
        <v>36</v>
      </c>
      <c r="B228" s="106">
        <v>512</v>
      </c>
    </row>
    <row r="229" spans="1:4" x14ac:dyDescent="0.25">
      <c r="A229" s="107">
        <v>42</v>
      </c>
      <c r="B229" s="108">
        <v>720</v>
      </c>
    </row>
    <row r="230" spans="1:4" x14ac:dyDescent="0.25">
      <c r="A230" s="105">
        <v>48</v>
      </c>
      <c r="B230" s="106">
        <v>940</v>
      </c>
    </row>
    <row r="231" spans="1:4" x14ac:dyDescent="0.25">
      <c r="A231" s="107">
        <v>54</v>
      </c>
      <c r="B231" s="108">
        <v>1200</v>
      </c>
    </row>
    <row r="232" spans="1:4" ht="15.75" thickBot="1" x14ac:dyDescent="0.3">
      <c r="A232" s="111">
        <v>60</v>
      </c>
      <c r="B232" s="102">
        <v>1500</v>
      </c>
    </row>
    <row r="233" spans="1:4" ht="15.75" thickBot="1" x14ac:dyDescent="0.3"/>
    <row r="234" spans="1:4" ht="15.75" thickBot="1" x14ac:dyDescent="0.3">
      <c r="A234" s="346" t="s">
        <v>1056</v>
      </c>
      <c r="B234" s="347"/>
      <c r="C234" s="348"/>
    </row>
    <row r="235" spans="1:4" ht="15.75" thickBot="1" x14ac:dyDescent="0.3">
      <c r="A235" s="91" t="s">
        <v>876</v>
      </c>
      <c r="B235" s="114" t="s">
        <v>1054</v>
      </c>
      <c r="C235" s="115" t="s">
        <v>1055</v>
      </c>
    </row>
    <row r="236" spans="1:4" ht="15.75" thickBot="1" x14ac:dyDescent="0.3">
      <c r="A236" s="68" t="s">
        <v>9</v>
      </c>
      <c r="B236" s="10" t="s">
        <v>1038</v>
      </c>
      <c r="C236" s="10">
        <v>1</v>
      </c>
      <c r="D236" t="str">
        <f>CHAR(34)&amp;B236&amp;CHAR(34)&amp;":"&amp;C236&amp;","</f>
        <v>"Ball":1,</v>
      </c>
    </row>
    <row r="237" spans="1:4" x14ac:dyDescent="0.25">
      <c r="A237" s="372" t="s">
        <v>1039</v>
      </c>
      <c r="B237" s="8" t="s">
        <v>1040</v>
      </c>
      <c r="C237" s="8">
        <v>1.7</v>
      </c>
      <c r="D237" t="str">
        <f t="shared" ref="D237:D253" si="0">CHAR(34)&amp;B237&amp;CHAR(34)&amp;":"&amp;C237&amp;","</f>
        <v>"Babbitt":1.7,</v>
      </c>
    </row>
    <row r="238" spans="1:4" x14ac:dyDescent="0.25">
      <c r="A238" s="373"/>
      <c r="B238" s="8" t="s">
        <v>1041</v>
      </c>
      <c r="C238" s="8">
        <v>1.7</v>
      </c>
      <c r="D238" t="str">
        <f t="shared" si="0"/>
        <v>"Bronze":1.7,</v>
      </c>
    </row>
    <row r="239" spans="1:4" ht="22.5" x14ac:dyDescent="0.25">
      <c r="A239" s="373"/>
      <c r="B239" s="8" t="s">
        <v>1042</v>
      </c>
      <c r="C239" s="8">
        <v>1.7</v>
      </c>
      <c r="D239" t="str">
        <f t="shared" si="0"/>
        <v>"Bronze (oil impregnated)":1.7,</v>
      </c>
    </row>
    <row r="240" spans="1:4" ht="45" x14ac:dyDescent="0.25">
      <c r="A240" s="373"/>
      <c r="B240" s="8" t="s">
        <v>1043</v>
      </c>
      <c r="C240" s="8">
        <v>1.7</v>
      </c>
      <c r="D240" t="str">
        <f t="shared" si="0"/>
        <v>"Bronze w/Graphite Plugs Canvas Based Phenolic":1.7,</v>
      </c>
    </row>
    <row r="241" spans="1:6" x14ac:dyDescent="0.25">
      <c r="A241" s="373"/>
      <c r="B241" s="8" t="s">
        <v>1044</v>
      </c>
      <c r="C241" s="8">
        <v>1.7</v>
      </c>
      <c r="D241" t="str">
        <f t="shared" si="0"/>
        <v>"Ertalyte":1.7,</v>
      </c>
    </row>
    <row r="242" spans="1:6" x14ac:dyDescent="0.25">
      <c r="A242" s="373"/>
      <c r="B242" s="57" t="s">
        <v>1236</v>
      </c>
      <c r="C242" s="57">
        <v>2.5</v>
      </c>
      <c r="D242" t="str">
        <f t="shared" si="0"/>
        <v>"Gatke":2.5,</v>
      </c>
    </row>
    <row r="243" spans="1:6" x14ac:dyDescent="0.25">
      <c r="A243" s="373"/>
      <c r="B243" s="8" t="s">
        <v>1237</v>
      </c>
      <c r="C243" s="8">
        <v>1.7</v>
      </c>
      <c r="D243" t="str">
        <f t="shared" si="0"/>
        <v>"Melamine":1.7,</v>
      </c>
    </row>
    <row r="244" spans="1:6" x14ac:dyDescent="0.25">
      <c r="A244" s="373"/>
      <c r="B244" s="57" t="s">
        <v>1238</v>
      </c>
      <c r="C244" s="57">
        <v>3.5</v>
      </c>
      <c r="D244" t="str">
        <f t="shared" si="0"/>
        <v>"Nylon":3.5,</v>
      </c>
    </row>
    <row r="245" spans="1:6" x14ac:dyDescent="0.25">
      <c r="A245" s="373"/>
      <c r="B245" s="8" t="s">
        <v>1239</v>
      </c>
      <c r="C245" s="8">
        <v>2</v>
      </c>
      <c r="D245" t="str">
        <f t="shared" si="0"/>
        <v>"Nylatron GS":2,</v>
      </c>
    </row>
    <row r="246" spans="1:6" x14ac:dyDescent="0.25">
      <c r="A246" s="373"/>
      <c r="B246" s="8" t="s">
        <v>1045</v>
      </c>
      <c r="C246" s="8">
        <v>2</v>
      </c>
      <c r="D246" t="str">
        <f t="shared" si="0"/>
        <v>"Plastic Resin":2,</v>
      </c>
    </row>
    <row r="247" spans="1:6" x14ac:dyDescent="0.25">
      <c r="A247" s="373"/>
      <c r="B247" s="8" t="s">
        <v>1046</v>
      </c>
      <c r="C247" s="8">
        <v>1.7</v>
      </c>
      <c r="D247" t="str">
        <f t="shared" si="0"/>
        <v>"Ryertex":1.7,</v>
      </c>
    </row>
    <row r="248" spans="1:6" x14ac:dyDescent="0.25">
      <c r="A248" s="373"/>
      <c r="B248" s="8" t="s">
        <v>1047</v>
      </c>
      <c r="C248" s="8">
        <v>2</v>
      </c>
      <c r="D248" t="str">
        <f t="shared" si="0"/>
        <v>"Teflon":2,</v>
      </c>
    </row>
    <row r="249" spans="1:6" x14ac:dyDescent="0.25">
      <c r="A249" s="373"/>
      <c r="B249" s="8" t="s">
        <v>1048</v>
      </c>
      <c r="C249" s="8">
        <v>2</v>
      </c>
      <c r="D249" t="str">
        <f t="shared" si="0"/>
        <v>"UHMW":2,</v>
      </c>
    </row>
    <row r="250" spans="1:6" ht="23.25" thickBot="1" x14ac:dyDescent="0.3">
      <c r="A250" s="374"/>
      <c r="B250" s="43" t="s">
        <v>1049</v>
      </c>
      <c r="C250" s="43">
        <v>1.7</v>
      </c>
      <c r="D250" t="str">
        <f t="shared" si="0"/>
        <v>"Wood (oil impregnated)":1.7,</v>
      </c>
    </row>
    <row r="251" spans="1:6" x14ac:dyDescent="0.25">
      <c r="A251" s="66" t="s">
        <v>15</v>
      </c>
      <c r="B251" s="6" t="s">
        <v>1051</v>
      </c>
      <c r="C251" s="6">
        <v>4.4000000000000004</v>
      </c>
      <c r="D251" t="str">
        <f t="shared" si="0"/>
        <v>"Chilled Hard Iron":4.4,</v>
      </c>
    </row>
    <row r="252" spans="1:6" ht="22.5" x14ac:dyDescent="0.25">
      <c r="A252" s="112" t="s">
        <v>1050</v>
      </c>
      <c r="B252" s="6" t="s">
        <v>1052</v>
      </c>
      <c r="C252" s="6">
        <v>4.4000000000000004</v>
      </c>
      <c r="D252" t="str">
        <f t="shared" si="0"/>
        <v>"Hardened Alloy Sleeve":4.4,</v>
      </c>
    </row>
    <row r="253" spans="1:6" ht="15.75" thickBot="1" x14ac:dyDescent="0.3">
      <c r="A253" s="113"/>
      <c r="B253" s="10" t="s">
        <v>1053</v>
      </c>
      <c r="C253" s="10">
        <v>4.4000000000000004</v>
      </c>
      <c r="D253" t="str">
        <f t="shared" si="0"/>
        <v>"Stellite":4.4,</v>
      </c>
    </row>
    <row r="254" spans="1:6" ht="15.75" thickBot="1" x14ac:dyDescent="0.3">
      <c r="A254" s="178"/>
      <c r="B254" s="179"/>
      <c r="C254" s="179"/>
    </row>
    <row r="255" spans="1:6" ht="15.75" thickBot="1" x14ac:dyDescent="0.3">
      <c r="A255" s="346" t="s">
        <v>1095</v>
      </c>
      <c r="B255" s="347"/>
      <c r="C255" s="347"/>
      <c r="D255" s="347"/>
      <c r="E255" s="347"/>
      <c r="F255" s="348"/>
    </row>
    <row r="256" spans="1:6" ht="18" customHeight="1" x14ac:dyDescent="0.25">
      <c r="A256" s="362" t="s">
        <v>948</v>
      </c>
      <c r="B256" s="362" t="s">
        <v>1064</v>
      </c>
      <c r="C256" s="362" t="s">
        <v>1065</v>
      </c>
      <c r="D256" s="362" t="s">
        <v>1066</v>
      </c>
      <c r="E256" s="27" t="s">
        <v>1067</v>
      </c>
      <c r="F256" s="27" t="s">
        <v>1069</v>
      </c>
    </row>
    <row r="257" spans="1:6" ht="15.75" thickBot="1" x14ac:dyDescent="0.3">
      <c r="A257" s="363"/>
      <c r="B257" s="363"/>
      <c r="C257" s="363"/>
      <c r="D257" s="363"/>
      <c r="E257" s="2" t="s">
        <v>1068</v>
      </c>
      <c r="F257" s="2" t="s">
        <v>1068</v>
      </c>
    </row>
    <row r="258" spans="1:6" ht="25.5" customHeight="1" thickBot="1" x14ac:dyDescent="0.3">
      <c r="A258" s="172"/>
      <c r="B258" s="354" t="s">
        <v>1070</v>
      </c>
      <c r="C258" s="354"/>
      <c r="D258" s="354"/>
      <c r="E258" s="354"/>
      <c r="F258" s="173"/>
    </row>
    <row r="259" spans="1:6" x14ac:dyDescent="0.25">
      <c r="A259" s="66">
        <v>6</v>
      </c>
      <c r="B259" s="6" t="s">
        <v>966</v>
      </c>
      <c r="C259" s="6" t="s">
        <v>1071</v>
      </c>
      <c r="D259" s="6" t="s">
        <v>1072</v>
      </c>
      <c r="E259" s="6" t="s">
        <v>1073</v>
      </c>
      <c r="F259" s="6" t="s">
        <v>1073</v>
      </c>
    </row>
    <row r="260" spans="1:6" x14ac:dyDescent="0.25">
      <c r="A260" s="64">
        <v>9</v>
      </c>
      <c r="B260" s="8" t="s">
        <v>966</v>
      </c>
      <c r="C260" s="8" t="s">
        <v>1071</v>
      </c>
      <c r="D260" s="8" t="s">
        <v>1072</v>
      </c>
      <c r="E260" s="8" t="s">
        <v>1074</v>
      </c>
      <c r="F260" s="8" t="s">
        <v>1074</v>
      </c>
    </row>
    <row r="261" spans="1:6" x14ac:dyDescent="0.25">
      <c r="A261" s="64">
        <v>9</v>
      </c>
      <c r="B261" s="8">
        <v>2</v>
      </c>
      <c r="C261" s="8" t="s">
        <v>1071</v>
      </c>
      <c r="D261" s="8" t="s">
        <v>1072</v>
      </c>
      <c r="E261" s="8" t="s">
        <v>1074</v>
      </c>
      <c r="F261" s="8" t="s">
        <v>1074</v>
      </c>
    </row>
    <row r="262" spans="1:6" x14ac:dyDescent="0.25">
      <c r="A262" s="66">
        <v>10</v>
      </c>
      <c r="B262" s="6" t="s">
        <v>966</v>
      </c>
      <c r="C262" s="6" t="s">
        <v>1071</v>
      </c>
      <c r="D262" s="6" t="s">
        <v>1072</v>
      </c>
      <c r="E262" s="6" t="s">
        <v>1074</v>
      </c>
      <c r="F262" s="6" t="s">
        <v>1074</v>
      </c>
    </row>
    <row r="263" spans="1:6" x14ac:dyDescent="0.25">
      <c r="A263" s="64">
        <v>12</v>
      </c>
      <c r="B263" s="8">
        <v>2</v>
      </c>
      <c r="C263" s="8" t="s">
        <v>1071</v>
      </c>
      <c r="D263" s="174" t="s">
        <v>1075</v>
      </c>
      <c r="E263" s="8" t="s">
        <v>1076</v>
      </c>
      <c r="F263" s="8" t="s">
        <v>1074</v>
      </c>
    </row>
    <row r="264" spans="1:6" x14ac:dyDescent="0.25">
      <c r="A264" s="64">
        <v>12</v>
      </c>
      <c r="B264" s="8" t="s">
        <v>1077</v>
      </c>
      <c r="C264" s="8" t="s">
        <v>1071</v>
      </c>
      <c r="D264" s="174" t="s">
        <v>1075</v>
      </c>
      <c r="E264" s="8" t="s">
        <v>1076</v>
      </c>
      <c r="F264" s="8" t="s">
        <v>1074</v>
      </c>
    </row>
    <row r="265" spans="1:6" x14ac:dyDescent="0.25">
      <c r="A265" s="66">
        <v>14</v>
      </c>
      <c r="B265" s="6" t="s">
        <v>1077</v>
      </c>
      <c r="C265" s="6" t="s">
        <v>1071</v>
      </c>
      <c r="D265" s="175" t="s">
        <v>1075</v>
      </c>
      <c r="E265" s="6" t="s">
        <v>1076</v>
      </c>
      <c r="F265" s="6" t="s">
        <v>1074</v>
      </c>
    </row>
    <row r="266" spans="1:6" x14ac:dyDescent="0.25">
      <c r="A266" s="64">
        <v>16</v>
      </c>
      <c r="B266" s="8">
        <v>3</v>
      </c>
      <c r="C266" s="8" t="s">
        <v>1071</v>
      </c>
      <c r="D266" s="174" t="s">
        <v>1075</v>
      </c>
      <c r="E266" s="8" t="s">
        <v>1072</v>
      </c>
      <c r="F266" s="8" t="s">
        <v>1074</v>
      </c>
    </row>
    <row r="267" spans="1:6" x14ac:dyDescent="0.25">
      <c r="A267" s="66">
        <v>18</v>
      </c>
      <c r="B267" s="6">
        <v>3</v>
      </c>
      <c r="C267" s="6" t="s">
        <v>1071</v>
      </c>
      <c r="D267" s="175" t="s">
        <v>1075</v>
      </c>
      <c r="E267" s="6" t="s">
        <v>1072</v>
      </c>
      <c r="F267" s="6" t="s">
        <v>1076</v>
      </c>
    </row>
    <row r="268" spans="1:6" x14ac:dyDescent="0.25">
      <c r="A268" s="64">
        <v>20</v>
      </c>
      <c r="B268" s="8">
        <v>3</v>
      </c>
      <c r="C268" s="8" t="s">
        <v>1071</v>
      </c>
      <c r="D268" s="174" t="s">
        <v>1075</v>
      </c>
      <c r="E268" s="8" t="s">
        <v>1072</v>
      </c>
      <c r="F268" s="8" t="s">
        <v>1076</v>
      </c>
    </row>
    <row r="269" spans="1:6" ht="15.75" thickBot="1" x14ac:dyDescent="0.3">
      <c r="A269" s="68">
        <v>24</v>
      </c>
      <c r="B269" s="10" t="s">
        <v>1078</v>
      </c>
      <c r="C269" s="10" t="s">
        <v>1071</v>
      </c>
      <c r="D269" s="176" t="s">
        <v>1079</v>
      </c>
      <c r="E269" s="10" t="s">
        <v>1072</v>
      </c>
      <c r="F269" s="10" t="s">
        <v>1076</v>
      </c>
    </row>
    <row r="270" spans="1:6" ht="25.5" customHeight="1" thickBot="1" x14ac:dyDescent="0.3">
      <c r="A270" s="172"/>
      <c r="B270" s="364" t="s">
        <v>1080</v>
      </c>
      <c r="C270" s="364"/>
      <c r="D270" s="364"/>
      <c r="E270" s="364"/>
      <c r="F270" s="173"/>
    </row>
    <row r="271" spans="1:6" x14ac:dyDescent="0.25">
      <c r="A271" s="66">
        <v>6</v>
      </c>
      <c r="B271" s="6" t="s">
        <v>966</v>
      </c>
      <c r="C271" s="6" t="s">
        <v>1081</v>
      </c>
      <c r="D271" s="6" t="s">
        <v>1072</v>
      </c>
      <c r="E271" s="6" t="s">
        <v>1074</v>
      </c>
      <c r="F271" s="6" t="s">
        <v>1074</v>
      </c>
    </row>
    <row r="272" spans="1:6" x14ac:dyDescent="0.25">
      <c r="A272" s="64">
        <v>9</v>
      </c>
      <c r="B272" s="8">
        <v>2</v>
      </c>
      <c r="C272" s="8" t="s">
        <v>1081</v>
      </c>
      <c r="D272" s="174" t="s">
        <v>1075</v>
      </c>
      <c r="E272" s="8" t="s">
        <v>1072</v>
      </c>
      <c r="F272" s="8" t="s">
        <v>1074</v>
      </c>
    </row>
    <row r="273" spans="1:6" x14ac:dyDescent="0.25">
      <c r="A273" s="66">
        <v>10</v>
      </c>
      <c r="B273" s="6">
        <v>2</v>
      </c>
      <c r="C273" s="6" t="s">
        <v>1081</v>
      </c>
      <c r="D273" s="175" t="s">
        <v>1075</v>
      </c>
      <c r="E273" s="6" t="s">
        <v>1072</v>
      </c>
      <c r="F273" s="6" t="s">
        <v>1074</v>
      </c>
    </row>
    <row r="274" spans="1:6" x14ac:dyDescent="0.25">
      <c r="A274" s="64">
        <v>12</v>
      </c>
      <c r="B274" s="8" t="s">
        <v>1077</v>
      </c>
      <c r="C274" s="8" t="s">
        <v>1081</v>
      </c>
      <c r="D274" s="174" t="s">
        <v>1075</v>
      </c>
      <c r="E274" s="174" t="s">
        <v>1075</v>
      </c>
      <c r="F274" s="8" t="s">
        <v>1074</v>
      </c>
    </row>
    <row r="275" spans="1:6" x14ac:dyDescent="0.25">
      <c r="A275" s="64">
        <v>12</v>
      </c>
      <c r="B275" s="8">
        <v>3</v>
      </c>
      <c r="C275" s="8" t="s">
        <v>1081</v>
      </c>
      <c r="D275" s="65" t="s">
        <v>1079</v>
      </c>
      <c r="E275" s="174" t="s">
        <v>1075</v>
      </c>
      <c r="F275" s="8" t="s">
        <v>1074</v>
      </c>
    </row>
    <row r="276" spans="1:6" x14ac:dyDescent="0.25">
      <c r="A276" s="66">
        <v>14</v>
      </c>
      <c r="B276" s="6" t="s">
        <v>1077</v>
      </c>
      <c r="C276" s="6" t="s">
        <v>1081</v>
      </c>
      <c r="D276" s="175" t="s">
        <v>1075</v>
      </c>
      <c r="E276" s="175" t="s">
        <v>1075</v>
      </c>
      <c r="F276" s="6" t="s">
        <v>1074</v>
      </c>
    </row>
    <row r="277" spans="1:6" x14ac:dyDescent="0.25">
      <c r="A277" s="66">
        <v>14</v>
      </c>
      <c r="B277" s="6">
        <v>3</v>
      </c>
      <c r="C277" s="6" t="s">
        <v>1081</v>
      </c>
      <c r="D277" s="67" t="s">
        <v>1079</v>
      </c>
      <c r="E277" s="175" t="s">
        <v>1075</v>
      </c>
      <c r="F277" s="6" t="s">
        <v>1074</v>
      </c>
    </row>
    <row r="278" spans="1:6" x14ac:dyDescent="0.25">
      <c r="A278" s="64">
        <v>16</v>
      </c>
      <c r="B278" s="8">
        <v>3</v>
      </c>
      <c r="C278" s="8" t="s">
        <v>1081</v>
      </c>
      <c r="D278" s="65" t="s">
        <v>1079</v>
      </c>
      <c r="E278" s="174" t="s">
        <v>1075</v>
      </c>
      <c r="F278" s="8" t="s">
        <v>1074</v>
      </c>
    </row>
    <row r="279" spans="1:6" x14ac:dyDescent="0.25">
      <c r="A279" s="66">
        <v>18</v>
      </c>
      <c r="B279" s="6">
        <v>3</v>
      </c>
      <c r="C279" s="6" t="s">
        <v>1081</v>
      </c>
      <c r="D279" s="67" t="s">
        <v>1079</v>
      </c>
      <c r="E279" s="175" t="s">
        <v>1075</v>
      </c>
      <c r="F279" s="6" t="s">
        <v>1076</v>
      </c>
    </row>
    <row r="280" spans="1:6" x14ac:dyDescent="0.25">
      <c r="A280" s="66">
        <v>18</v>
      </c>
      <c r="B280" s="6" t="s">
        <v>1078</v>
      </c>
      <c r="C280" s="6" t="s">
        <v>1081</v>
      </c>
      <c r="D280" s="67" t="s">
        <v>1079</v>
      </c>
      <c r="E280" s="175" t="s">
        <v>1075</v>
      </c>
      <c r="F280" s="6" t="s">
        <v>1076</v>
      </c>
    </row>
    <row r="281" spans="1:6" x14ac:dyDescent="0.25">
      <c r="A281" s="64">
        <v>20</v>
      </c>
      <c r="B281" s="8">
        <v>3</v>
      </c>
      <c r="C281" s="8" t="s">
        <v>1081</v>
      </c>
      <c r="D281" s="65" t="s">
        <v>1079</v>
      </c>
      <c r="E281" s="174" t="s">
        <v>1075</v>
      </c>
      <c r="F281" s="8" t="s">
        <v>1076</v>
      </c>
    </row>
    <row r="282" spans="1:6" x14ac:dyDescent="0.25">
      <c r="A282" s="64">
        <v>20</v>
      </c>
      <c r="B282" s="8" t="s">
        <v>1078</v>
      </c>
      <c r="C282" s="8" t="s">
        <v>1081</v>
      </c>
      <c r="D282" s="65" t="s">
        <v>1079</v>
      </c>
      <c r="E282" s="174" t="s">
        <v>1075</v>
      </c>
      <c r="F282" s="8" t="s">
        <v>1076</v>
      </c>
    </row>
    <row r="283" spans="1:6" x14ac:dyDescent="0.25">
      <c r="A283" s="66">
        <v>24</v>
      </c>
      <c r="B283" s="6" t="s">
        <v>1078</v>
      </c>
      <c r="C283" s="6" t="s">
        <v>1081</v>
      </c>
      <c r="D283" s="67" t="s">
        <v>1079</v>
      </c>
      <c r="E283" s="175" t="s">
        <v>1075</v>
      </c>
      <c r="F283" s="6" t="s">
        <v>1076</v>
      </c>
    </row>
    <row r="284" spans="1:6" x14ac:dyDescent="0.25">
      <c r="A284" s="64">
        <v>30</v>
      </c>
      <c r="B284" s="8" t="s">
        <v>1082</v>
      </c>
      <c r="C284" s="8" t="s">
        <v>1081</v>
      </c>
      <c r="D284" s="65" t="s">
        <v>1083</v>
      </c>
      <c r="E284" s="174" t="s">
        <v>1075</v>
      </c>
      <c r="F284" s="8" t="s">
        <v>1076</v>
      </c>
    </row>
    <row r="285" spans="1:6" ht="15.75" thickBot="1" x14ac:dyDescent="0.3">
      <c r="A285" s="68" t="s">
        <v>1084</v>
      </c>
      <c r="B285" s="10" t="s">
        <v>1085</v>
      </c>
      <c r="C285" s="10" t="s">
        <v>1081</v>
      </c>
      <c r="D285" s="176" t="s">
        <v>1083</v>
      </c>
      <c r="E285" s="177" t="s">
        <v>1075</v>
      </c>
      <c r="F285" s="10" t="s">
        <v>1072</v>
      </c>
    </row>
    <row r="286" spans="1:6" ht="25.5" customHeight="1" thickBot="1" x14ac:dyDescent="0.3">
      <c r="A286" s="172"/>
      <c r="B286" s="354" t="s">
        <v>1086</v>
      </c>
      <c r="C286" s="354"/>
      <c r="D286" s="354"/>
      <c r="E286" s="354"/>
      <c r="F286" s="173"/>
    </row>
    <row r="287" spans="1:6" x14ac:dyDescent="0.25">
      <c r="A287" s="66">
        <v>6</v>
      </c>
      <c r="B287" s="6">
        <v>2</v>
      </c>
      <c r="C287" s="6" t="s">
        <v>1087</v>
      </c>
      <c r="D287" s="67" t="s">
        <v>1088</v>
      </c>
      <c r="E287" s="6" t="s">
        <v>1072</v>
      </c>
      <c r="F287" s="6" t="s">
        <v>1074</v>
      </c>
    </row>
    <row r="288" spans="1:6" x14ac:dyDescent="0.25">
      <c r="A288" s="64">
        <v>9</v>
      </c>
      <c r="B288" s="8">
        <v>2</v>
      </c>
      <c r="C288" s="8" t="s">
        <v>1087</v>
      </c>
      <c r="D288" s="65" t="s">
        <v>1079</v>
      </c>
      <c r="E288" s="174" t="s">
        <v>1075</v>
      </c>
      <c r="F288" s="8" t="s">
        <v>1074</v>
      </c>
    </row>
    <row r="289" spans="1:8" x14ac:dyDescent="0.25">
      <c r="A289" s="66">
        <v>10</v>
      </c>
      <c r="B289" s="6">
        <v>2</v>
      </c>
      <c r="C289" s="6" t="s">
        <v>1087</v>
      </c>
      <c r="D289" s="67" t="s">
        <v>1079</v>
      </c>
      <c r="E289" s="175" t="s">
        <v>1075</v>
      </c>
      <c r="F289" s="6" t="s">
        <v>1074</v>
      </c>
    </row>
    <row r="290" spans="1:8" x14ac:dyDescent="0.25">
      <c r="A290" s="64">
        <v>12</v>
      </c>
      <c r="B290" s="8" t="s">
        <v>1077</v>
      </c>
      <c r="C290" s="8" t="s">
        <v>1087</v>
      </c>
      <c r="D290" s="65" t="s">
        <v>1089</v>
      </c>
      <c r="E290" s="65" t="s">
        <v>1088</v>
      </c>
      <c r="F290" s="8" t="s">
        <v>1090</v>
      </c>
    </row>
    <row r="291" spans="1:8" x14ac:dyDescent="0.25">
      <c r="A291" s="64">
        <v>12</v>
      </c>
      <c r="B291" s="8">
        <v>3</v>
      </c>
      <c r="C291" s="8" t="s">
        <v>1087</v>
      </c>
      <c r="D291" s="65" t="s">
        <v>1091</v>
      </c>
      <c r="E291" s="65" t="s">
        <v>1088</v>
      </c>
      <c r="F291" s="8" t="s">
        <v>1090</v>
      </c>
    </row>
    <row r="292" spans="1:8" x14ac:dyDescent="0.25">
      <c r="A292" s="66">
        <v>14</v>
      </c>
      <c r="B292" s="6">
        <v>3</v>
      </c>
      <c r="C292" s="6" t="s">
        <v>1087</v>
      </c>
      <c r="D292" s="67" t="s">
        <v>1091</v>
      </c>
      <c r="E292" s="67" t="s">
        <v>1088</v>
      </c>
      <c r="F292" s="6" t="s">
        <v>1090</v>
      </c>
    </row>
    <row r="293" spans="1:8" x14ac:dyDescent="0.25">
      <c r="A293" s="64">
        <v>16</v>
      </c>
      <c r="B293" s="8">
        <v>3</v>
      </c>
      <c r="C293" s="8" t="s">
        <v>1087</v>
      </c>
      <c r="D293" s="65" t="s">
        <v>1091</v>
      </c>
      <c r="E293" s="65" t="s">
        <v>1088</v>
      </c>
      <c r="F293" s="8" t="s">
        <v>1090</v>
      </c>
    </row>
    <row r="294" spans="1:8" x14ac:dyDescent="0.25">
      <c r="A294" s="64">
        <v>16</v>
      </c>
      <c r="B294" s="8" t="s">
        <v>1078</v>
      </c>
      <c r="C294" s="8" t="s">
        <v>1087</v>
      </c>
      <c r="D294" s="65" t="s">
        <v>1091</v>
      </c>
      <c r="E294" s="65" t="s">
        <v>1088</v>
      </c>
      <c r="F294" s="8" t="s">
        <v>1090</v>
      </c>
    </row>
    <row r="295" spans="1:8" x14ac:dyDescent="0.25">
      <c r="A295" s="66">
        <v>18</v>
      </c>
      <c r="B295" s="6" t="s">
        <v>1078</v>
      </c>
      <c r="C295" s="6" t="s">
        <v>1087</v>
      </c>
      <c r="D295" s="67" t="s">
        <v>1091</v>
      </c>
      <c r="E295" s="67" t="s">
        <v>1079</v>
      </c>
      <c r="F295" s="6" t="s">
        <v>1092</v>
      </c>
    </row>
    <row r="296" spans="1:8" x14ac:dyDescent="0.25">
      <c r="A296" s="64">
        <v>20</v>
      </c>
      <c r="B296" s="8" t="s">
        <v>1078</v>
      </c>
      <c r="C296" s="8" t="s">
        <v>1087</v>
      </c>
      <c r="D296" s="65" t="s">
        <v>1091</v>
      </c>
      <c r="E296" s="65" t="s">
        <v>1079</v>
      </c>
      <c r="F296" s="8" t="s">
        <v>1092</v>
      </c>
    </row>
    <row r="297" spans="1:8" x14ac:dyDescent="0.25">
      <c r="A297" s="64">
        <v>20</v>
      </c>
      <c r="B297" s="8" t="s">
        <v>1082</v>
      </c>
      <c r="C297" s="8" t="s">
        <v>1087</v>
      </c>
      <c r="D297" s="65" t="s">
        <v>1091</v>
      </c>
      <c r="E297" s="65" t="s">
        <v>1079</v>
      </c>
      <c r="F297" s="8" t="s">
        <v>1092</v>
      </c>
    </row>
    <row r="298" spans="1:8" x14ac:dyDescent="0.25">
      <c r="A298" s="66">
        <v>24</v>
      </c>
      <c r="B298" s="6" t="s">
        <v>1078</v>
      </c>
      <c r="C298" s="6" t="s">
        <v>1087</v>
      </c>
      <c r="D298" s="67" t="s">
        <v>1091</v>
      </c>
      <c r="E298" s="67" t="s">
        <v>1079</v>
      </c>
      <c r="F298" s="6" t="s">
        <v>1092</v>
      </c>
    </row>
    <row r="299" spans="1:8" x14ac:dyDescent="0.25">
      <c r="A299" s="66">
        <v>24</v>
      </c>
      <c r="B299" s="6" t="s">
        <v>1082</v>
      </c>
      <c r="C299" s="6" t="s">
        <v>1087</v>
      </c>
      <c r="D299" s="67" t="s">
        <v>1091</v>
      </c>
      <c r="E299" s="67" t="s">
        <v>1079</v>
      </c>
      <c r="F299" s="6" t="s">
        <v>1072</v>
      </c>
    </row>
    <row r="300" spans="1:8" x14ac:dyDescent="0.25">
      <c r="A300" s="64">
        <v>30</v>
      </c>
      <c r="B300" s="8" t="s">
        <v>1085</v>
      </c>
      <c r="C300" s="8" t="s">
        <v>1087</v>
      </c>
      <c r="D300" s="65" t="s">
        <v>1091</v>
      </c>
      <c r="E300" s="65" t="s">
        <v>1079</v>
      </c>
      <c r="F300" s="8" t="s">
        <v>1072</v>
      </c>
    </row>
    <row r="301" spans="1:8" ht="15.75" thickBot="1" x14ac:dyDescent="0.3">
      <c r="A301" s="68" t="s">
        <v>1093</v>
      </c>
      <c r="B301" s="10" t="s">
        <v>1094</v>
      </c>
      <c r="C301" s="10" t="s">
        <v>1087</v>
      </c>
      <c r="D301" s="176" t="s">
        <v>1091</v>
      </c>
      <c r="E301" s="176" t="s">
        <v>1079</v>
      </c>
      <c r="F301" s="10" t="s">
        <v>1072</v>
      </c>
    </row>
    <row r="303" spans="1:8" ht="15.75" thickBot="1" x14ac:dyDescent="0.3"/>
    <row r="304" spans="1:8" ht="15.75" thickBot="1" x14ac:dyDescent="0.3">
      <c r="A304" s="346" t="s">
        <v>1148</v>
      </c>
      <c r="B304" s="347"/>
      <c r="C304" s="347"/>
      <c r="D304" s="347"/>
      <c r="E304" s="347"/>
      <c r="F304" s="347"/>
      <c r="G304" s="347"/>
      <c r="H304" s="348"/>
    </row>
    <row r="305" spans="1:10" x14ac:dyDescent="0.25">
      <c r="A305" s="349" t="s">
        <v>1097</v>
      </c>
      <c r="B305" s="355"/>
      <c r="C305" s="355"/>
      <c r="D305" s="355"/>
      <c r="E305" s="355"/>
      <c r="F305" s="355"/>
      <c r="G305" s="355"/>
      <c r="H305" s="368"/>
    </row>
    <row r="306" spans="1:10" ht="15.75" thickBot="1" x14ac:dyDescent="0.3">
      <c r="A306" s="369"/>
      <c r="B306" s="370"/>
      <c r="C306" s="370"/>
      <c r="D306" s="370"/>
      <c r="E306" s="370"/>
      <c r="F306" s="370"/>
      <c r="G306" s="370"/>
      <c r="H306" s="371"/>
    </row>
    <row r="307" spans="1:10" ht="15.75" thickBot="1" x14ac:dyDescent="0.3">
      <c r="A307" s="262"/>
      <c r="B307" s="214" t="s">
        <v>1101</v>
      </c>
      <c r="C307" s="365" t="s">
        <v>1218</v>
      </c>
      <c r="D307" s="366"/>
      <c r="E307" s="366"/>
      <c r="F307" s="366"/>
      <c r="G307" s="366"/>
      <c r="H307" s="367"/>
    </row>
    <row r="308" spans="1:10" ht="15.75" customHeight="1" thickBot="1" x14ac:dyDescent="0.3">
      <c r="A308" s="263" t="s">
        <v>1097</v>
      </c>
      <c r="B308" s="264" t="s">
        <v>1106</v>
      </c>
      <c r="C308" s="263" t="s">
        <v>1219</v>
      </c>
      <c r="D308" s="263" t="s">
        <v>1159</v>
      </c>
      <c r="E308" s="265" t="s">
        <v>1220</v>
      </c>
      <c r="F308" s="263" t="s">
        <v>1221</v>
      </c>
      <c r="G308" s="265" t="s">
        <v>1222</v>
      </c>
      <c r="H308" s="265" t="s">
        <v>1223</v>
      </c>
    </row>
    <row r="309" spans="1:10" x14ac:dyDescent="0.25">
      <c r="A309" s="205" t="s">
        <v>1110</v>
      </c>
      <c r="B309" s="206">
        <v>7288</v>
      </c>
      <c r="C309" s="233">
        <v>60.3</v>
      </c>
      <c r="D309" s="233">
        <v>40</v>
      </c>
      <c r="E309" s="233">
        <v>3.91</v>
      </c>
      <c r="F309" s="233">
        <f>C309-E309*2</f>
        <v>52.48</v>
      </c>
      <c r="G309" s="268">
        <f>(PI()*((C309/1000)^2-(F309/1000)^2))*(7800/4)</f>
        <v>5.4028551881263436</v>
      </c>
      <c r="H309" s="268">
        <f>(PI()/4)*((C309/(25.4*2))^4-(F309/(25.4*2))^4)</f>
        <v>0.66464703563020611</v>
      </c>
      <c r="I309" s="261"/>
      <c r="J309" s="261"/>
    </row>
    <row r="310" spans="1:10" x14ac:dyDescent="0.25">
      <c r="A310" s="207" t="s">
        <v>1111</v>
      </c>
      <c r="B310" s="208">
        <v>9501</v>
      </c>
      <c r="C310" s="234">
        <v>60.3</v>
      </c>
      <c r="D310" s="234">
        <v>80</v>
      </c>
      <c r="E310" s="234">
        <v>5.54</v>
      </c>
      <c r="F310" s="234">
        <f t="shared" ref="F310:F333" si="1">C310-E310*2</f>
        <v>49.22</v>
      </c>
      <c r="G310" s="269">
        <f t="shared" ref="G310:G333" si="2">(PI()*((C310/1000)^2-(F310/1000)^2))*(7800/4)</f>
        <v>7.4339165156614557</v>
      </c>
      <c r="H310" s="269">
        <f t="shared" ref="H310:H333" si="3">(PI()/4)*((C310/(25.4*2))^4-(F310/(25.4*2))^4)</f>
        <v>0.86705682626277869</v>
      </c>
    </row>
    <row r="311" spans="1:10" x14ac:dyDescent="0.25">
      <c r="A311" s="205" t="s">
        <v>1112</v>
      </c>
      <c r="B311" s="206">
        <v>13832</v>
      </c>
      <c r="C311" s="233">
        <v>73</v>
      </c>
      <c r="D311" s="233">
        <v>40</v>
      </c>
      <c r="E311" s="233">
        <v>5.16</v>
      </c>
      <c r="F311" s="233">
        <f t="shared" si="1"/>
        <v>62.68</v>
      </c>
      <c r="G311" s="268">
        <f t="shared" si="2"/>
        <v>8.5778809848949056</v>
      </c>
      <c r="H311" s="268">
        <f t="shared" si="3"/>
        <v>1.5287537420604522</v>
      </c>
    </row>
    <row r="312" spans="1:10" x14ac:dyDescent="0.25">
      <c r="A312" s="207" t="s">
        <v>1113</v>
      </c>
      <c r="B312" s="208">
        <v>17402</v>
      </c>
      <c r="C312" s="234">
        <v>73</v>
      </c>
      <c r="D312" s="234">
        <v>80</v>
      </c>
      <c r="E312" s="234">
        <v>7.01</v>
      </c>
      <c r="F312" s="234">
        <f t="shared" si="1"/>
        <v>58.980000000000004</v>
      </c>
      <c r="G312" s="269">
        <f t="shared" si="2"/>
        <v>11.335498445425722</v>
      </c>
      <c r="H312" s="269">
        <f t="shared" si="3"/>
        <v>1.9219883228343888</v>
      </c>
    </row>
    <row r="313" spans="1:10" x14ac:dyDescent="0.25">
      <c r="A313" s="205" t="s">
        <v>1115</v>
      </c>
      <c r="B313" s="206">
        <v>17402</v>
      </c>
      <c r="C313" s="233">
        <v>73</v>
      </c>
      <c r="D313" s="233">
        <v>80</v>
      </c>
      <c r="E313" s="233">
        <v>7.01</v>
      </c>
      <c r="F313" s="233">
        <f t="shared" si="1"/>
        <v>58.980000000000004</v>
      </c>
      <c r="G313" s="268">
        <f t="shared" si="2"/>
        <v>11.335498445425722</v>
      </c>
      <c r="H313" s="268">
        <f t="shared" si="3"/>
        <v>1.9219883228343888</v>
      </c>
    </row>
    <row r="314" spans="1:10" x14ac:dyDescent="0.25">
      <c r="A314" s="207" t="s">
        <v>1116</v>
      </c>
      <c r="B314" s="208">
        <v>22413</v>
      </c>
      <c r="C314" s="234">
        <v>88.9</v>
      </c>
      <c r="D314" s="234">
        <v>40</v>
      </c>
      <c r="E314" s="234">
        <v>5.49</v>
      </c>
      <c r="F314" s="234">
        <f t="shared" si="1"/>
        <v>77.92</v>
      </c>
      <c r="G314" s="269">
        <f t="shared" si="2"/>
        <v>11.221087295848765</v>
      </c>
      <c r="H314" s="269">
        <f t="shared" si="3"/>
        <v>3.0187636642797884</v>
      </c>
    </row>
    <row r="315" spans="1:10" x14ac:dyDescent="0.25">
      <c r="A315" s="205" t="s">
        <v>1117</v>
      </c>
      <c r="B315" s="206">
        <v>28929</v>
      </c>
      <c r="C315" s="233">
        <v>88.9</v>
      </c>
      <c r="D315" s="233">
        <v>80</v>
      </c>
      <c r="E315" s="233">
        <v>7.62</v>
      </c>
      <c r="F315" s="233">
        <f t="shared" si="1"/>
        <v>73.660000000000011</v>
      </c>
      <c r="G315" s="268">
        <f t="shared" si="2"/>
        <v>15.176902413928241</v>
      </c>
      <c r="H315" s="268">
        <f t="shared" si="3"/>
        <v>3.894318253389907</v>
      </c>
    </row>
    <row r="316" spans="1:10" x14ac:dyDescent="0.25">
      <c r="A316" s="207" t="s">
        <v>1118</v>
      </c>
      <c r="B316" s="208">
        <v>42631</v>
      </c>
      <c r="C316" s="234">
        <v>88.9</v>
      </c>
      <c r="D316" s="234">
        <v>80</v>
      </c>
      <c r="E316" s="234">
        <v>7.62</v>
      </c>
      <c r="F316" s="234">
        <f t="shared" si="1"/>
        <v>73.660000000000011</v>
      </c>
      <c r="G316" s="269">
        <f t="shared" si="2"/>
        <v>15.176902413928241</v>
      </c>
      <c r="H316" s="269">
        <f t="shared" si="3"/>
        <v>3.894318253389907</v>
      </c>
    </row>
    <row r="317" spans="1:10" x14ac:dyDescent="0.25">
      <c r="A317" s="205" t="s">
        <v>1120</v>
      </c>
      <c r="B317" s="206">
        <v>31120</v>
      </c>
      <c r="C317" s="233">
        <v>101.6</v>
      </c>
      <c r="D317" s="233">
        <v>40</v>
      </c>
      <c r="E317" s="233">
        <v>5.74</v>
      </c>
      <c r="F317" s="233">
        <f t="shared" si="1"/>
        <v>90.11999999999999</v>
      </c>
      <c r="G317" s="268">
        <f t="shared" si="2"/>
        <v>13.483225329426022</v>
      </c>
      <c r="H317" s="268">
        <f t="shared" si="3"/>
        <v>4.7874423875681922</v>
      </c>
    </row>
    <row r="318" spans="1:10" x14ac:dyDescent="0.25">
      <c r="A318" s="207" t="s">
        <v>1121</v>
      </c>
      <c r="B318" s="208">
        <v>40821</v>
      </c>
      <c r="C318" s="234">
        <v>101.6</v>
      </c>
      <c r="D318" s="234">
        <v>80</v>
      </c>
      <c r="E318" s="234">
        <v>8.08</v>
      </c>
      <c r="F318" s="234">
        <f t="shared" si="1"/>
        <v>85.44</v>
      </c>
      <c r="G318" s="269">
        <f t="shared" si="2"/>
        <v>18.516561174593324</v>
      </c>
      <c r="H318" s="269">
        <f t="shared" si="3"/>
        <v>6.2817366094385143</v>
      </c>
    </row>
    <row r="319" spans="1:10" x14ac:dyDescent="0.25">
      <c r="A319" s="205" t="s">
        <v>1122</v>
      </c>
      <c r="B319" s="206">
        <v>58736</v>
      </c>
      <c r="C319" s="233">
        <v>101.6</v>
      </c>
      <c r="D319" s="233">
        <v>80</v>
      </c>
      <c r="E319" s="233">
        <v>8.08</v>
      </c>
      <c r="F319" s="233">
        <f t="shared" si="1"/>
        <v>85.44</v>
      </c>
      <c r="G319" s="268">
        <f t="shared" si="2"/>
        <v>18.516561174593324</v>
      </c>
      <c r="H319" s="268">
        <f t="shared" si="3"/>
        <v>6.2817366094385143</v>
      </c>
    </row>
    <row r="320" spans="1:10" x14ac:dyDescent="0.25">
      <c r="A320" s="207" t="s">
        <v>1124</v>
      </c>
      <c r="B320" s="208">
        <v>40821</v>
      </c>
      <c r="C320" s="234">
        <v>101.6</v>
      </c>
      <c r="D320" s="234">
        <v>80</v>
      </c>
      <c r="E320" s="234">
        <v>8.08</v>
      </c>
      <c r="F320" s="234">
        <f t="shared" si="1"/>
        <v>85.44</v>
      </c>
      <c r="G320" s="269">
        <f t="shared" si="2"/>
        <v>18.516561174593324</v>
      </c>
      <c r="H320" s="269">
        <f t="shared" si="3"/>
        <v>6.2817366094385143</v>
      </c>
    </row>
    <row r="321" spans="1:8" x14ac:dyDescent="0.25">
      <c r="A321" s="205" t="s">
        <v>1125</v>
      </c>
      <c r="B321" s="206">
        <v>41788</v>
      </c>
      <c r="C321" s="233">
        <v>114.3</v>
      </c>
      <c r="D321" s="233">
        <v>40</v>
      </c>
      <c r="E321" s="233">
        <v>6.02</v>
      </c>
      <c r="F321" s="233">
        <f t="shared" si="1"/>
        <v>102.25999999999999</v>
      </c>
      <c r="G321" s="268">
        <f t="shared" si="2"/>
        <v>15.973100116231691</v>
      </c>
      <c r="H321" s="268">
        <f t="shared" si="3"/>
        <v>7.2328020252803853</v>
      </c>
    </row>
    <row r="322" spans="1:8" x14ac:dyDescent="0.25">
      <c r="A322" s="207" t="s">
        <v>1126</v>
      </c>
      <c r="B322" s="208">
        <v>55527</v>
      </c>
      <c r="C322" s="234">
        <v>114.3</v>
      </c>
      <c r="D322" s="234">
        <v>80</v>
      </c>
      <c r="E322" s="234">
        <v>8.56</v>
      </c>
      <c r="F322" s="234">
        <f t="shared" si="1"/>
        <v>97.179999999999993</v>
      </c>
      <c r="G322" s="269">
        <f t="shared" si="2"/>
        <v>22.17979593610097</v>
      </c>
      <c r="H322" s="269">
        <f t="shared" si="3"/>
        <v>9.6106671597755255</v>
      </c>
    </row>
    <row r="323" spans="1:8" x14ac:dyDescent="0.25">
      <c r="A323" s="205" t="s">
        <v>1127</v>
      </c>
      <c r="B323" s="206">
        <v>78223</v>
      </c>
      <c r="C323" s="233">
        <v>114.3</v>
      </c>
      <c r="D323" s="233">
        <v>80</v>
      </c>
      <c r="E323" s="233">
        <v>8.56</v>
      </c>
      <c r="F323" s="233">
        <f t="shared" si="1"/>
        <v>97.179999999999993</v>
      </c>
      <c r="G323" s="268">
        <f t="shared" si="2"/>
        <v>22.17979593610097</v>
      </c>
      <c r="H323" s="268">
        <f t="shared" si="3"/>
        <v>9.6106671597755255</v>
      </c>
    </row>
    <row r="324" spans="1:8" x14ac:dyDescent="0.25">
      <c r="A324" s="207" t="s">
        <v>1129</v>
      </c>
      <c r="B324" s="208">
        <v>55527</v>
      </c>
      <c r="C324" s="234">
        <v>114.3</v>
      </c>
      <c r="D324" s="234">
        <v>80</v>
      </c>
      <c r="E324" s="234">
        <v>8.56</v>
      </c>
      <c r="F324" s="234">
        <f t="shared" si="1"/>
        <v>97.179999999999993</v>
      </c>
      <c r="G324" s="269">
        <f t="shared" si="2"/>
        <v>22.17979593610097</v>
      </c>
      <c r="H324" s="269">
        <f t="shared" si="3"/>
        <v>9.6106671597755255</v>
      </c>
    </row>
    <row r="325" spans="1:8" x14ac:dyDescent="0.25">
      <c r="A325" s="205" t="s">
        <v>1130</v>
      </c>
      <c r="B325" s="206">
        <v>70791</v>
      </c>
      <c r="C325" s="233">
        <v>114.3</v>
      </c>
      <c r="D325" s="233">
        <v>80</v>
      </c>
      <c r="E325" s="233">
        <v>8.56</v>
      </c>
      <c r="F325" s="233">
        <f t="shared" si="1"/>
        <v>97.179999999999993</v>
      </c>
      <c r="G325" s="268">
        <f t="shared" si="2"/>
        <v>22.17979593610097</v>
      </c>
      <c r="H325" s="268">
        <f t="shared" si="3"/>
        <v>9.6106671597755255</v>
      </c>
    </row>
    <row r="326" spans="1:8" x14ac:dyDescent="0.25">
      <c r="A326" s="207" t="s">
        <v>1131</v>
      </c>
      <c r="B326" s="208">
        <v>96539</v>
      </c>
      <c r="C326" s="234">
        <v>114.3</v>
      </c>
      <c r="D326" s="234">
        <v>80</v>
      </c>
      <c r="E326" s="234">
        <v>8.56</v>
      </c>
      <c r="F326" s="234">
        <f t="shared" si="1"/>
        <v>97.179999999999993</v>
      </c>
      <c r="G326" s="269">
        <f t="shared" si="2"/>
        <v>22.17979593610097</v>
      </c>
      <c r="H326" s="269">
        <f t="shared" si="3"/>
        <v>9.6106671597755255</v>
      </c>
    </row>
    <row r="327" spans="1:8" x14ac:dyDescent="0.25">
      <c r="A327" s="205" t="s">
        <v>1132</v>
      </c>
      <c r="B327" s="206">
        <v>135502</v>
      </c>
      <c r="C327" s="233">
        <v>114.3</v>
      </c>
      <c r="D327" s="233">
        <v>80</v>
      </c>
      <c r="E327" s="233">
        <v>8.56</v>
      </c>
      <c r="F327" s="233">
        <f t="shared" si="1"/>
        <v>97.179999999999993</v>
      </c>
      <c r="G327" s="268">
        <f t="shared" si="2"/>
        <v>22.17979593610097</v>
      </c>
      <c r="H327" s="268">
        <f t="shared" si="3"/>
        <v>9.6106671597755255</v>
      </c>
    </row>
    <row r="328" spans="1:8" x14ac:dyDescent="0.25">
      <c r="A328" s="207" t="s">
        <v>1133</v>
      </c>
      <c r="B328" s="208">
        <v>110445</v>
      </c>
      <c r="C328" s="234">
        <v>168.3</v>
      </c>
      <c r="D328" s="234">
        <v>40</v>
      </c>
      <c r="E328" s="234">
        <v>7.11</v>
      </c>
      <c r="F328" s="234">
        <f t="shared" si="1"/>
        <v>154.08000000000001</v>
      </c>
      <c r="G328" s="269">
        <f t="shared" si="2"/>
        <v>28.083560731250728</v>
      </c>
      <c r="H328" s="269">
        <f t="shared" si="3"/>
        <v>28.148358046209413</v>
      </c>
    </row>
    <row r="329" spans="1:8" x14ac:dyDescent="0.25">
      <c r="A329" s="205" t="s">
        <v>1134</v>
      </c>
      <c r="B329" s="206">
        <v>158907</v>
      </c>
      <c r="C329" s="233">
        <v>168.3</v>
      </c>
      <c r="D329" s="233">
        <v>80</v>
      </c>
      <c r="E329" s="233">
        <v>10.97</v>
      </c>
      <c r="F329" s="233">
        <f t="shared" si="1"/>
        <v>146.36000000000001</v>
      </c>
      <c r="G329" s="268">
        <f t="shared" si="2"/>
        <v>42.2924306291481</v>
      </c>
      <c r="H329" s="268">
        <f t="shared" si="3"/>
        <v>40.501637105244249</v>
      </c>
    </row>
    <row r="330" spans="1:8" x14ac:dyDescent="0.25">
      <c r="A330" s="207" t="s">
        <v>1135</v>
      </c>
      <c r="B330" s="208">
        <v>214041</v>
      </c>
      <c r="C330" s="234">
        <v>168.3</v>
      </c>
      <c r="D330" s="234">
        <v>80</v>
      </c>
      <c r="E330" s="234">
        <v>10.97</v>
      </c>
      <c r="F330" s="234">
        <f t="shared" si="1"/>
        <v>146.36000000000001</v>
      </c>
      <c r="G330" s="269">
        <f t="shared" si="2"/>
        <v>42.2924306291481</v>
      </c>
      <c r="H330" s="269">
        <f t="shared" si="3"/>
        <v>40.501637105244249</v>
      </c>
    </row>
    <row r="331" spans="1:8" x14ac:dyDescent="0.25">
      <c r="A331" s="205" t="s">
        <v>1137</v>
      </c>
      <c r="B331" s="206">
        <v>218518</v>
      </c>
      <c r="C331" s="233">
        <v>219.1</v>
      </c>
      <c r="D331" s="233">
        <v>40</v>
      </c>
      <c r="E331" s="233">
        <v>8.18</v>
      </c>
      <c r="F331" s="233">
        <f t="shared" si="1"/>
        <v>202.74</v>
      </c>
      <c r="G331" s="268">
        <f t="shared" si="2"/>
        <v>42.278107794081116</v>
      </c>
      <c r="H331" s="268">
        <f t="shared" si="3"/>
        <v>72.524431636402284</v>
      </c>
    </row>
    <row r="332" spans="1:8" x14ac:dyDescent="0.25">
      <c r="A332" s="207" t="s">
        <v>1138</v>
      </c>
      <c r="B332" s="208">
        <v>318681</v>
      </c>
      <c r="C332" s="234">
        <v>219.1</v>
      </c>
      <c r="D332" s="234">
        <v>80</v>
      </c>
      <c r="E332" s="234">
        <v>12.7</v>
      </c>
      <c r="F332" s="234">
        <f t="shared" si="1"/>
        <v>193.7</v>
      </c>
      <c r="G332" s="269">
        <f t="shared" si="2"/>
        <v>64.232953129814447</v>
      </c>
      <c r="H332" s="269">
        <f t="shared" si="3"/>
        <v>105.75453045264939</v>
      </c>
    </row>
    <row r="333" spans="1:8" ht="15.75" thickBot="1" x14ac:dyDescent="0.3">
      <c r="A333" s="210" t="s">
        <v>1139</v>
      </c>
      <c r="B333" s="266">
        <v>413200</v>
      </c>
      <c r="C333" s="267">
        <v>219.1</v>
      </c>
      <c r="D333" s="267">
        <v>80</v>
      </c>
      <c r="E333" s="267">
        <v>12.7</v>
      </c>
      <c r="F333" s="267">
        <f t="shared" si="1"/>
        <v>193.7</v>
      </c>
      <c r="G333" s="270">
        <f t="shared" si="2"/>
        <v>64.232953129814447</v>
      </c>
      <c r="H333" s="270">
        <f t="shared" si="3"/>
        <v>105.75453045264939</v>
      </c>
    </row>
    <row r="334" spans="1:8" ht="15.75" thickBot="1" x14ac:dyDescent="0.3"/>
    <row r="335" spans="1:8" ht="15.75" thickBot="1" x14ac:dyDescent="0.3">
      <c r="A335" s="346" t="s">
        <v>1149</v>
      </c>
      <c r="B335" s="347"/>
      <c r="C335" s="347"/>
      <c r="D335" s="347"/>
      <c r="E335" s="348"/>
    </row>
    <row r="336" spans="1:8" ht="15.75" thickBot="1" x14ac:dyDescent="0.3">
      <c r="A336" s="349" t="s">
        <v>1096</v>
      </c>
      <c r="B336" s="355"/>
      <c r="C336" s="356"/>
      <c r="D336" s="351" t="s">
        <v>1098</v>
      </c>
      <c r="E336" s="353"/>
    </row>
    <row r="337" spans="1:5" ht="15.75" thickBot="1" x14ac:dyDescent="0.3">
      <c r="A337" s="357"/>
      <c r="B337" s="358"/>
      <c r="C337" s="359"/>
      <c r="D337" s="360" t="s">
        <v>1099</v>
      </c>
      <c r="E337" s="361"/>
    </row>
    <row r="338" spans="1:5" ht="15.75" thickBot="1" x14ac:dyDescent="0.3">
      <c r="A338" s="201"/>
      <c r="B338" s="344" t="s">
        <v>873</v>
      </c>
      <c r="C338" s="345"/>
      <c r="D338" s="180"/>
      <c r="E338" s="202"/>
    </row>
    <row r="339" spans="1:5" ht="15.75" thickBot="1" x14ac:dyDescent="0.3">
      <c r="A339" s="203" t="s">
        <v>1104</v>
      </c>
      <c r="B339" s="183" t="s">
        <v>1105</v>
      </c>
      <c r="C339" s="12">
        <v>4140</v>
      </c>
      <c r="D339" s="28" t="s">
        <v>1107</v>
      </c>
      <c r="E339" s="204" t="s">
        <v>1108</v>
      </c>
    </row>
    <row r="340" spans="1:5" x14ac:dyDescent="0.25">
      <c r="A340" s="205" t="s">
        <v>1109</v>
      </c>
      <c r="B340" s="185">
        <v>2565</v>
      </c>
      <c r="C340" s="185">
        <v>3552</v>
      </c>
      <c r="D340" s="185">
        <v>3829</v>
      </c>
      <c r="E340" s="206">
        <v>5743</v>
      </c>
    </row>
    <row r="341" spans="1:5" x14ac:dyDescent="0.25">
      <c r="A341" s="205" t="s">
        <v>1114</v>
      </c>
      <c r="B341" s="185">
        <v>6354</v>
      </c>
      <c r="C341" s="185">
        <v>8798</v>
      </c>
      <c r="D341" s="185">
        <v>7977</v>
      </c>
      <c r="E341" s="206">
        <v>11965</v>
      </c>
    </row>
    <row r="342" spans="1:5" x14ac:dyDescent="0.25">
      <c r="A342" s="207" t="s">
        <v>1119</v>
      </c>
      <c r="B342" s="187">
        <v>12558</v>
      </c>
      <c r="C342" s="187">
        <v>17388</v>
      </c>
      <c r="D342" s="187">
        <v>9722</v>
      </c>
      <c r="E342" s="208">
        <v>14582</v>
      </c>
    </row>
    <row r="343" spans="1:5" x14ac:dyDescent="0.25">
      <c r="A343" s="207" t="s">
        <v>1123</v>
      </c>
      <c r="B343" s="187">
        <v>23693</v>
      </c>
      <c r="C343" s="187">
        <v>32806</v>
      </c>
      <c r="D343" s="187">
        <v>17230</v>
      </c>
      <c r="E343" s="208">
        <v>25845</v>
      </c>
    </row>
    <row r="344" spans="1:5" x14ac:dyDescent="0.25">
      <c r="A344" s="207" t="s">
        <v>1128</v>
      </c>
      <c r="B344" s="187">
        <v>35490</v>
      </c>
      <c r="C344" s="187">
        <v>49140</v>
      </c>
      <c r="D344" s="187">
        <v>26872</v>
      </c>
      <c r="E344" s="208">
        <v>40307</v>
      </c>
    </row>
    <row r="345" spans="1:5" x14ac:dyDescent="0.25">
      <c r="A345" s="205" t="s">
        <v>1136</v>
      </c>
      <c r="B345" s="185">
        <v>50538</v>
      </c>
      <c r="C345" s="185">
        <v>69975</v>
      </c>
      <c r="D345" s="185">
        <v>50881</v>
      </c>
      <c r="E345" s="206">
        <v>76322</v>
      </c>
    </row>
    <row r="346" spans="1:5" x14ac:dyDescent="0.25">
      <c r="A346" s="205" t="s">
        <v>1140</v>
      </c>
      <c r="B346" s="185">
        <v>72966</v>
      </c>
      <c r="C346" s="188">
        <v>101030</v>
      </c>
      <c r="D346" s="185">
        <v>70793</v>
      </c>
      <c r="E346" s="209">
        <v>106190</v>
      </c>
    </row>
    <row r="347" spans="1:5" ht="15.75" thickBot="1" x14ac:dyDescent="0.3">
      <c r="A347" s="210" t="s">
        <v>1141</v>
      </c>
      <c r="B347" s="211">
        <v>97404</v>
      </c>
      <c r="C347" s="212">
        <v>119882</v>
      </c>
      <c r="D347" s="212">
        <v>113429</v>
      </c>
      <c r="E347" s="213">
        <v>170143</v>
      </c>
    </row>
    <row r="349" spans="1:5" ht="15.75" thickBot="1" x14ac:dyDescent="0.3"/>
    <row r="350" spans="1:5" ht="15.75" thickBot="1" x14ac:dyDescent="0.3">
      <c r="A350" s="346" t="s">
        <v>1182</v>
      </c>
      <c r="B350" s="347"/>
      <c r="C350" s="348"/>
    </row>
    <row r="351" spans="1:5" ht="15.75" thickBot="1" x14ac:dyDescent="0.3">
      <c r="A351" s="243" t="s">
        <v>1062</v>
      </c>
      <c r="B351" s="243" t="s">
        <v>1168</v>
      </c>
      <c r="C351" s="243" t="s">
        <v>1169</v>
      </c>
    </row>
    <row r="352" spans="1:5" x14ac:dyDescent="0.25">
      <c r="A352" s="196" t="s">
        <v>1170</v>
      </c>
      <c r="B352" s="244">
        <v>0.8</v>
      </c>
      <c r="C352" s="76">
        <v>0.16</v>
      </c>
    </row>
    <row r="353" spans="1:8" x14ac:dyDescent="0.25">
      <c r="A353" s="107" t="s">
        <v>1171</v>
      </c>
      <c r="B353" s="108">
        <v>0.4</v>
      </c>
      <c r="C353" s="78">
        <v>0.21</v>
      </c>
    </row>
    <row r="354" spans="1:8" x14ac:dyDescent="0.25">
      <c r="A354" s="105" t="s">
        <v>1172</v>
      </c>
      <c r="B354" s="106">
        <v>0.35</v>
      </c>
      <c r="C354" s="77">
        <v>0.19</v>
      </c>
    </row>
    <row r="355" spans="1:8" x14ac:dyDescent="0.25">
      <c r="A355" s="107" t="s">
        <v>1172</v>
      </c>
      <c r="B355" s="108">
        <v>0.13</v>
      </c>
      <c r="C355" s="78">
        <v>0.16</v>
      </c>
    </row>
    <row r="356" spans="1:8" x14ac:dyDescent="0.25">
      <c r="A356" s="105" t="s">
        <v>1173</v>
      </c>
      <c r="B356" s="106">
        <v>1</v>
      </c>
      <c r="C356" s="77" t="s">
        <v>1174</v>
      </c>
    </row>
    <row r="357" spans="1:8" x14ac:dyDescent="0.25">
      <c r="A357" s="107" t="s">
        <v>1175</v>
      </c>
      <c r="B357" s="108">
        <v>0.25</v>
      </c>
      <c r="C357" s="78">
        <v>0.08</v>
      </c>
    </row>
    <row r="358" spans="1:8" x14ac:dyDescent="0.25">
      <c r="A358" s="105" t="s">
        <v>1176</v>
      </c>
      <c r="B358" s="106">
        <v>0.25</v>
      </c>
      <c r="C358" s="77">
        <v>0.1</v>
      </c>
    </row>
    <row r="359" spans="1:8" x14ac:dyDescent="0.25">
      <c r="A359" s="107" t="s">
        <v>1177</v>
      </c>
      <c r="B359" s="108">
        <v>1.35</v>
      </c>
      <c r="C359" s="78">
        <v>0.3</v>
      </c>
    </row>
    <row r="360" spans="1:8" x14ac:dyDescent="0.25">
      <c r="A360" s="105" t="s">
        <v>1178</v>
      </c>
      <c r="B360" s="106">
        <v>1</v>
      </c>
      <c r="C360" s="77">
        <v>0.08</v>
      </c>
    </row>
    <row r="361" spans="1:8" x14ac:dyDescent="0.25">
      <c r="A361" s="107" t="s">
        <v>1179</v>
      </c>
      <c r="B361" s="108" t="s">
        <v>1180</v>
      </c>
      <c r="C361" s="78" t="s">
        <v>1180</v>
      </c>
    </row>
    <row r="362" spans="1:8" ht="15.75" thickBot="1" x14ac:dyDescent="0.3">
      <c r="A362" s="111" t="s">
        <v>1181</v>
      </c>
      <c r="B362" s="102">
        <v>0.8</v>
      </c>
      <c r="C362" s="245">
        <v>0.8</v>
      </c>
    </row>
    <row r="363" spans="1:8" ht="15.75" thickBot="1" x14ac:dyDescent="0.3">
      <c r="A363" s="56"/>
      <c r="B363" s="56"/>
      <c r="C363" s="56"/>
    </row>
    <row r="364" spans="1:8" ht="15.75" thickBot="1" x14ac:dyDescent="0.3">
      <c r="A364" s="346" t="s">
        <v>1213</v>
      </c>
      <c r="B364" s="347"/>
      <c r="C364" s="347"/>
      <c r="D364" s="347"/>
      <c r="E364" s="347"/>
      <c r="F364" s="347"/>
      <c r="G364" s="347"/>
      <c r="H364" s="348"/>
    </row>
    <row r="365" spans="1:8" ht="15.75" thickBot="1" x14ac:dyDescent="0.3">
      <c r="A365" s="349" t="s">
        <v>911</v>
      </c>
      <c r="B365" s="351" t="s">
        <v>1212</v>
      </c>
      <c r="C365" s="352"/>
      <c r="D365" s="352"/>
      <c r="E365" s="352"/>
      <c r="F365" s="352"/>
      <c r="G365" s="352"/>
      <c r="H365" s="353"/>
    </row>
    <row r="366" spans="1:8" ht="15.75" thickBot="1" x14ac:dyDescent="0.3">
      <c r="A366" s="350"/>
      <c r="B366" s="272">
        <v>0.1875</v>
      </c>
      <c r="C366" s="271">
        <v>0.25</v>
      </c>
      <c r="D366" s="271">
        <v>0.375</v>
      </c>
      <c r="E366" s="271">
        <v>0.5</v>
      </c>
      <c r="F366" s="271">
        <v>0.625</v>
      </c>
      <c r="G366" s="271">
        <v>0.75</v>
      </c>
      <c r="H366" s="275">
        <v>1</v>
      </c>
    </row>
    <row r="367" spans="1:8" x14ac:dyDescent="0.25">
      <c r="A367" s="105">
        <v>6</v>
      </c>
      <c r="B367" s="8">
        <v>0.60599999999999998</v>
      </c>
      <c r="C367" s="8">
        <v>0.80800000000000005</v>
      </c>
      <c r="D367" s="8">
        <v>1.212</v>
      </c>
      <c r="E367" s="8">
        <v>1.617</v>
      </c>
      <c r="F367" s="8">
        <v>2.0209999999999999</v>
      </c>
      <c r="G367" s="8">
        <v>2.4249999999999998</v>
      </c>
      <c r="H367" s="106">
        <v>3.2330000000000001</v>
      </c>
    </row>
    <row r="368" spans="1:8" x14ac:dyDescent="0.25">
      <c r="A368" s="107">
        <v>9</v>
      </c>
      <c r="B368" s="6">
        <v>1.4590000000000001</v>
      </c>
      <c r="C368" s="273">
        <f>B368*(C366/B366)</f>
        <v>1.9453333333333334</v>
      </c>
      <c r="D368" s="273">
        <f t="shared" ref="D368:G368" si="4">C368*(D366/C366)</f>
        <v>2.9180000000000001</v>
      </c>
      <c r="E368" s="273">
        <f t="shared" si="4"/>
        <v>3.8906666666666667</v>
      </c>
      <c r="F368" s="273">
        <f t="shared" si="4"/>
        <v>4.8633333333333333</v>
      </c>
      <c r="G368" s="273">
        <f t="shared" si="4"/>
        <v>5.8359999999999994</v>
      </c>
      <c r="H368" s="276">
        <f>G368*(H366/G366)</f>
        <v>7.7813333333333325</v>
      </c>
    </row>
    <row r="369" spans="1:8" x14ac:dyDescent="0.25">
      <c r="A369" s="105">
        <v>12</v>
      </c>
      <c r="B369" s="8">
        <v>2.6520000000000001</v>
      </c>
      <c r="C369" s="274">
        <f>B369*(C366/B366)</f>
        <v>3.536</v>
      </c>
      <c r="D369" s="274">
        <f t="shared" ref="D369:G369" si="5">C369*(D366/C366)</f>
        <v>5.3040000000000003</v>
      </c>
      <c r="E369" s="274">
        <f t="shared" si="5"/>
        <v>7.0720000000000001</v>
      </c>
      <c r="F369" s="274">
        <f t="shared" si="5"/>
        <v>8.84</v>
      </c>
      <c r="G369" s="274">
        <f t="shared" si="5"/>
        <v>10.607999999999999</v>
      </c>
      <c r="H369" s="277">
        <f>G369*(H366/G366)</f>
        <v>14.143999999999998</v>
      </c>
    </row>
    <row r="370" spans="1:8" x14ac:dyDescent="0.25">
      <c r="A370" s="107">
        <v>14</v>
      </c>
      <c r="B370" s="6">
        <v>3.637</v>
      </c>
      <c r="C370" s="273">
        <f>B370*(C366/B366)</f>
        <v>4.8493333333333331</v>
      </c>
      <c r="D370" s="273">
        <f t="shared" ref="D370:G370" si="6">C370*(D366/C366)</f>
        <v>7.2739999999999991</v>
      </c>
      <c r="E370" s="273">
        <f t="shared" si="6"/>
        <v>9.6986666666666643</v>
      </c>
      <c r="F370" s="273">
        <f t="shared" si="6"/>
        <v>12.123333333333331</v>
      </c>
      <c r="G370" s="273">
        <f t="shared" si="6"/>
        <v>14.547999999999996</v>
      </c>
      <c r="H370" s="276">
        <f>G370*(H366/G366)</f>
        <v>19.397333333333329</v>
      </c>
    </row>
    <row r="371" spans="1:8" x14ac:dyDescent="0.25">
      <c r="A371" s="105">
        <v>16</v>
      </c>
      <c r="B371" s="8">
        <v>4.774</v>
      </c>
      <c r="C371" s="274">
        <f>B371*(C366/B366)</f>
        <v>6.3653333333333331</v>
      </c>
      <c r="D371" s="274">
        <f t="shared" ref="D371:G371" si="7">C371*(D366/C366)</f>
        <v>9.548</v>
      </c>
      <c r="E371" s="274">
        <f t="shared" si="7"/>
        <v>12.730666666666666</v>
      </c>
      <c r="F371" s="274">
        <f t="shared" si="7"/>
        <v>15.913333333333332</v>
      </c>
      <c r="G371" s="274">
        <f t="shared" si="7"/>
        <v>19.095999999999997</v>
      </c>
      <c r="H371" s="277">
        <f>G371*(H366/G366)</f>
        <v>25.461333333333329</v>
      </c>
    </row>
    <row r="372" spans="1:8" x14ac:dyDescent="0.25">
      <c r="A372" s="107">
        <v>18</v>
      </c>
      <c r="B372" s="6">
        <v>6.0620000000000003</v>
      </c>
      <c r="C372" s="273">
        <f>B372*(C366/B366)</f>
        <v>8.0826666666666664</v>
      </c>
      <c r="D372" s="273">
        <f t="shared" ref="D372:G372" si="8">C372*(D366/C366)</f>
        <v>12.123999999999999</v>
      </c>
      <c r="E372" s="273">
        <f t="shared" si="8"/>
        <v>16.165333333333329</v>
      </c>
      <c r="F372" s="273">
        <f t="shared" si="8"/>
        <v>20.206666666666663</v>
      </c>
      <c r="G372" s="273">
        <f t="shared" si="8"/>
        <v>24.247999999999994</v>
      </c>
      <c r="H372" s="276">
        <f>G372*(H366/G366)</f>
        <v>32.330666666666659</v>
      </c>
    </row>
    <row r="373" spans="1:8" x14ac:dyDescent="0.25">
      <c r="A373" s="105">
        <v>20</v>
      </c>
      <c r="B373" s="8">
        <v>7.5019999999999998</v>
      </c>
      <c r="C373" s="274">
        <f>B373*(C366/B366)</f>
        <v>10.002666666666666</v>
      </c>
      <c r="D373" s="274">
        <f t="shared" ref="D373:G373" si="9">C373*(D366/C366)</f>
        <v>15.004</v>
      </c>
      <c r="E373" s="274">
        <f t="shared" si="9"/>
        <v>20.005333333333333</v>
      </c>
      <c r="F373" s="274">
        <f t="shared" si="9"/>
        <v>25.006666666666668</v>
      </c>
      <c r="G373" s="274">
        <f t="shared" si="9"/>
        <v>30.007999999999999</v>
      </c>
      <c r="H373" s="277">
        <f>G373*(H366/G366)</f>
        <v>40.010666666666665</v>
      </c>
    </row>
    <row r="374" spans="1:8" x14ac:dyDescent="0.25">
      <c r="A374" s="107">
        <v>24</v>
      </c>
      <c r="B374" s="6">
        <v>10.836</v>
      </c>
      <c r="C374" s="273">
        <f>B374*(C366/B366)</f>
        <v>14.448</v>
      </c>
      <c r="D374" s="273">
        <f t="shared" ref="D374:G374" si="10">C374*(D366/C366)</f>
        <v>21.672000000000001</v>
      </c>
      <c r="E374" s="273">
        <f t="shared" si="10"/>
        <v>28.896000000000001</v>
      </c>
      <c r="F374" s="273">
        <f t="shared" si="10"/>
        <v>36.120000000000005</v>
      </c>
      <c r="G374" s="273">
        <f t="shared" si="10"/>
        <v>43.344000000000001</v>
      </c>
      <c r="H374" s="276">
        <f>G374*(H366/G366)</f>
        <v>57.792000000000002</v>
      </c>
    </row>
    <row r="375" spans="1:8" x14ac:dyDescent="0.25">
      <c r="A375" s="105">
        <v>30</v>
      </c>
      <c r="B375" s="8">
        <v>16.972999999999999</v>
      </c>
      <c r="C375" s="274">
        <f>B375*(C366/B366)</f>
        <v>22.630666666666663</v>
      </c>
      <c r="D375" s="274">
        <f t="shared" ref="D375:G375" si="11">C375*(D366/C366)</f>
        <v>33.945999999999998</v>
      </c>
      <c r="E375" s="274">
        <f t="shared" si="11"/>
        <v>45.261333333333326</v>
      </c>
      <c r="F375" s="274">
        <f t="shared" si="11"/>
        <v>56.576666666666654</v>
      </c>
      <c r="G375" s="274">
        <f t="shared" si="11"/>
        <v>67.891999999999982</v>
      </c>
      <c r="H375" s="277">
        <f>G375*(H366/G366)</f>
        <v>90.522666666666638</v>
      </c>
    </row>
    <row r="376" spans="1:8" ht="15.75" thickBot="1" x14ac:dyDescent="0.3">
      <c r="A376" s="278">
        <v>36</v>
      </c>
      <c r="B376" s="279">
        <v>24.475000000000001</v>
      </c>
      <c r="C376" s="280">
        <f>B376*(C366/B366)</f>
        <v>32.633333333333333</v>
      </c>
      <c r="D376" s="280">
        <f t="shared" ref="D376:G376" si="12">C376*(D366/C366)</f>
        <v>48.95</v>
      </c>
      <c r="E376" s="280">
        <f t="shared" si="12"/>
        <v>65.266666666666666</v>
      </c>
      <c r="F376" s="280">
        <f t="shared" si="12"/>
        <v>81.583333333333329</v>
      </c>
      <c r="G376" s="280">
        <f t="shared" si="12"/>
        <v>97.899999999999991</v>
      </c>
      <c r="H376" s="281">
        <f>G376*(H366/G366)</f>
        <v>130.5333333333333</v>
      </c>
    </row>
    <row r="378" spans="1:8" ht="15.75" thickBot="1" x14ac:dyDescent="0.3"/>
    <row r="379" spans="1:8" ht="15.75" thickBot="1" x14ac:dyDescent="0.3">
      <c r="A379" s="346" t="s">
        <v>1231</v>
      </c>
      <c r="B379" s="348"/>
    </row>
    <row r="380" spans="1:8" x14ac:dyDescent="0.25">
      <c r="A380" s="305" t="s">
        <v>1229</v>
      </c>
      <c r="B380" s="306" t="s">
        <v>1230</v>
      </c>
    </row>
    <row r="381" spans="1:8" x14ac:dyDescent="0.25">
      <c r="A381" s="107">
        <v>0</v>
      </c>
      <c r="B381" s="276">
        <v>1</v>
      </c>
    </row>
    <row r="382" spans="1:8" x14ac:dyDescent="0.25">
      <c r="A382" s="105">
        <v>5</v>
      </c>
      <c r="B382" s="277">
        <v>0.9</v>
      </c>
    </row>
    <row r="383" spans="1:8" x14ac:dyDescent="0.25">
      <c r="A383" s="107">
        <v>10</v>
      </c>
      <c r="B383" s="276">
        <v>0.8</v>
      </c>
    </row>
    <row r="384" spans="1:8" x14ac:dyDescent="0.25">
      <c r="A384" s="105">
        <v>15</v>
      </c>
      <c r="B384" s="277">
        <v>0.7</v>
      </c>
    </row>
    <row r="385" spans="1:2" x14ac:dyDescent="0.25">
      <c r="A385" s="107">
        <v>20</v>
      </c>
      <c r="B385" s="276">
        <v>0.65</v>
      </c>
    </row>
    <row r="386" spans="1:2" x14ac:dyDescent="0.25">
      <c r="A386" s="105">
        <v>25</v>
      </c>
      <c r="B386" s="277">
        <v>0.54</v>
      </c>
    </row>
    <row r="387" spans="1:2" x14ac:dyDescent="0.25">
      <c r="A387" s="107">
        <v>30</v>
      </c>
      <c r="B387" s="276">
        <v>0.45</v>
      </c>
    </row>
    <row r="388" spans="1:2" x14ac:dyDescent="0.25">
      <c r="A388" s="105">
        <v>35</v>
      </c>
      <c r="B388" s="277">
        <v>0.36</v>
      </c>
    </row>
    <row r="389" spans="1:2" x14ac:dyDescent="0.25">
      <c r="A389" s="107">
        <v>40</v>
      </c>
      <c r="B389" s="276">
        <v>0.27</v>
      </c>
    </row>
    <row r="390" spans="1:2" ht="15.75" thickBot="1" x14ac:dyDescent="0.3">
      <c r="A390" s="111">
        <v>45</v>
      </c>
      <c r="B390" s="307">
        <v>0.18</v>
      </c>
    </row>
  </sheetData>
  <mergeCells count="55">
    <mergeCell ref="A1:B1"/>
    <mergeCell ref="B2:B3"/>
    <mergeCell ref="A44:E44"/>
    <mergeCell ref="A45:B45"/>
    <mergeCell ref="C45:E45"/>
    <mergeCell ref="A46:B46"/>
    <mergeCell ref="A43:F43"/>
    <mergeCell ref="D11:F17"/>
    <mergeCell ref="A47:B47"/>
    <mergeCell ref="A48:B48"/>
    <mergeCell ref="A51:B51"/>
    <mergeCell ref="A49:B49"/>
    <mergeCell ref="A50:B50"/>
    <mergeCell ref="B55:C58"/>
    <mergeCell ref="C61:F65"/>
    <mergeCell ref="A59:E59"/>
    <mergeCell ref="A60:E60"/>
    <mergeCell ref="A52:E52"/>
    <mergeCell ref="A53:C54"/>
    <mergeCell ref="D53:F53"/>
    <mergeCell ref="A68:A70"/>
    <mergeCell ref="B68:B70"/>
    <mergeCell ref="A67:F67"/>
    <mergeCell ref="A93:F93"/>
    <mergeCell ref="A128:B128"/>
    <mergeCell ref="A216:B216"/>
    <mergeCell ref="A237:A250"/>
    <mergeCell ref="A234:C234"/>
    <mergeCell ref="A145:F145"/>
    <mergeCell ref="C201:D201"/>
    <mergeCell ref="A167:B167"/>
    <mergeCell ref="A200:E200"/>
    <mergeCell ref="A209:B209"/>
    <mergeCell ref="A208:B208"/>
    <mergeCell ref="B286:E286"/>
    <mergeCell ref="A255:F255"/>
    <mergeCell ref="A336:C337"/>
    <mergeCell ref="D336:E336"/>
    <mergeCell ref="D337:E337"/>
    <mergeCell ref="A256:A257"/>
    <mergeCell ref="B256:B257"/>
    <mergeCell ref="C256:C257"/>
    <mergeCell ref="D256:D257"/>
    <mergeCell ref="B258:E258"/>
    <mergeCell ref="B270:E270"/>
    <mergeCell ref="C307:H307"/>
    <mergeCell ref="A305:H306"/>
    <mergeCell ref="A304:H304"/>
    <mergeCell ref="B338:C338"/>
    <mergeCell ref="A335:E335"/>
    <mergeCell ref="A379:B379"/>
    <mergeCell ref="A350:C350"/>
    <mergeCell ref="A365:A366"/>
    <mergeCell ref="B365:H365"/>
    <mergeCell ref="A364:H36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B218-1A70-407B-9D2D-5F590D99E4A9}">
  <sheetPr filterMode="1"/>
  <dimension ref="A1:O441"/>
  <sheetViews>
    <sheetView workbookViewId="0">
      <selection activeCell="A73" sqref="A73"/>
    </sheetView>
  </sheetViews>
  <sheetFormatPr baseColWidth="10" defaultRowHeight="15" x14ac:dyDescent="0.25"/>
  <cols>
    <col min="1" max="1" width="31.42578125" customWidth="1"/>
    <col min="2" max="4" width="9.85546875" customWidth="1"/>
    <col min="5" max="5" width="8.42578125" bestFit="1" customWidth="1"/>
    <col min="6" max="6" width="8.85546875" bestFit="1" customWidth="1"/>
    <col min="7" max="7" width="8.5703125" bestFit="1" customWidth="1"/>
    <col min="8" max="8" width="8.85546875" customWidth="1"/>
    <col min="10" max="10" width="74.85546875" bestFit="1" customWidth="1"/>
    <col min="11" max="11" width="23.28515625" bestFit="1" customWidth="1"/>
    <col min="12" max="12" width="30.42578125" bestFit="1" customWidth="1"/>
    <col min="13" max="13" width="20.85546875" bestFit="1" customWidth="1"/>
    <col min="14" max="14" width="10" bestFit="1" customWidth="1"/>
    <col min="15" max="15" width="135.7109375" bestFit="1" customWidth="1"/>
    <col min="16" max="16" width="23" bestFit="1" customWidth="1"/>
  </cols>
  <sheetData>
    <row r="1" spans="1:15" ht="15.75" thickBot="1" x14ac:dyDescent="0.3">
      <c r="A1" s="439" t="s">
        <v>873</v>
      </c>
      <c r="B1" s="438" t="s">
        <v>874</v>
      </c>
      <c r="C1" s="438" t="s">
        <v>875</v>
      </c>
      <c r="D1" s="438" t="s">
        <v>876</v>
      </c>
      <c r="E1" s="442" t="s">
        <v>877</v>
      </c>
      <c r="F1" s="443"/>
      <c r="G1" s="444"/>
      <c r="H1" s="438" t="s">
        <v>878</v>
      </c>
      <c r="I1" s="438" t="s">
        <v>879</v>
      </c>
    </row>
    <row r="2" spans="1:15" ht="15.75" customHeight="1" thickBot="1" x14ac:dyDescent="0.3">
      <c r="A2" s="440"/>
      <c r="B2" s="362"/>
      <c r="C2" s="362" t="s">
        <v>67</v>
      </c>
      <c r="D2" s="362"/>
      <c r="E2" s="445"/>
      <c r="F2" s="358"/>
      <c r="G2" s="359"/>
      <c r="H2" s="362"/>
      <c r="I2" s="362"/>
      <c r="K2" s="432" t="s">
        <v>883</v>
      </c>
      <c r="L2" s="433"/>
    </row>
    <row r="3" spans="1:15" ht="15.75" thickBot="1" x14ac:dyDescent="0.3">
      <c r="A3" s="441"/>
      <c r="B3" s="363"/>
      <c r="C3" s="363"/>
      <c r="D3" s="363"/>
      <c r="E3" s="11" t="s">
        <v>880</v>
      </c>
      <c r="F3" s="11" t="s">
        <v>881</v>
      </c>
      <c r="G3" s="11" t="s">
        <v>882</v>
      </c>
      <c r="H3" s="2" t="s">
        <v>68</v>
      </c>
      <c r="I3" s="363"/>
      <c r="K3" s="434"/>
      <c r="L3" s="435"/>
    </row>
    <row r="4" spans="1:15" ht="22.5" x14ac:dyDescent="0.25">
      <c r="A4" s="23" t="str">
        <f>A1</f>
        <v>MATERIAL</v>
      </c>
      <c r="B4" s="23" t="str">
        <f t="shared" ref="B4:D4" si="0">B1</f>
        <v>MATERIAL CLASS CODE</v>
      </c>
      <c r="C4" s="23" t="str">
        <f t="shared" si="0"/>
        <v>CONVEY LOADING</v>
      </c>
      <c r="D4" s="23" t="str">
        <f t="shared" si="0"/>
        <v>COMPONENT GROUP</v>
      </c>
      <c r="E4" s="32" t="str">
        <f>E3</f>
        <v>MIN</v>
      </c>
      <c r="F4" s="32" t="str">
        <f t="shared" ref="F4:G4" si="1">F3</f>
        <v>MAX</v>
      </c>
      <c r="G4" s="32" t="str">
        <f t="shared" si="1"/>
        <v>AVG</v>
      </c>
      <c r="H4" s="23" t="str">
        <f>H1</f>
        <v>MATERIAL FACTOR</v>
      </c>
      <c r="I4" s="23" t="str">
        <f>I1</f>
        <v>VERT.*</v>
      </c>
      <c r="K4" s="434"/>
      <c r="L4" s="435"/>
    </row>
    <row r="5" spans="1:15" hidden="1" x14ac:dyDescent="0.25">
      <c r="A5" s="13" t="s">
        <v>69</v>
      </c>
      <c r="B5" s="14" t="s">
        <v>70</v>
      </c>
      <c r="C5" s="14" t="s">
        <v>71</v>
      </c>
      <c r="D5" s="14" t="s">
        <v>72</v>
      </c>
      <c r="E5" s="14">
        <v>45</v>
      </c>
      <c r="F5" s="14">
        <v>45</v>
      </c>
      <c r="G5" s="14">
        <f t="shared" ref="G5:G68" si="2">IFERROR((F5+E5)/2,0)</f>
        <v>45</v>
      </c>
      <c r="H5" s="14">
        <v>0.5</v>
      </c>
      <c r="I5" s="14" t="s">
        <v>73</v>
      </c>
      <c r="K5" s="434"/>
      <c r="L5" s="435"/>
      <c r="O5" t="s">
        <v>1240</v>
      </c>
    </row>
    <row r="6" spans="1:15" hidden="1" x14ac:dyDescent="0.25">
      <c r="A6" s="15" t="s">
        <v>74</v>
      </c>
      <c r="B6" s="16" t="s">
        <v>75</v>
      </c>
      <c r="C6" s="16" t="s">
        <v>71</v>
      </c>
      <c r="D6" s="16" t="s">
        <v>76</v>
      </c>
      <c r="E6" s="16">
        <v>14</v>
      </c>
      <c r="F6" s="16">
        <v>22</v>
      </c>
      <c r="G6" s="16">
        <f t="shared" si="2"/>
        <v>18</v>
      </c>
      <c r="H6" s="16">
        <v>0.6</v>
      </c>
      <c r="I6" s="16" t="s">
        <v>73</v>
      </c>
      <c r="K6" s="434"/>
      <c r="L6" s="435"/>
    </row>
    <row r="7" spans="1:15" ht="15.75" hidden="1" thickBot="1" x14ac:dyDescent="0.3">
      <c r="A7" s="13" t="s">
        <v>77</v>
      </c>
      <c r="B7" s="14" t="s">
        <v>78</v>
      </c>
      <c r="C7" s="14">
        <v>45</v>
      </c>
      <c r="D7" s="14" t="s">
        <v>76</v>
      </c>
      <c r="E7" s="14">
        <v>41</v>
      </c>
      <c r="F7" s="14">
        <v>43</v>
      </c>
      <c r="G7" s="14">
        <f t="shared" si="2"/>
        <v>42</v>
      </c>
      <c r="H7" s="14">
        <v>0.5</v>
      </c>
      <c r="I7" s="29"/>
      <c r="K7" s="436"/>
      <c r="L7" s="437"/>
    </row>
    <row r="8" spans="1:15" hidden="1" x14ac:dyDescent="0.25">
      <c r="A8" s="15" t="s">
        <v>79</v>
      </c>
      <c r="B8" s="16" t="s">
        <v>80</v>
      </c>
      <c r="C8" s="16">
        <v>45</v>
      </c>
      <c r="D8" s="16" t="s">
        <v>81</v>
      </c>
      <c r="E8" s="16">
        <v>10</v>
      </c>
      <c r="F8" s="16">
        <v>15</v>
      </c>
      <c r="G8" s="16">
        <f t="shared" si="2"/>
        <v>12.5</v>
      </c>
      <c r="H8" s="16">
        <v>0.4</v>
      </c>
      <c r="I8" s="16" t="s">
        <v>73</v>
      </c>
    </row>
    <row r="9" spans="1:15" hidden="1" x14ac:dyDescent="0.25">
      <c r="A9" s="13" t="s">
        <v>82</v>
      </c>
      <c r="B9" s="14" t="s">
        <v>83</v>
      </c>
      <c r="C9" s="14" t="s">
        <v>71</v>
      </c>
      <c r="D9" s="14" t="s">
        <v>76</v>
      </c>
      <c r="E9" s="14">
        <v>27</v>
      </c>
      <c r="F9" s="14">
        <v>30</v>
      </c>
      <c r="G9" s="14">
        <f t="shared" si="2"/>
        <v>28.5</v>
      </c>
      <c r="H9" s="14">
        <v>0.9</v>
      </c>
      <c r="I9" s="29"/>
    </row>
    <row r="10" spans="1:15" hidden="1" x14ac:dyDescent="0.25">
      <c r="A10" s="15" t="s">
        <v>84</v>
      </c>
      <c r="B10" s="16" t="s">
        <v>83</v>
      </c>
      <c r="C10" s="16" t="s">
        <v>71</v>
      </c>
      <c r="D10" s="16" t="s">
        <v>76</v>
      </c>
      <c r="E10" s="16">
        <v>28</v>
      </c>
      <c r="F10" s="16">
        <v>30</v>
      </c>
      <c r="G10" s="16">
        <f t="shared" si="2"/>
        <v>29</v>
      </c>
      <c r="H10" s="16">
        <v>0.9</v>
      </c>
      <c r="I10" s="30"/>
    </row>
    <row r="11" spans="1:15" hidden="1" x14ac:dyDescent="0.25">
      <c r="A11" s="13" t="s">
        <v>85</v>
      </c>
      <c r="B11" s="14" t="s">
        <v>86</v>
      </c>
      <c r="C11" s="14" t="s">
        <v>71</v>
      </c>
      <c r="D11" s="14" t="s">
        <v>87</v>
      </c>
      <c r="E11" s="14">
        <v>45</v>
      </c>
      <c r="F11" s="14">
        <v>50</v>
      </c>
      <c r="G11" s="14">
        <f t="shared" si="2"/>
        <v>47.5</v>
      </c>
      <c r="H11" s="14">
        <v>0.6</v>
      </c>
      <c r="I11" s="29"/>
      <c r="J11" t="str">
        <f>CHAR(34)&amp;A5&amp;CHAR(34)&amp;":{"&amp;CHAR(34)&amp;$B$4&amp;CHAR(34)&amp;":"&amp;CHAR(34)&amp;B5&amp;CHAR(34)&amp;","</f>
        <v>"Adipic Acid":{"MATERIAL CLASS CODE":"45A35",</v>
      </c>
      <c r="K11" t="str">
        <f>CHAR(34)&amp;$C$4&amp;CHAR(34)&amp;":"&amp;CHAR(34)&amp;C5&amp;CHAR(34)&amp;","</f>
        <v>"CONVEY LOADING":"30A",</v>
      </c>
      <c r="L11" t="str">
        <f>CHAR(34)&amp;$D$4&amp;CHAR(34)&amp;":"&amp;CHAR(34)&amp;D5&amp;CHAR(34)&amp;","</f>
        <v>"COMPONENT GROUP":"2B",</v>
      </c>
      <c r="M11" t="str">
        <f>CHAR(34)&amp;$E$1&amp;CHAR(34)&amp;":"&amp;G5&amp;","</f>
        <v>"WEIGHT (LBS/CF)":45,</v>
      </c>
      <c r="N11" t="str">
        <f>CHAR(34)&amp;$H$4&amp;CHAR(34)&amp;":"&amp;H5&amp;"}"</f>
        <v>"MATERIAL FACTOR":0.5}</v>
      </c>
      <c r="O11" t="str">
        <f>J11&amp;K11&amp;L11&amp;M11&amp;N11&amp;","</f>
        <v>"Adipic Acid":{"MATERIAL CLASS CODE":"45A35","CONVEY LOADING":"30A","COMPONENT GROUP":"2B","WEIGHT (LBS/CF)":45,"MATERIAL FACTOR":0.5},</v>
      </c>
    </row>
    <row r="12" spans="1:15" hidden="1" x14ac:dyDescent="0.25">
      <c r="A12" s="15" t="s">
        <v>88</v>
      </c>
      <c r="B12" s="16" t="s">
        <v>89</v>
      </c>
      <c r="C12" s="16">
        <v>45</v>
      </c>
      <c r="D12" s="16" t="s">
        <v>90</v>
      </c>
      <c r="E12" s="16">
        <v>50</v>
      </c>
      <c r="F12" s="16">
        <v>60</v>
      </c>
      <c r="G12" s="16">
        <f t="shared" si="2"/>
        <v>55</v>
      </c>
      <c r="H12" s="16">
        <v>1.4</v>
      </c>
      <c r="I12" s="30"/>
      <c r="J12" t="str">
        <f t="shared" ref="J12:J75" si="3">CHAR(34)&amp;A6&amp;CHAR(34)&amp;":{"&amp;CHAR(34)&amp;$B$4&amp;CHAR(34)&amp;":"&amp;CHAR(34)&amp;B6&amp;CHAR(34)&amp;","</f>
        <v>"Alfalfa Meal":{"MATERIAL CLASS CODE":"18B45WY",</v>
      </c>
      <c r="K12" t="str">
        <f t="shared" ref="K12:K75" si="4">CHAR(34)&amp;$C$4&amp;CHAR(34)&amp;":"&amp;CHAR(34)&amp;C6&amp;CHAR(34)&amp;","</f>
        <v>"CONVEY LOADING":"30A",</v>
      </c>
      <c r="L12" t="str">
        <f t="shared" ref="L12:L75" si="5">CHAR(34)&amp;$D$4&amp;CHAR(34)&amp;":"&amp;CHAR(34)&amp;D6&amp;CHAR(34)&amp;","</f>
        <v>"COMPONENT GROUP":"2D",</v>
      </c>
      <c r="M12" t="str">
        <f t="shared" ref="M12:M75" si="6">CHAR(34)&amp;$E$1&amp;CHAR(34)&amp;":"&amp;G6&amp;","</f>
        <v>"WEIGHT (LBS/CF)":18,</v>
      </c>
      <c r="N12" t="str">
        <f t="shared" ref="N12:N75" si="7">CHAR(34)&amp;$H$4&amp;CHAR(34)&amp;":"&amp;H6&amp;"}"</f>
        <v>"MATERIAL FACTOR":0.6}</v>
      </c>
      <c r="O12" t="str">
        <f t="shared" ref="O12:O75" si="8">J12&amp;K12&amp;L12&amp;M12&amp;N12&amp;","</f>
        <v>"Alfalfa Meal":{"MATERIAL CLASS CODE":"18B45WY","CONVEY LOADING":"30A","COMPONENT GROUP":"2D","WEIGHT (LBS/CF)":18,"MATERIAL FACTOR":0.6},</v>
      </c>
    </row>
    <row r="13" spans="1:15" hidden="1" x14ac:dyDescent="0.25">
      <c r="A13" s="13" t="s">
        <v>91</v>
      </c>
      <c r="B13" s="14" t="s">
        <v>92</v>
      </c>
      <c r="C13" s="14">
        <v>15</v>
      </c>
      <c r="D13" s="14" t="s">
        <v>87</v>
      </c>
      <c r="E13" s="14">
        <v>55</v>
      </c>
      <c r="F13" s="14">
        <v>65</v>
      </c>
      <c r="G13" s="14">
        <f t="shared" si="2"/>
        <v>60</v>
      </c>
      <c r="H13" s="14">
        <v>1.8</v>
      </c>
      <c r="I13" s="29"/>
      <c r="J13" t="str">
        <f t="shared" si="3"/>
        <v>"Alfalfa Pellets":{"MATERIAL CLASS CODE":"42C25",</v>
      </c>
      <c r="K13" t="str">
        <f t="shared" si="4"/>
        <v>"CONVEY LOADING":"45",</v>
      </c>
      <c r="L13" t="str">
        <f t="shared" si="5"/>
        <v>"COMPONENT GROUP":"2D",</v>
      </c>
      <c r="M13" t="str">
        <f t="shared" si="6"/>
        <v>"WEIGHT (LBS/CF)":42,</v>
      </c>
      <c r="N13" t="str">
        <f t="shared" si="7"/>
        <v>"MATERIAL FACTOR":0.5}</v>
      </c>
      <c r="O13" t="str">
        <f t="shared" si="8"/>
        <v>"Alfalfa Pellets":{"MATERIAL CLASS CODE":"42C25","CONVEY LOADING":"45","COMPONENT GROUP":"2D","WEIGHT (LBS/CF)":42,"MATERIAL FACTOR":0.5},</v>
      </c>
    </row>
    <row r="14" spans="1:15" hidden="1" x14ac:dyDescent="0.25">
      <c r="A14" s="15" t="s">
        <v>93</v>
      </c>
      <c r="B14" s="16" t="s">
        <v>94</v>
      </c>
      <c r="C14" s="16">
        <v>15</v>
      </c>
      <c r="D14" s="16" t="s">
        <v>87</v>
      </c>
      <c r="E14" s="16">
        <v>35</v>
      </c>
      <c r="F14" s="16">
        <v>35</v>
      </c>
      <c r="G14" s="16">
        <f t="shared" si="2"/>
        <v>35</v>
      </c>
      <c r="H14" s="16">
        <v>1.6</v>
      </c>
      <c r="I14" s="30"/>
      <c r="J14" t="str">
        <f t="shared" si="3"/>
        <v>"Alfalfa Seed":{"MATERIAL CLASS CODE":"13B15N",</v>
      </c>
      <c r="K14" t="str">
        <f t="shared" si="4"/>
        <v>"CONVEY LOADING":"45",</v>
      </c>
      <c r="L14" t="str">
        <f t="shared" si="5"/>
        <v>"COMPONENT GROUP":"1A,1B,1C",</v>
      </c>
      <c r="M14" t="str">
        <f t="shared" si="6"/>
        <v>"WEIGHT (LBS/CF)":12.5,</v>
      </c>
      <c r="N14" t="str">
        <f t="shared" si="7"/>
        <v>"MATERIAL FACTOR":0.4}</v>
      </c>
      <c r="O14" t="str">
        <f t="shared" si="8"/>
        <v>"Alfalfa Seed":{"MATERIAL CLASS CODE":"13B15N","CONVEY LOADING":"45","COMPONENT GROUP":"1A,1B,1C","WEIGHT (LBS/CF)":12.5,"MATERIAL FACTOR":0.4},</v>
      </c>
    </row>
    <row r="15" spans="1:15" hidden="1" x14ac:dyDescent="0.25">
      <c r="A15" s="13" t="s">
        <v>95</v>
      </c>
      <c r="B15" s="14" t="s">
        <v>96</v>
      </c>
      <c r="C15" s="14">
        <v>15</v>
      </c>
      <c r="D15" s="14" t="s">
        <v>87</v>
      </c>
      <c r="E15" s="14">
        <v>65</v>
      </c>
      <c r="F15" s="14">
        <v>65</v>
      </c>
      <c r="G15" s="14">
        <f t="shared" si="2"/>
        <v>65</v>
      </c>
      <c r="H15" s="14">
        <v>2</v>
      </c>
      <c r="I15" s="29"/>
      <c r="J15" t="str">
        <f t="shared" si="3"/>
        <v>"Almonds, Broken":{"MATERIAL CLASS CODE":"29C35Q",</v>
      </c>
      <c r="K15" t="str">
        <f t="shared" si="4"/>
        <v>"CONVEY LOADING":"30A",</v>
      </c>
      <c r="L15" t="str">
        <f t="shared" si="5"/>
        <v>"COMPONENT GROUP":"2D",</v>
      </c>
      <c r="M15" t="str">
        <f t="shared" si="6"/>
        <v>"WEIGHT (LBS/CF)":28.5,</v>
      </c>
      <c r="N15" t="str">
        <f t="shared" si="7"/>
        <v>"MATERIAL FACTOR":0.9}</v>
      </c>
      <c r="O15" t="str">
        <f t="shared" si="8"/>
        <v>"Almonds, Broken":{"MATERIAL CLASS CODE":"29C35Q","CONVEY LOADING":"30A","COMPONENT GROUP":"2D","WEIGHT (LBS/CF)":28.5,"MATERIAL FACTOR":0.9},</v>
      </c>
    </row>
    <row r="16" spans="1:15" hidden="1" x14ac:dyDescent="0.25">
      <c r="A16" s="15" t="s">
        <v>97</v>
      </c>
      <c r="B16" s="16" t="s">
        <v>98</v>
      </c>
      <c r="C16" s="16" t="s">
        <v>99</v>
      </c>
      <c r="D16" s="16" t="s">
        <v>76</v>
      </c>
      <c r="E16" s="16">
        <v>45</v>
      </c>
      <c r="F16" s="16">
        <v>45</v>
      </c>
      <c r="G16" s="16">
        <f t="shared" si="2"/>
        <v>45</v>
      </c>
      <c r="H16" s="16">
        <v>1.7</v>
      </c>
      <c r="I16" s="16" t="s">
        <v>73</v>
      </c>
      <c r="J16" t="str">
        <f t="shared" si="3"/>
        <v>"Almonds, Whole Shelled":{"MATERIAL CLASS CODE":"29C35Q",</v>
      </c>
      <c r="K16" t="str">
        <f t="shared" si="4"/>
        <v>"CONVEY LOADING":"30A",</v>
      </c>
      <c r="L16" t="str">
        <f t="shared" si="5"/>
        <v>"COMPONENT GROUP":"2D",</v>
      </c>
      <c r="M16" t="str">
        <f t="shared" si="6"/>
        <v>"WEIGHT (LBS/CF)":29,</v>
      </c>
      <c r="N16" t="str">
        <f t="shared" si="7"/>
        <v>"MATERIAL FACTOR":0.9}</v>
      </c>
      <c r="O16" t="str">
        <f t="shared" si="8"/>
        <v>"Almonds, Whole Shelled":{"MATERIAL CLASS CODE":"29C35Q","CONVEY LOADING":"30A","COMPONENT GROUP":"2D","WEIGHT (LBS/CF)":29,"MATERIAL FACTOR":0.9},</v>
      </c>
    </row>
    <row r="17" spans="1:15" hidden="1" x14ac:dyDescent="0.25">
      <c r="A17" s="13" t="s">
        <v>100</v>
      </c>
      <c r="B17" s="14" t="s">
        <v>101</v>
      </c>
      <c r="C17" s="14" t="s">
        <v>71</v>
      </c>
      <c r="D17" s="14" t="s">
        <v>76</v>
      </c>
      <c r="E17" s="14">
        <v>7</v>
      </c>
      <c r="F17" s="14">
        <v>15</v>
      </c>
      <c r="G17" s="14">
        <f t="shared" si="2"/>
        <v>11</v>
      </c>
      <c r="H17" s="14">
        <v>1.2</v>
      </c>
      <c r="I17" s="29"/>
      <c r="J17" t="str">
        <f t="shared" si="3"/>
        <v>"Alum, Fine":{"MATERIAL CLASS CODE":"48B35U",</v>
      </c>
      <c r="K17" t="str">
        <f t="shared" si="4"/>
        <v>"CONVEY LOADING":"30A",</v>
      </c>
      <c r="L17" t="str">
        <f t="shared" si="5"/>
        <v>"COMPONENT GROUP":"3D",</v>
      </c>
      <c r="M17" t="str">
        <f t="shared" si="6"/>
        <v>"WEIGHT (LBS/CF)":47.5,</v>
      </c>
      <c r="N17" t="str">
        <f t="shared" si="7"/>
        <v>"MATERIAL FACTOR":0.6}</v>
      </c>
      <c r="O17" t="str">
        <f t="shared" si="8"/>
        <v>"Alum, Fine":{"MATERIAL CLASS CODE":"48B35U","CONVEY LOADING":"30A","COMPONENT GROUP":"3D","WEIGHT (LBS/CF)":47.5,"MATERIAL FACTOR":0.6},</v>
      </c>
    </row>
    <row r="18" spans="1:15" hidden="1" x14ac:dyDescent="0.25">
      <c r="A18" s="15" t="s">
        <v>102</v>
      </c>
      <c r="B18" s="16" t="s">
        <v>103</v>
      </c>
      <c r="C18" s="16" t="s">
        <v>71</v>
      </c>
      <c r="D18" s="16" t="s">
        <v>76</v>
      </c>
      <c r="E18" s="16">
        <v>7</v>
      </c>
      <c r="F18" s="16">
        <v>15</v>
      </c>
      <c r="G18" s="16">
        <f t="shared" si="2"/>
        <v>11</v>
      </c>
      <c r="H18" s="16">
        <v>0.8</v>
      </c>
      <c r="I18" s="16" t="s">
        <v>73</v>
      </c>
      <c r="J18" t="str">
        <f t="shared" si="3"/>
        <v>"Alum, Lumps":{"MATERIAL CLASS CODE":"55B25",</v>
      </c>
      <c r="K18" t="str">
        <f t="shared" si="4"/>
        <v>"CONVEY LOADING":"45",</v>
      </c>
      <c r="L18" t="str">
        <f t="shared" si="5"/>
        <v>"COMPONENT GROUP":"2A,2B",</v>
      </c>
      <c r="M18" t="str">
        <f t="shared" si="6"/>
        <v>"WEIGHT (LBS/CF)":55,</v>
      </c>
      <c r="N18" t="str">
        <f t="shared" si="7"/>
        <v>"MATERIAL FACTOR":1.4}</v>
      </c>
      <c r="O18" t="str">
        <f t="shared" si="8"/>
        <v>"Alum, Lumps":{"MATERIAL CLASS CODE":"55B25","CONVEY LOADING":"45","COMPONENT GROUP":"2A,2B","WEIGHT (LBS/CF)":55,"MATERIAL FACTOR":1.4},</v>
      </c>
    </row>
    <row r="19" spans="1:15" hidden="1" x14ac:dyDescent="0.25">
      <c r="A19" s="13" t="s">
        <v>104</v>
      </c>
      <c r="B19" s="14" t="s">
        <v>105</v>
      </c>
      <c r="C19" s="14" t="s">
        <v>71</v>
      </c>
      <c r="D19" s="14" t="s">
        <v>81</v>
      </c>
      <c r="E19" s="14">
        <v>13</v>
      </c>
      <c r="F19" s="14">
        <v>20</v>
      </c>
      <c r="G19" s="14">
        <f t="shared" si="2"/>
        <v>16.5</v>
      </c>
      <c r="H19" s="14">
        <v>1.4</v>
      </c>
      <c r="I19" s="14" t="s">
        <v>73</v>
      </c>
      <c r="J19" t="str">
        <f t="shared" si="3"/>
        <v>"Alumina":{"MATERIAL CLASS CODE":"58B27MY",</v>
      </c>
      <c r="K19" t="str">
        <f t="shared" si="4"/>
        <v>"CONVEY LOADING":"15",</v>
      </c>
      <c r="L19" t="str">
        <f t="shared" si="5"/>
        <v>"COMPONENT GROUP":"3D",</v>
      </c>
      <c r="M19" t="str">
        <f t="shared" si="6"/>
        <v>"WEIGHT (LBS/CF)":60,</v>
      </c>
      <c r="N19" t="str">
        <f t="shared" si="7"/>
        <v>"MATERIAL FACTOR":1.8}</v>
      </c>
      <c r="O19" t="str">
        <f t="shared" si="8"/>
        <v>"Alumina":{"MATERIAL CLASS CODE":"58B27MY","CONVEY LOADING":"15","COMPONENT GROUP":"3D","WEIGHT (LBS/CF)":60,"MATERIAL FACTOR":1.8},</v>
      </c>
    </row>
    <row r="20" spans="1:15" hidden="1" x14ac:dyDescent="0.25">
      <c r="A20" s="15" t="s">
        <v>106</v>
      </c>
      <c r="B20" s="30"/>
      <c r="C20" s="30"/>
      <c r="D20" s="30"/>
      <c r="E20" s="30"/>
      <c r="F20" s="30"/>
      <c r="G20" s="30">
        <f t="shared" si="2"/>
        <v>0</v>
      </c>
      <c r="H20" s="30">
        <v>0.4</v>
      </c>
      <c r="I20" s="30"/>
      <c r="J20" t="str">
        <f t="shared" si="3"/>
        <v>"Alumina Fines":{"MATERIAL CLASS CODE":"35A27MY",</v>
      </c>
      <c r="K20" t="str">
        <f t="shared" si="4"/>
        <v>"CONVEY LOADING":"15",</v>
      </c>
      <c r="L20" t="str">
        <f t="shared" si="5"/>
        <v>"COMPONENT GROUP":"3D",</v>
      </c>
      <c r="M20" t="str">
        <f t="shared" si="6"/>
        <v>"WEIGHT (LBS/CF)":35,</v>
      </c>
      <c r="N20" t="str">
        <f t="shared" si="7"/>
        <v>"MATERIAL FACTOR":1.6}</v>
      </c>
      <c r="O20" t="str">
        <f t="shared" si="8"/>
        <v>"Alumina Fines":{"MATERIAL CLASS CODE":"35A27MY","CONVEY LOADING":"15","COMPONENT GROUP":"3D","WEIGHT (LBS/CF)":35,"MATERIAL FACTOR":1.6},</v>
      </c>
    </row>
    <row r="21" spans="1:15" hidden="1" x14ac:dyDescent="0.25">
      <c r="A21" s="13" t="s">
        <v>107</v>
      </c>
      <c r="B21" s="14" t="s">
        <v>108</v>
      </c>
      <c r="C21" s="14">
        <v>15</v>
      </c>
      <c r="D21" s="14" t="s">
        <v>87</v>
      </c>
      <c r="E21" s="14">
        <v>60</v>
      </c>
      <c r="F21" s="14">
        <v>120</v>
      </c>
      <c r="G21" s="14">
        <f t="shared" si="2"/>
        <v>90</v>
      </c>
      <c r="H21" s="14">
        <v>1.8</v>
      </c>
      <c r="I21" s="29"/>
      <c r="J21" t="str">
        <f t="shared" si="3"/>
        <v>"Alumina Sized or Briquette":{"MATERIAL CLASS CODE":"65D37",</v>
      </c>
      <c r="K21" t="str">
        <f t="shared" si="4"/>
        <v>"CONVEY LOADING":"15",</v>
      </c>
      <c r="L21" t="str">
        <f t="shared" si="5"/>
        <v>"COMPONENT GROUP":"3D",</v>
      </c>
      <c r="M21" t="str">
        <f t="shared" si="6"/>
        <v>"WEIGHT (LBS/CF)":65,</v>
      </c>
      <c r="N21" t="str">
        <f t="shared" si="7"/>
        <v>"MATERIAL FACTOR":2}</v>
      </c>
      <c r="O21" t="str">
        <f t="shared" si="8"/>
        <v>"Alumina Sized or Briquette":{"MATERIAL CLASS CODE":"65D37","CONVEY LOADING":"15","COMPONENT GROUP":"3D","WEIGHT (LBS/CF)":65,"MATERIAL FACTOR":2},</v>
      </c>
    </row>
    <row r="22" spans="1:15" hidden="1" x14ac:dyDescent="0.25">
      <c r="A22" s="15" t="s">
        <v>109</v>
      </c>
      <c r="B22" s="16" t="s">
        <v>110</v>
      </c>
      <c r="C22" s="16">
        <v>45</v>
      </c>
      <c r="D22" s="16" t="s">
        <v>111</v>
      </c>
      <c r="E22" s="16">
        <v>49</v>
      </c>
      <c r="F22" s="16">
        <v>49</v>
      </c>
      <c r="G22" s="16">
        <f t="shared" si="2"/>
        <v>49</v>
      </c>
      <c r="H22" s="16">
        <v>0.7</v>
      </c>
      <c r="I22" s="16" t="s">
        <v>73</v>
      </c>
      <c r="J22" t="str">
        <f t="shared" si="3"/>
        <v>"Aluminate Gel (Aluminate Hydroxide)":{"MATERIAL CLASS CODE":"45B35",</v>
      </c>
      <c r="K22" t="str">
        <f t="shared" si="4"/>
        <v>"CONVEY LOADING":"30B",</v>
      </c>
      <c r="L22" t="str">
        <f t="shared" si="5"/>
        <v>"COMPONENT GROUP":"2D",</v>
      </c>
      <c r="M22" t="str">
        <f t="shared" si="6"/>
        <v>"WEIGHT (LBS/CF)":45,</v>
      </c>
      <c r="N22" t="str">
        <f t="shared" si="7"/>
        <v>"MATERIAL FACTOR":1.7}</v>
      </c>
      <c r="O22" t="str">
        <f t="shared" si="8"/>
        <v>"Aluminate Gel (Aluminate Hydroxide)":{"MATERIAL CLASS CODE":"45B35","CONVEY LOADING":"30B","COMPONENT GROUP":"2D","WEIGHT (LBS/CF)":45,"MATERIAL FACTOR":1.7},</v>
      </c>
    </row>
    <row r="23" spans="1:15" hidden="1" x14ac:dyDescent="0.25">
      <c r="A23" s="13" t="s">
        <v>112</v>
      </c>
      <c r="B23" s="14" t="s">
        <v>113</v>
      </c>
      <c r="C23" s="14">
        <v>45</v>
      </c>
      <c r="D23" s="14" t="s">
        <v>81</v>
      </c>
      <c r="E23" s="14">
        <v>45</v>
      </c>
      <c r="F23" s="14">
        <v>58</v>
      </c>
      <c r="G23" s="14">
        <f t="shared" si="2"/>
        <v>51.5</v>
      </c>
      <c r="H23" s="14">
        <v>1.3</v>
      </c>
      <c r="I23" s="29"/>
      <c r="J23" t="str">
        <f t="shared" si="3"/>
        <v>"Aluminum Chips, Dry":{"MATERIAL CLASS CODE":"11E45V",</v>
      </c>
      <c r="K23" t="str">
        <f t="shared" si="4"/>
        <v>"CONVEY LOADING":"30A",</v>
      </c>
      <c r="L23" t="str">
        <f t="shared" si="5"/>
        <v>"COMPONENT GROUP":"2D",</v>
      </c>
      <c r="M23" t="str">
        <f t="shared" si="6"/>
        <v>"WEIGHT (LBS/CF)":11,</v>
      </c>
      <c r="N23" t="str">
        <f t="shared" si="7"/>
        <v>"MATERIAL FACTOR":1.2}</v>
      </c>
      <c r="O23" t="str">
        <f t="shared" si="8"/>
        <v>"Aluminum Chips, Dry":{"MATERIAL CLASS CODE":"11E45V","CONVEY LOADING":"30A","COMPONENT GROUP":"2D","WEIGHT (LBS/CF)":11,"MATERIAL FACTOR":1.2},</v>
      </c>
    </row>
    <row r="24" spans="1:15" hidden="1" x14ac:dyDescent="0.25">
      <c r="A24" s="15" t="s">
        <v>114</v>
      </c>
      <c r="B24" s="16" t="s">
        <v>115</v>
      </c>
      <c r="C24" s="16" t="s">
        <v>71</v>
      </c>
      <c r="D24" s="16" t="s">
        <v>81</v>
      </c>
      <c r="E24" s="16">
        <v>45</v>
      </c>
      <c r="F24" s="16">
        <v>52</v>
      </c>
      <c r="G24" s="16">
        <f t="shared" si="2"/>
        <v>48.5</v>
      </c>
      <c r="H24" s="16">
        <v>1</v>
      </c>
      <c r="I24" s="16" t="s">
        <v>116</v>
      </c>
      <c r="J24" t="str">
        <f t="shared" si="3"/>
        <v>"Aluminum Chips, Oily":{"MATERIAL CLASS CODE":"11E45VY",</v>
      </c>
      <c r="K24" t="str">
        <f t="shared" si="4"/>
        <v>"CONVEY LOADING":"30A",</v>
      </c>
      <c r="L24" t="str">
        <f t="shared" si="5"/>
        <v>"COMPONENT GROUP":"2D",</v>
      </c>
      <c r="M24" t="str">
        <f t="shared" si="6"/>
        <v>"WEIGHT (LBS/CF)":11,</v>
      </c>
      <c r="N24" t="str">
        <f t="shared" si="7"/>
        <v>"MATERIAL FACTOR":0.8}</v>
      </c>
      <c r="O24" t="str">
        <f t="shared" si="8"/>
        <v>"Aluminum Chips, Oily":{"MATERIAL CLASS CODE":"11E45VY","CONVEY LOADING":"30A","COMPONENT GROUP":"2D","WEIGHT (LBS/CF)":11,"MATERIAL FACTOR":0.8},</v>
      </c>
    </row>
    <row r="25" spans="1:15" hidden="1" x14ac:dyDescent="0.25">
      <c r="A25" s="13" t="s">
        <v>117</v>
      </c>
      <c r="B25" s="14" t="s">
        <v>118</v>
      </c>
      <c r="C25" s="14" t="s">
        <v>71</v>
      </c>
      <c r="D25" s="14" t="s">
        <v>87</v>
      </c>
      <c r="E25" s="14">
        <v>45</v>
      </c>
      <c r="F25" s="14">
        <v>62</v>
      </c>
      <c r="G25" s="14">
        <f t="shared" si="2"/>
        <v>53.5</v>
      </c>
      <c r="H25" s="14">
        <v>1.6</v>
      </c>
      <c r="I25" s="14" t="s">
        <v>116</v>
      </c>
      <c r="J25" t="str">
        <f t="shared" si="3"/>
        <v>"Aluminum Hydrate":{"MATERIAL CLASS CODE":"17C35",</v>
      </c>
      <c r="K25" t="str">
        <f t="shared" si="4"/>
        <v>"CONVEY LOADING":"30A",</v>
      </c>
      <c r="L25" t="str">
        <f t="shared" si="5"/>
        <v>"COMPONENT GROUP":"1A,1B,1C",</v>
      </c>
      <c r="M25" t="str">
        <f t="shared" si="6"/>
        <v>"WEIGHT (LBS/CF)":16.5,</v>
      </c>
      <c r="N25" t="str">
        <f t="shared" si="7"/>
        <v>"MATERIAL FACTOR":1.4}</v>
      </c>
      <c r="O25" t="str">
        <f t="shared" si="8"/>
        <v>"Aluminum Hydrate":{"MATERIAL CLASS CODE":"17C35","CONVEY LOADING":"30A","COMPONENT GROUP":"1A,1B,1C","WEIGHT (LBS/CF)":16.5,"MATERIAL FACTOR":1.4},</v>
      </c>
    </row>
    <row r="26" spans="1:15" hidden="1" x14ac:dyDescent="0.25">
      <c r="A26" s="15" t="s">
        <v>119</v>
      </c>
      <c r="B26" s="16" t="s">
        <v>120</v>
      </c>
      <c r="C26" s="16" t="s">
        <v>71</v>
      </c>
      <c r="D26" s="16" t="s">
        <v>81</v>
      </c>
      <c r="E26" s="16">
        <v>45</v>
      </c>
      <c r="F26" s="16">
        <v>58</v>
      </c>
      <c r="G26" s="16">
        <f t="shared" si="2"/>
        <v>51.5</v>
      </c>
      <c r="H26" s="16">
        <v>1</v>
      </c>
      <c r="I26" s="16" t="s">
        <v>116</v>
      </c>
      <c r="J26" t="str">
        <f t="shared" si="3"/>
        <v>"Aluminum Ore (see Bauxite)":{"MATERIAL CLASS CODE":"",</v>
      </c>
      <c r="K26" t="str">
        <f t="shared" si="4"/>
        <v>"CONVEY LOADING":"",</v>
      </c>
      <c r="L26" t="str">
        <f t="shared" si="5"/>
        <v>"COMPONENT GROUP":"",</v>
      </c>
      <c r="M26" t="str">
        <f t="shared" si="6"/>
        <v>"WEIGHT (LBS/CF)":0,</v>
      </c>
      <c r="N26" t="str">
        <f t="shared" si="7"/>
        <v>"MATERIAL FACTOR":0.4}</v>
      </c>
      <c r="O26" t="str">
        <f t="shared" si="8"/>
        <v>"Aluminum Ore (see Bauxite)":{"MATERIAL CLASS CODE":"","CONVEY LOADING":"","COMPONENT GROUP":"","WEIGHT (LBS/CF)":0,"MATERIAL FACTOR":0.4},</v>
      </c>
    </row>
    <row r="27" spans="1:15" hidden="1" x14ac:dyDescent="0.25">
      <c r="A27" s="13" t="s">
        <v>121</v>
      </c>
      <c r="B27" s="14" t="s">
        <v>122</v>
      </c>
      <c r="C27" s="14" t="s">
        <v>99</v>
      </c>
      <c r="D27" s="14" t="s">
        <v>76</v>
      </c>
      <c r="E27" s="14" t="s">
        <v>123</v>
      </c>
      <c r="F27" s="29"/>
      <c r="G27" s="29">
        <f t="shared" si="2"/>
        <v>0</v>
      </c>
      <c r="H27" s="14">
        <v>1.6</v>
      </c>
      <c r="I27" s="14" t="s">
        <v>73</v>
      </c>
      <c r="J27" t="str">
        <f t="shared" si="3"/>
        <v>"Aluminum Oxide":{"MATERIAL CLASS CODE":"90A17MN",</v>
      </c>
      <c r="K27" t="str">
        <f t="shared" si="4"/>
        <v>"CONVEY LOADING":"15",</v>
      </c>
      <c r="L27" t="str">
        <f t="shared" si="5"/>
        <v>"COMPONENT GROUP":"3D",</v>
      </c>
      <c r="M27" t="str">
        <f t="shared" si="6"/>
        <v>"WEIGHT (LBS/CF)":90,</v>
      </c>
      <c r="N27" t="str">
        <f t="shared" si="7"/>
        <v>"MATERIAL FACTOR":1.8}</v>
      </c>
      <c r="O27" t="str">
        <f t="shared" si="8"/>
        <v>"Aluminum Oxide":{"MATERIAL CLASS CODE":"90A17MN","CONVEY LOADING":"15","COMPONENT GROUP":"3D","WEIGHT (LBS/CF)":90,"MATERIAL FACTOR":1.8},</v>
      </c>
    </row>
    <row r="28" spans="1:15" hidden="1" x14ac:dyDescent="0.25">
      <c r="A28" s="15" t="s">
        <v>124</v>
      </c>
      <c r="B28" s="16" t="s">
        <v>125</v>
      </c>
      <c r="C28" s="16" t="s">
        <v>99</v>
      </c>
      <c r="D28" s="16" t="s">
        <v>76</v>
      </c>
      <c r="E28" s="16">
        <v>15</v>
      </c>
      <c r="F28" s="16">
        <v>15</v>
      </c>
      <c r="G28" s="16">
        <f t="shared" si="2"/>
        <v>15</v>
      </c>
      <c r="H28" s="16">
        <v>1</v>
      </c>
      <c r="I28" s="16" t="s">
        <v>73</v>
      </c>
      <c r="J28" t="str">
        <f t="shared" si="3"/>
        <v>"Aluminum Silicate (Andalusite)":{"MATERIAL CLASS CODE":"49C35S",</v>
      </c>
      <c r="K28" t="str">
        <f t="shared" si="4"/>
        <v>"CONVEY LOADING":"45",</v>
      </c>
      <c r="L28" t="str">
        <f t="shared" si="5"/>
        <v>"COMPONENT GROUP":"3A,3B",</v>
      </c>
      <c r="M28" t="str">
        <f t="shared" si="6"/>
        <v>"WEIGHT (LBS/CF)":49,</v>
      </c>
      <c r="N28" t="str">
        <f t="shared" si="7"/>
        <v>"MATERIAL FACTOR":0.7}</v>
      </c>
      <c r="O28" t="str">
        <f t="shared" si="8"/>
        <v>"Aluminum Silicate (Andalusite)":{"MATERIAL CLASS CODE":"49C35S","CONVEY LOADING":"45","COMPONENT GROUP":"3A,3B","WEIGHT (LBS/CF)":49,"MATERIAL FACTOR":0.7},</v>
      </c>
    </row>
    <row r="29" spans="1:15" hidden="1" x14ac:dyDescent="0.25">
      <c r="A29" s="13" t="s">
        <v>126</v>
      </c>
      <c r="B29" s="14" t="s">
        <v>127</v>
      </c>
      <c r="C29" s="14" t="s">
        <v>71</v>
      </c>
      <c r="D29" s="14" t="s">
        <v>81</v>
      </c>
      <c r="E29" s="14">
        <v>72</v>
      </c>
      <c r="F29" s="14">
        <v>72</v>
      </c>
      <c r="G29" s="14">
        <f t="shared" si="2"/>
        <v>72</v>
      </c>
      <c r="H29" s="14">
        <v>1.4</v>
      </c>
      <c r="I29" s="14" t="s">
        <v>116</v>
      </c>
      <c r="J29" t="str">
        <f t="shared" si="3"/>
        <v>"Aluminum Sulfate":{"MATERIAL CLASS CODE":"52C25",</v>
      </c>
      <c r="K29" t="str">
        <f t="shared" si="4"/>
        <v>"CONVEY LOADING":"45",</v>
      </c>
      <c r="L29" t="str">
        <f t="shared" si="5"/>
        <v>"COMPONENT GROUP":"1A,1B,1C",</v>
      </c>
      <c r="M29" t="str">
        <f t="shared" si="6"/>
        <v>"WEIGHT (LBS/CF)":51.5,</v>
      </c>
      <c r="N29" t="str">
        <f t="shared" si="7"/>
        <v>"MATERIAL FACTOR":1.3}</v>
      </c>
      <c r="O29" t="str">
        <f t="shared" si="8"/>
        <v>"Aluminum Sulfate":{"MATERIAL CLASS CODE":"52C25","CONVEY LOADING":"45","COMPONENT GROUP":"1A,1B,1C","WEIGHT (LBS/CF)":51.5,"MATERIAL FACTOR":1.3},</v>
      </c>
    </row>
    <row r="30" spans="1:15" hidden="1" x14ac:dyDescent="0.25">
      <c r="A30" s="15" t="s">
        <v>128</v>
      </c>
      <c r="B30" s="16" t="s">
        <v>129</v>
      </c>
      <c r="C30" s="16" t="s">
        <v>71</v>
      </c>
      <c r="D30" s="16" t="s">
        <v>130</v>
      </c>
      <c r="E30" s="16">
        <v>100</v>
      </c>
      <c r="F30" s="16">
        <v>120</v>
      </c>
      <c r="G30" s="16">
        <f t="shared" si="2"/>
        <v>110</v>
      </c>
      <c r="H30" s="16">
        <v>1.2</v>
      </c>
      <c r="I30" s="30"/>
      <c r="J30" t="str">
        <f t="shared" si="3"/>
        <v>"Ammonium Chloride, Crystalline":{"MATERIAL CLASS CODE":"49A45FRS",</v>
      </c>
      <c r="K30" t="str">
        <f t="shared" si="4"/>
        <v>"CONVEY LOADING":"30A",</v>
      </c>
      <c r="L30" t="str">
        <f t="shared" si="5"/>
        <v>"COMPONENT GROUP":"1A,1B,1C",</v>
      </c>
      <c r="M30" t="str">
        <f t="shared" si="6"/>
        <v>"WEIGHT (LBS/CF)":48.5,</v>
      </c>
      <c r="N30" t="str">
        <f t="shared" si="7"/>
        <v>"MATERIAL FACTOR":1}</v>
      </c>
      <c r="O30" t="str">
        <f t="shared" si="8"/>
        <v>"Ammonium Chloride, Crystalline":{"MATERIAL CLASS CODE":"49A45FRS","CONVEY LOADING":"30A","COMPONENT GROUP":"1A,1B,1C","WEIGHT (LBS/CF)":48.5,"MATERIAL FACTOR":1},</v>
      </c>
    </row>
    <row r="31" spans="1:15" hidden="1" x14ac:dyDescent="0.25">
      <c r="A31" s="13" t="s">
        <v>131</v>
      </c>
      <c r="B31" s="14" t="s">
        <v>132</v>
      </c>
      <c r="C31" s="14">
        <v>45</v>
      </c>
      <c r="D31" s="14" t="s">
        <v>76</v>
      </c>
      <c r="E31" s="14">
        <v>30</v>
      </c>
      <c r="F31" s="14">
        <v>30</v>
      </c>
      <c r="G31" s="14">
        <f t="shared" si="2"/>
        <v>30</v>
      </c>
      <c r="H31" s="14">
        <v>1</v>
      </c>
      <c r="I31" s="29"/>
      <c r="J31" t="str">
        <f t="shared" si="3"/>
        <v>"Ammonium Nitrate":{"MATERIAL CLASS CODE":"54A35NTU",</v>
      </c>
      <c r="K31" t="str">
        <f t="shared" si="4"/>
        <v>"CONVEY LOADING":"30A",</v>
      </c>
      <c r="L31" t="str">
        <f t="shared" si="5"/>
        <v>"COMPONENT GROUP":"3D",</v>
      </c>
      <c r="M31" t="str">
        <f t="shared" si="6"/>
        <v>"WEIGHT (LBS/CF)":53.5,</v>
      </c>
      <c r="N31" t="str">
        <f t="shared" si="7"/>
        <v>"MATERIAL FACTOR":1.6}</v>
      </c>
      <c r="O31" t="str">
        <f t="shared" si="8"/>
        <v>"Ammonium Nitrate":{"MATERIAL CLASS CODE":"54A35NTU","CONVEY LOADING":"30A","COMPONENT GROUP":"3D","WEIGHT (LBS/CF)":53.5,"MATERIAL FACTOR":1.6},</v>
      </c>
    </row>
    <row r="32" spans="1:15" hidden="1" x14ac:dyDescent="0.25">
      <c r="A32" s="15" t="s">
        <v>133</v>
      </c>
      <c r="B32" s="16" t="s">
        <v>134</v>
      </c>
      <c r="C32" s="16">
        <v>15</v>
      </c>
      <c r="D32" s="16" t="s">
        <v>87</v>
      </c>
      <c r="E32" s="16">
        <v>81</v>
      </c>
      <c r="F32" s="16">
        <v>81</v>
      </c>
      <c r="G32" s="16">
        <f t="shared" si="2"/>
        <v>81</v>
      </c>
      <c r="H32" s="16">
        <v>2</v>
      </c>
      <c r="I32" s="16" t="s">
        <v>116</v>
      </c>
      <c r="J32" t="str">
        <f t="shared" si="3"/>
        <v>"Ammonium Sulfate":{"MATERIAL CLASS CODE":"52C35FOTU",</v>
      </c>
      <c r="K32" t="str">
        <f t="shared" si="4"/>
        <v>"CONVEY LOADING":"30A",</v>
      </c>
      <c r="L32" t="str">
        <f t="shared" si="5"/>
        <v>"COMPONENT GROUP":"1A,1B,1C",</v>
      </c>
      <c r="M32" t="str">
        <f t="shared" si="6"/>
        <v>"WEIGHT (LBS/CF)":51.5,</v>
      </c>
      <c r="N32" t="str">
        <f t="shared" si="7"/>
        <v>"MATERIAL FACTOR":1}</v>
      </c>
      <c r="O32" t="str">
        <f t="shared" si="8"/>
        <v>"Ammonium Sulfate":{"MATERIAL CLASS CODE":"52C35FOTU","CONVEY LOADING":"30A","COMPONENT GROUP":"1A,1B,1C","WEIGHT (LBS/CF)":51.5,"MATERIAL FACTOR":1},</v>
      </c>
    </row>
    <row r="33" spans="1:15" hidden="1" x14ac:dyDescent="0.25">
      <c r="A33" s="13" t="s">
        <v>135</v>
      </c>
      <c r="B33" s="14" t="s">
        <v>136</v>
      </c>
      <c r="C33" s="14" t="s">
        <v>99</v>
      </c>
      <c r="D33" s="14" t="s">
        <v>76</v>
      </c>
      <c r="E33" s="14">
        <v>20</v>
      </c>
      <c r="F33" s="14">
        <v>40</v>
      </c>
      <c r="G33" s="14">
        <f t="shared" si="2"/>
        <v>30</v>
      </c>
      <c r="H33" s="14">
        <v>1</v>
      </c>
      <c r="I33" s="14" t="s">
        <v>116</v>
      </c>
      <c r="J33" t="str">
        <f t="shared" si="3"/>
        <v>"Antimony Powder":{"MATERIAL CLASS CODE":"A35",</v>
      </c>
      <c r="K33" t="str">
        <f t="shared" si="4"/>
        <v>"CONVEY LOADING":"30B",</v>
      </c>
      <c r="L33" t="str">
        <f t="shared" si="5"/>
        <v>"COMPONENT GROUP":"2D",</v>
      </c>
      <c r="M33" t="str">
        <f t="shared" si="6"/>
        <v>"WEIGHT (LBS/CF)":0,</v>
      </c>
      <c r="N33" t="str">
        <f t="shared" si="7"/>
        <v>"MATERIAL FACTOR":1.6}</v>
      </c>
      <c r="O33" t="str">
        <f t="shared" si="8"/>
        <v>"Antimony Powder":{"MATERIAL CLASS CODE":"A35","CONVEY LOADING":"30B","COMPONENT GROUP":"2D","WEIGHT (LBS/CF)":0,"MATERIAL FACTOR":1.6},</v>
      </c>
    </row>
    <row r="34" spans="1:15" hidden="1" x14ac:dyDescent="0.25">
      <c r="A34" s="15" t="s">
        <v>137</v>
      </c>
      <c r="B34" s="16" t="s">
        <v>138</v>
      </c>
      <c r="C34" s="16" t="s">
        <v>71</v>
      </c>
      <c r="D34" s="16" t="s">
        <v>81</v>
      </c>
      <c r="E34" s="16">
        <v>105</v>
      </c>
      <c r="F34" s="16">
        <v>105</v>
      </c>
      <c r="G34" s="16">
        <f t="shared" si="2"/>
        <v>105</v>
      </c>
      <c r="H34" s="16">
        <v>2.5</v>
      </c>
      <c r="I34" s="30"/>
      <c r="J34" t="str">
        <f t="shared" si="3"/>
        <v>"Apple Pomace, Dry":{"MATERIAL CLASS CODE":"15C45Y",</v>
      </c>
      <c r="K34" t="str">
        <f t="shared" si="4"/>
        <v>"CONVEY LOADING":"30B",</v>
      </c>
      <c r="L34" t="str">
        <f t="shared" si="5"/>
        <v>"COMPONENT GROUP":"2D",</v>
      </c>
      <c r="M34" t="str">
        <f t="shared" si="6"/>
        <v>"WEIGHT (LBS/CF)":15,</v>
      </c>
      <c r="N34" t="str">
        <f t="shared" si="7"/>
        <v>"MATERIAL FACTOR":1}</v>
      </c>
      <c r="O34" t="str">
        <f t="shared" si="8"/>
        <v>"Apple Pomace, Dry":{"MATERIAL CLASS CODE":"15C45Y","CONVEY LOADING":"30B","COMPONENT GROUP":"2D","WEIGHT (LBS/CF)":15,"MATERIAL FACTOR":1},</v>
      </c>
    </row>
    <row r="35" spans="1:15" hidden="1" x14ac:dyDescent="0.25">
      <c r="A35" s="13" t="s">
        <v>139</v>
      </c>
      <c r="B35" s="14" t="s">
        <v>140</v>
      </c>
      <c r="C35" s="14" t="s">
        <v>99</v>
      </c>
      <c r="D35" s="14" t="s">
        <v>87</v>
      </c>
      <c r="E35" s="14">
        <v>35</v>
      </c>
      <c r="F35" s="14">
        <v>45</v>
      </c>
      <c r="G35" s="14">
        <f t="shared" si="2"/>
        <v>40</v>
      </c>
      <c r="H35" s="14">
        <v>3</v>
      </c>
      <c r="I35" s="14" t="s">
        <v>73</v>
      </c>
      <c r="J35" t="str">
        <f t="shared" si="3"/>
        <v>"Arsenate of Lead (Lead Arsenate)":{"MATERIAL CLASS CODE":"72A35R",</v>
      </c>
      <c r="K35" t="str">
        <f t="shared" si="4"/>
        <v>"CONVEY LOADING":"30A",</v>
      </c>
      <c r="L35" t="str">
        <f t="shared" si="5"/>
        <v>"COMPONENT GROUP":"1A,1B,1C",</v>
      </c>
      <c r="M35" t="str">
        <f t="shared" si="6"/>
        <v>"WEIGHT (LBS/CF)":72,</v>
      </c>
      <c r="N35" t="str">
        <f t="shared" si="7"/>
        <v>"MATERIAL FACTOR":1.4}</v>
      </c>
      <c r="O35" t="str">
        <f t="shared" si="8"/>
        <v>"Arsenate of Lead (Lead Arsenate)":{"MATERIAL CLASS CODE":"72A35R","CONVEY LOADING":"30A","COMPONENT GROUP":"1A,1B,1C","WEIGHT (LBS/CF)":72,"MATERIAL FACTOR":1.4},</v>
      </c>
    </row>
    <row r="36" spans="1:15" hidden="1" x14ac:dyDescent="0.25">
      <c r="A36" s="15" t="s">
        <v>141</v>
      </c>
      <c r="B36" s="16" t="s">
        <v>142</v>
      </c>
      <c r="C36" s="16" t="s">
        <v>99</v>
      </c>
      <c r="D36" s="16" t="s">
        <v>87</v>
      </c>
      <c r="E36" s="16">
        <v>35</v>
      </c>
      <c r="F36" s="16">
        <v>40</v>
      </c>
      <c r="G36" s="16">
        <f t="shared" si="2"/>
        <v>37.5</v>
      </c>
      <c r="H36" s="16">
        <v>2.5</v>
      </c>
      <c r="I36" s="30"/>
      <c r="J36" t="str">
        <f t="shared" si="3"/>
        <v>"Arsenic Oxide (Arsenolite)**":{"MATERIAL CLASS CODE":"110A35R",</v>
      </c>
      <c r="K36" t="str">
        <f t="shared" si="4"/>
        <v>"CONVEY LOADING":"30A",</v>
      </c>
      <c r="L36" t="str">
        <f t="shared" si="5"/>
        <v>"COMPONENT GROUP":"-",</v>
      </c>
      <c r="M36" t="str">
        <f t="shared" si="6"/>
        <v>"WEIGHT (LBS/CF)":110,</v>
      </c>
      <c r="N36" t="str">
        <f t="shared" si="7"/>
        <v>"MATERIAL FACTOR":1.2}</v>
      </c>
      <c r="O36" t="str">
        <f t="shared" si="8"/>
        <v>"Arsenic Oxide (Arsenolite)**":{"MATERIAL CLASS CODE":"110A35R","CONVEY LOADING":"30A","COMPONENT GROUP":"-","WEIGHT (LBS/CF)":110,"MATERIAL FACTOR":1.2},</v>
      </c>
    </row>
    <row r="37" spans="1:15" hidden="1" x14ac:dyDescent="0.25">
      <c r="A37" s="13" t="s">
        <v>143</v>
      </c>
      <c r="B37" s="14" t="s">
        <v>144</v>
      </c>
      <c r="C37" s="14" t="s">
        <v>99</v>
      </c>
      <c r="D37" s="14" t="s">
        <v>87</v>
      </c>
      <c r="E37" s="14">
        <v>45</v>
      </c>
      <c r="F37" s="14">
        <v>50</v>
      </c>
      <c r="G37" s="14">
        <f t="shared" si="2"/>
        <v>47.5</v>
      </c>
      <c r="H37" s="14">
        <v>3</v>
      </c>
      <c r="I37" s="29"/>
      <c r="J37" t="str">
        <f t="shared" si="3"/>
        <v>"Arsenic Pulverized":{"MATERIAL CLASS CODE":"30A25R",</v>
      </c>
      <c r="K37" t="str">
        <f t="shared" si="4"/>
        <v>"CONVEY LOADING":"45",</v>
      </c>
      <c r="L37" t="str">
        <f t="shared" si="5"/>
        <v>"COMPONENT GROUP":"2D",</v>
      </c>
      <c r="M37" t="str">
        <f t="shared" si="6"/>
        <v>"WEIGHT (LBS/CF)":30,</v>
      </c>
      <c r="N37" t="str">
        <f t="shared" si="7"/>
        <v>"MATERIAL FACTOR":1}</v>
      </c>
      <c r="O37" t="str">
        <f t="shared" si="8"/>
        <v>"Arsenic Pulverized":{"MATERIAL CLASS CODE":"30A25R","CONVEY LOADING":"45","COMPONENT GROUP":"2D","WEIGHT (LBS/CF)":30,"MATERIAL FACTOR":1},</v>
      </c>
    </row>
    <row r="38" spans="1:15" hidden="1" x14ac:dyDescent="0.25">
      <c r="A38" s="15" t="s">
        <v>145</v>
      </c>
      <c r="B38" s="16" t="s">
        <v>146</v>
      </c>
      <c r="C38" s="16" t="s">
        <v>99</v>
      </c>
      <c r="D38" s="16" t="s">
        <v>87</v>
      </c>
      <c r="E38" s="16">
        <v>45</v>
      </c>
      <c r="F38" s="16">
        <v>50</v>
      </c>
      <c r="G38" s="16">
        <f t="shared" si="2"/>
        <v>47.5</v>
      </c>
      <c r="H38" s="16">
        <v>4</v>
      </c>
      <c r="I38" s="30"/>
      <c r="J38" t="str">
        <f t="shared" si="3"/>
        <v>"Asbestos-Rock (Ore)":{"MATERIAL CLASS CODE":"81D37R",</v>
      </c>
      <c r="K38" t="str">
        <f t="shared" si="4"/>
        <v>"CONVEY LOADING":"15",</v>
      </c>
      <c r="L38" t="str">
        <f t="shared" si="5"/>
        <v>"COMPONENT GROUP":"3D",</v>
      </c>
      <c r="M38" t="str">
        <f t="shared" si="6"/>
        <v>"WEIGHT (LBS/CF)":81,</v>
      </c>
      <c r="N38" t="str">
        <f t="shared" si="7"/>
        <v>"MATERIAL FACTOR":2}</v>
      </c>
      <c r="O38" t="str">
        <f t="shared" si="8"/>
        <v>"Asbestos-Rock (Ore)":{"MATERIAL CLASS CODE":"81D37R","CONVEY LOADING":"15","COMPONENT GROUP":"3D","WEIGHT (LBS/CF)":81,"MATERIAL FACTOR":2},</v>
      </c>
    </row>
    <row r="39" spans="1:15" hidden="1" x14ac:dyDescent="0.25">
      <c r="A39" s="13" t="s">
        <v>147</v>
      </c>
      <c r="B39" s="14" t="s">
        <v>148</v>
      </c>
      <c r="C39" s="14" t="s">
        <v>99</v>
      </c>
      <c r="D39" s="14" t="s">
        <v>87</v>
      </c>
      <c r="E39" s="14">
        <v>30</v>
      </c>
      <c r="F39" s="14">
        <v>45</v>
      </c>
      <c r="G39" s="14">
        <f t="shared" si="2"/>
        <v>37.5</v>
      </c>
      <c r="H39" s="14">
        <v>2</v>
      </c>
      <c r="I39" s="29"/>
      <c r="J39" t="str">
        <f t="shared" si="3"/>
        <v>"Asbestos-Shredded":{"MATERIAL CLASS CODE":"30E46XY",</v>
      </c>
      <c r="K39" t="str">
        <f t="shared" si="4"/>
        <v>"CONVEY LOADING":"30B",</v>
      </c>
      <c r="L39" t="str">
        <f t="shared" si="5"/>
        <v>"COMPONENT GROUP":"2D",</v>
      </c>
      <c r="M39" t="str">
        <f t="shared" si="6"/>
        <v>"WEIGHT (LBS/CF)":30,</v>
      </c>
      <c r="N39" t="str">
        <f t="shared" si="7"/>
        <v>"MATERIAL FACTOR":1}</v>
      </c>
      <c r="O39" t="str">
        <f t="shared" si="8"/>
        <v>"Asbestos-Shredded":{"MATERIAL CLASS CODE":"30E46XY","CONVEY LOADING":"30B","COMPONENT GROUP":"2D","WEIGHT (LBS/CF)":30,"MATERIAL FACTOR":1},</v>
      </c>
    </row>
    <row r="40" spans="1:15" hidden="1" x14ac:dyDescent="0.25">
      <c r="A40" s="15" t="s">
        <v>149</v>
      </c>
      <c r="B40" s="16" t="s">
        <v>150</v>
      </c>
      <c r="C40" s="16" t="s">
        <v>71</v>
      </c>
      <c r="D40" s="16" t="s">
        <v>81</v>
      </c>
      <c r="E40" s="16">
        <v>33</v>
      </c>
      <c r="F40" s="16">
        <v>51</v>
      </c>
      <c r="G40" s="16">
        <f t="shared" si="2"/>
        <v>42</v>
      </c>
      <c r="H40" s="16">
        <v>1.5</v>
      </c>
      <c r="I40" s="16" t="s">
        <v>116</v>
      </c>
      <c r="J40" t="str">
        <f t="shared" si="3"/>
        <v>"Ash, Black Ground":{"MATERIAL CLASS CODE":"105B35",</v>
      </c>
      <c r="K40" t="str">
        <f t="shared" si="4"/>
        <v>"CONVEY LOADING":"30A",</v>
      </c>
      <c r="L40" t="str">
        <f t="shared" si="5"/>
        <v>"COMPONENT GROUP":"1A,1B,1C",</v>
      </c>
      <c r="M40" t="str">
        <f t="shared" si="6"/>
        <v>"WEIGHT (LBS/CF)":105,</v>
      </c>
      <c r="N40" t="str">
        <f t="shared" si="7"/>
        <v>"MATERIAL FACTOR":2.5}</v>
      </c>
      <c r="O40" t="str">
        <f t="shared" si="8"/>
        <v>"Ash, Black Ground":{"MATERIAL CLASS CODE":"105B35","CONVEY LOADING":"30A","COMPONENT GROUP":"1A,1B,1C","WEIGHT (LBS/CF)":105,"MATERIAL FACTOR":2.5},</v>
      </c>
    </row>
    <row r="41" spans="1:15" hidden="1" x14ac:dyDescent="0.25">
      <c r="A41" s="13" t="s">
        <v>151</v>
      </c>
      <c r="B41" s="14" t="s">
        <v>152</v>
      </c>
      <c r="C41" s="14" t="s">
        <v>71</v>
      </c>
      <c r="D41" s="14" t="s">
        <v>81</v>
      </c>
      <c r="E41" s="14">
        <v>45</v>
      </c>
      <c r="F41" s="14">
        <v>45</v>
      </c>
      <c r="G41" s="14">
        <f t="shared" si="2"/>
        <v>45</v>
      </c>
      <c r="H41" s="14">
        <v>2</v>
      </c>
      <c r="I41" s="14" t="s">
        <v>73</v>
      </c>
      <c r="J41" t="str">
        <f t="shared" si="3"/>
        <v>"Ashes, Coal, dry, 1⁄2”":{"MATERIAL CLASS CODE":"40C46TY",</v>
      </c>
      <c r="K41" t="str">
        <f t="shared" si="4"/>
        <v>"CONVEY LOADING":"30B",</v>
      </c>
      <c r="L41" t="str">
        <f t="shared" si="5"/>
        <v>"COMPONENT GROUP":"3D",</v>
      </c>
      <c r="M41" t="str">
        <f t="shared" si="6"/>
        <v>"WEIGHT (LBS/CF)":40,</v>
      </c>
      <c r="N41" t="str">
        <f t="shared" si="7"/>
        <v>"MATERIAL FACTOR":3}</v>
      </c>
      <c r="O41" t="str">
        <f t="shared" si="8"/>
        <v>"Ashes, Coal, dry, 1⁄2”":{"MATERIAL CLASS CODE":"40C46TY","CONVEY LOADING":"30B","COMPONENT GROUP":"3D","WEIGHT (LBS/CF)":40,"MATERIAL FACTOR":3},</v>
      </c>
    </row>
    <row r="42" spans="1:15" hidden="1" x14ac:dyDescent="0.25">
      <c r="A42" s="15" t="s">
        <v>153</v>
      </c>
      <c r="B42" s="16" t="s">
        <v>154</v>
      </c>
      <c r="C42" s="16" t="s">
        <v>71</v>
      </c>
      <c r="D42" s="16" t="s">
        <v>155</v>
      </c>
      <c r="E42" s="16">
        <v>7</v>
      </c>
      <c r="F42" s="16">
        <v>10</v>
      </c>
      <c r="G42" s="16">
        <f t="shared" si="2"/>
        <v>8.5</v>
      </c>
      <c r="H42" s="16">
        <v>1.5</v>
      </c>
      <c r="I42" s="30"/>
      <c r="J42" t="str">
        <f t="shared" si="3"/>
        <v>"Ashes, Coal, dry, 3”":{"MATERIAL CLASS CODE":"38D46T",</v>
      </c>
      <c r="K42" t="str">
        <f t="shared" si="4"/>
        <v>"CONVEY LOADING":"30B",</v>
      </c>
      <c r="L42" t="str">
        <f t="shared" si="5"/>
        <v>"COMPONENT GROUP":"3D",</v>
      </c>
      <c r="M42" t="str">
        <f t="shared" si="6"/>
        <v>"WEIGHT (LBS/CF)":37.5,</v>
      </c>
      <c r="N42" t="str">
        <f t="shared" si="7"/>
        <v>"MATERIAL FACTOR":2.5}</v>
      </c>
      <c r="O42" t="str">
        <f t="shared" si="8"/>
        <v>"Ashes, Coal, dry, 3”":{"MATERIAL CLASS CODE":"38D46T","CONVEY LOADING":"30B","COMPONENT GROUP":"3D","WEIGHT (LBS/CF)":37.5,"MATERIAL FACTOR":2.5},</v>
      </c>
    </row>
    <row r="43" spans="1:15" hidden="1" x14ac:dyDescent="0.25">
      <c r="A43" s="13" t="s">
        <v>156</v>
      </c>
      <c r="B43" s="14" t="s">
        <v>157</v>
      </c>
      <c r="C43" s="14">
        <v>45</v>
      </c>
      <c r="D43" s="14" t="s">
        <v>81</v>
      </c>
      <c r="E43" s="14">
        <v>30</v>
      </c>
      <c r="F43" s="14">
        <v>45</v>
      </c>
      <c r="G43" s="14">
        <f t="shared" si="2"/>
        <v>37.5</v>
      </c>
      <c r="H43" s="14">
        <v>1.4</v>
      </c>
      <c r="I43" s="14" t="s">
        <v>73</v>
      </c>
      <c r="J43" t="str">
        <f t="shared" si="3"/>
        <v>"Ashes, Coal, Wet, 1⁄2”":{"MATERIAL CLASS CODE":"48C46T",</v>
      </c>
      <c r="K43" t="str">
        <f t="shared" si="4"/>
        <v>"CONVEY LOADING":"30B",</v>
      </c>
      <c r="L43" t="str">
        <f t="shared" si="5"/>
        <v>"COMPONENT GROUP":"3D",</v>
      </c>
      <c r="M43" t="str">
        <f t="shared" si="6"/>
        <v>"WEIGHT (LBS/CF)":47.5,</v>
      </c>
      <c r="N43" t="str">
        <f t="shared" si="7"/>
        <v>"MATERIAL FACTOR":3}</v>
      </c>
      <c r="O43" t="str">
        <f t="shared" si="8"/>
        <v>"Ashes, Coal, Wet, 1⁄2”":{"MATERIAL CLASS CODE":"48C46T","CONVEY LOADING":"30B","COMPONENT GROUP":"3D","WEIGHT (LBS/CF)":47.5,"MATERIAL FACTOR":3},</v>
      </c>
    </row>
    <row r="44" spans="1:15" hidden="1" x14ac:dyDescent="0.25">
      <c r="A44" s="15" t="s">
        <v>158</v>
      </c>
      <c r="B44" s="16" t="s">
        <v>159</v>
      </c>
      <c r="C44" s="16" t="s">
        <v>71</v>
      </c>
      <c r="D44" s="16" t="s">
        <v>160</v>
      </c>
      <c r="E44" s="16">
        <v>40</v>
      </c>
      <c r="F44" s="16">
        <v>55</v>
      </c>
      <c r="G44" s="16">
        <f t="shared" si="2"/>
        <v>47.5</v>
      </c>
      <c r="H44" s="16">
        <v>0.6</v>
      </c>
      <c r="I44" s="16" t="s">
        <v>73</v>
      </c>
      <c r="J44" t="str">
        <f t="shared" si="3"/>
        <v>"Ashes, Coal, Wet, 3”":{"MATERIAL CLASS CODE":"48D46T",</v>
      </c>
      <c r="K44" t="str">
        <f t="shared" si="4"/>
        <v>"CONVEY LOADING":"30B",</v>
      </c>
      <c r="L44" t="str">
        <f t="shared" si="5"/>
        <v>"COMPONENT GROUP":"3D",</v>
      </c>
      <c r="M44" t="str">
        <f t="shared" si="6"/>
        <v>"WEIGHT (LBS/CF)":47.5,</v>
      </c>
      <c r="N44" t="str">
        <f t="shared" si="7"/>
        <v>"MATERIAL FACTOR":4}</v>
      </c>
      <c r="O44" t="str">
        <f t="shared" si="8"/>
        <v>"Ashes, Coal, Wet, 3”":{"MATERIAL CLASS CODE":"48D46T","CONVEY LOADING":"30B","COMPONENT GROUP":"3D","WEIGHT (LBS/CF)":47.5,"MATERIAL FACTOR":4},</v>
      </c>
    </row>
    <row r="45" spans="1:15" hidden="1" x14ac:dyDescent="0.25">
      <c r="A45" s="13" t="s">
        <v>161</v>
      </c>
      <c r="B45" s="14" t="s">
        <v>162</v>
      </c>
      <c r="C45" s="14">
        <v>45</v>
      </c>
      <c r="D45" s="14" t="s">
        <v>160</v>
      </c>
      <c r="E45" s="14">
        <v>40</v>
      </c>
      <c r="F45" s="14">
        <v>55</v>
      </c>
      <c r="G45" s="14">
        <f t="shared" si="2"/>
        <v>47.5</v>
      </c>
      <c r="H45" s="14">
        <v>0.6</v>
      </c>
      <c r="I45" s="14" t="s">
        <v>73</v>
      </c>
      <c r="J45" t="str">
        <f t="shared" si="3"/>
        <v>"Ashes, Fly ( Fly Ash)":{"MATERIAL CLASS CODE":"38A36M",</v>
      </c>
      <c r="K45" t="str">
        <f t="shared" si="4"/>
        <v>"CONVEY LOADING":"30B",</v>
      </c>
      <c r="L45" t="str">
        <f t="shared" si="5"/>
        <v>"COMPONENT GROUP":"3D",</v>
      </c>
      <c r="M45" t="str">
        <f t="shared" si="6"/>
        <v>"WEIGHT (LBS/CF)":37.5,</v>
      </c>
      <c r="N45" t="str">
        <f t="shared" si="7"/>
        <v>"MATERIAL FACTOR":2}</v>
      </c>
      <c r="O45" t="str">
        <f t="shared" si="8"/>
        <v>"Ashes, Fly ( Fly Ash)":{"MATERIAL CLASS CODE":"38A36M","CONVEY LOADING":"30B","COMPONENT GROUP":"3D","WEIGHT (LBS/CF)":37.5,"MATERIAL FACTOR":2},</v>
      </c>
    </row>
    <row r="46" spans="1:15" hidden="1" x14ac:dyDescent="0.25">
      <c r="A46" s="15" t="s">
        <v>163</v>
      </c>
      <c r="B46" s="16" t="s">
        <v>164</v>
      </c>
      <c r="C46" s="16" t="s">
        <v>99</v>
      </c>
      <c r="D46" s="16" t="s">
        <v>87</v>
      </c>
      <c r="E46" s="16">
        <v>120</v>
      </c>
      <c r="F46" s="16">
        <v>180</v>
      </c>
      <c r="G46" s="16">
        <f t="shared" si="2"/>
        <v>150</v>
      </c>
      <c r="H46" s="16">
        <v>2.6</v>
      </c>
      <c r="I46" s="30"/>
      <c r="J46" t="str">
        <f t="shared" si="3"/>
        <v>"Aspartic Acid":{"MATERIAL CLASS CODE":"42A35XPLO",</v>
      </c>
      <c r="K46" t="str">
        <f t="shared" si="4"/>
        <v>"CONVEY LOADING":"30A",</v>
      </c>
      <c r="L46" t="str">
        <f t="shared" si="5"/>
        <v>"COMPONENT GROUP":"1A,1B,1C",</v>
      </c>
      <c r="M46" t="str">
        <f t="shared" si="6"/>
        <v>"WEIGHT (LBS/CF)":42,</v>
      </c>
      <c r="N46" t="str">
        <f t="shared" si="7"/>
        <v>"MATERIAL FACTOR":1.5}</v>
      </c>
      <c r="O46" t="str">
        <f t="shared" si="8"/>
        <v>"Aspartic Acid":{"MATERIAL CLASS CODE":"42A35XPLO","CONVEY LOADING":"30A","COMPONENT GROUP":"1A,1B,1C","WEIGHT (LBS/CF)":42,"MATERIAL FACTOR":1.5},</v>
      </c>
    </row>
    <row r="47" spans="1:15" hidden="1" x14ac:dyDescent="0.25">
      <c r="A47" s="13" t="s">
        <v>165</v>
      </c>
      <c r="B47" s="14" t="s">
        <v>166</v>
      </c>
      <c r="C47" s="14" t="s">
        <v>71</v>
      </c>
      <c r="D47" s="14" t="s">
        <v>76</v>
      </c>
      <c r="E47" s="14">
        <v>120</v>
      </c>
      <c r="F47" s="14">
        <v>180</v>
      </c>
      <c r="G47" s="14">
        <f t="shared" si="2"/>
        <v>150</v>
      </c>
      <c r="H47" s="14">
        <v>2</v>
      </c>
      <c r="I47" s="14" t="s">
        <v>73</v>
      </c>
      <c r="J47" t="str">
        <f t="shared" si="3"/>
        <v>"Asphalt, Crushed, 1⁄2”":{"MATERIAL CLASS CODE":"45C45",</v>
      </c>
      <c r="K47" t="str">
        <f t="shared" si="4"/>
        <v>"CONVEY LOADING":"30A",</v>
      </c>
      <c r="L47" t="str">
        <f t="shared" si="5"/>
        <v>"COMPONENT GROUP":"1A,1B,1C",</v>
      </c>
      <c r="M47" t="str">
        <f t="shared" si="6"/>
        <v>"WEIGHT (LBS/CF)":45,</v>
      </c>
      <c r="N47" t="str">
        <f t="shared" si="7"/>
        <v>"MATERIAL FACTOR":2}</v>
      </c>
      <c r="O47" t="str">
        <f t="shared" si="8"/>
        <v>"Asphalt, Crushed, 1⁄2”":{"MATERIAL CLASS CODE":"45C45","CONVEY LOADING":"30A","COMPONENT GROUP":"1A,1B,1C","WEIGHT (LBS/CF)":45,"MATERIAL FACTOR":2},</v>
      </c>
    </row>
    <row r="48" spans="1:15" hidden="1" x14ac:dyDescent="0.25">
      <c r="A48" s="15" t="s">
        <v>167</v>
      </c>
      <c r="B48" s="16" t="s">
        <v>168</v>
      </c>
      <c r="C48" s="16" t="s">
        <v>71</v>
      </c>
      <c r="D48" s="16" t="s">
        <v>76</v>
      </c>
      <c r="E48" s="16">
        <v>72</v>
      </c>
      <c r="F48" s="16">
        <v>72</v>
      </c>
      <c r="G48" s="16">
        <f t="shared" si="2"/>
        <v>72</v>
      </c>
      <c r="H48" s="16">
        <v>1.6</v>
      </c>
      <c r="I48" s="30"/>
      <c r="J48" t="str">
        <f t="shared" si="3"/>
        <v>"Bagasse":{"MATERIAL CLASS CODE":"9E45RVXY",</v>
      </c>
      <c r="K48" t="str">
        <f t="shared" si="4"/>
        <v>"CONVEY LOADING":"30A",</v>
      </c>
      <c r="L48" t="str">
        <f t="shared" si="5"/>
        <v>"COMPONENT GROUP":"2A,2B,2C",</v>
      </c>
      <c r="M48" t="str">
        <f t="shared" si="6"/>
        <v>"WEIGHT (LBS/CF)":8.5,</v>
      </c>
      <c r="N48" t="str">
        <f t="shared" si="7"/>
        <v>"MATERIAL FACTOR":1.5}</v>
      </c>
      <c r="O48" t="str">
        <f t="shared" si="8"/>
        <v>"Bagasse":{"MATERIAL CLASS CODE":"9E45RVXY","CONVEY LOADING":"30A","COMPONENT GROUP":"2A,2B,2C","WEIGHT (LBS/CF)":8.5,"MATERIAL FACTOR":1.5},</v>
      </c>
    </row>
    <row r="49" spans="1:15" hidden="1" x14ac:dyDescent="0.25">
      <c r="A49" s="13" t="s">
        <v>169</v>
      </c>
      <c r="B49" s="14" t="s">
        <v>170</v>
      </c>
      <c r="C49" s="14" t="s">
        <v>71</v>
      </c>
      <c r="D49" s="14" t="s">
        <v>87</v>
      </c>
      <c r="E49" s="14">
        <v>10</v>
      </c>
      <c r="F49" s="14">
        <v>20</v>
      </c>
      <c r="G49" s="14">
        <f t="shared" si="2"/>
        <v>15</v>
      </c>
      <c r="H49" s="14">
        <v>2</v>
      </c>
      <c r="I49" s="29"/>
      <c r="J49" t="str">
        <f t="shared" si="3"/>
        <v>"Bakelite, Fine":{"MATERIAL CLASS CODE":"38B25",</v>
      </c>
      <c r="K49" t="str">
        <f t="shared" si="4"/>
        <v>"CONVEY LOADING":"45",</v>
      </c>
      <c r="L49" t="str">
        <f t="shared" si="5"/>
        <v>"COMPONENT GROUP":"1A,1B,1C",</v>
      </c>
      <c r="M49" t="str">
        <f t="shared" si="6"/>
        <v>"WEIGHT (LBS/CF)":37.5,</v>
      </c>
      <c r="N49" t="str">
        <f t="shared" si="7"/>
        <v>"MATERIAL FACTOR":1.4}</v>
      </c>
      <c r="O49" t="str">
        <f t="shared" si="8"/>
        <v>"Bakelite, Fine":{"MATERIAL CLASS CODE":"38B25","CONVEY LOADING":"45","COMPONENT GROUP":"1A,1B,1C","WEIGHT (LBS/CF)":37.5,"MATERIAL FACTOR":1.4},</v>
      </c>
    </row>
    <row r="50" spans="1:15" hidden="1" x14ac:dyDescent="0.25">
      <c r="A50" s="15" t="s">
        <v>171</v>
      </c>
      <c r="B50" s="16" t="s">
        <v>172</v>
      </c>
      <c r="C50" s="16" t="s">
        <v>71</v>
      </c>
      <c r="D50" s="16" t="s">
        <v>81</v>
      </c>
      <c r="E50" s="16">
        <v>24</v>
      </c>
      <c r="F50" s="16">
        <v>38</v>
      </c>
      <c r="G50" s="16">
        <f t="shared" si="2"/>
        <v>31</v>
      </c>
      <c r="H50" s="16">
        <v>0.4</v>
      </c>
      <c r="I50" s="16" t="s">
        <v>73</v>
      </c>
      <c r="J50" t="str">
        <f t="shared" si="3"/>
        <v>"Baking Powder":{"MATERIAL CLASS CODE":"48A35",</v>
      </c>
      <c r="K50" t="str">
        <f t="shared" si="4"/>
        <v>"CONVEY LOADING":"30A",</v>
      </c>
      <c r="L50" t="str">
        <f t="shared" si="5"/>
        <v>"COMPONENT GROUP":"1B",</v>
      </c>
      <c r="M50" t="str">
        <f t="shared" si="6"/>
        <v>"WEIGHT (LBS/CF)":47.5,</v>
      </c>
      <c r="N50" t="str">
        <f t="shared" si="7"/>
        <v>"MATERIAL FACTOR":0.6}</v>
      </c>
      <c r="O50" t="str">
        <f t="shared" si="8"/>
        <v>"Baking Powder":{"MATERIAL CLASS CODE":"48A35","CONVEY LOADING":"30A","COMPONENT GROUP":"1B","WEIGHT (LBS/CF)":47.5,"MATERIAL FACTOR":0.6},</v>
      </c>
    </row>
    <row r="51" spans="1:15" hidden="1" x14ac:dyDescent="0.25">
      <c r="A51" s="13" t="s">
        <v>173</v>
      </c>
      <c r="B51" s="14" t="s">
        <v>174</v>
      </c>
      <c r="C51" s="14" t="s">
        <v>71</v>
      </c>
      <c r="D51" s="14" t="s">
        <v>81</v>
      </c>
      <c r="E51" s="14">
        <v>31</v>
      </c>
      <c r="F51" s="14">
        <v>31</v>
      </c>
      <c r="G51" s="14">
        <f t="shared" si="2"/>
        <v>31</v>
      </c>
      <c r="H51" s="14">
        <v>0.4</v>
      </c>
      <c r="I51" s="14" t="s">
        <v>73</v>
      </c>
      <c r="J51" t="str">
        <f t="shared" si="3"/>
        <v>"Baking Soda (Sodium Bicarbonate)":{"MATERIAL CLASS CODE":"48A25",</v>
      </c>
      <c r="K51" t="str">
        <f t="shared" si="4"/>
        <v>"CONVEY LOADING":"45",</v>
      </c>
      <c r="L51" t="str">
        <f t="shared" si="5"/>
        <v>"COMPONENT GROUP":"1B",</v>
      </c>
      <c r="M51" t="str">
        <f t="shared" si="6"/>
        <v>"WEIGHT (LBS/CF)":47.5,</v>
      </c>
      <c r="N51" t="str">
        <f t="shared" si="7"/>
        <v>"MATERIAL FACTOR":0.6}</v>
      </c>
      <c r="O51" t="str">
        <f t="shared" si="8"/>
        <v>"Baking Soda (Sodium Bicarbonate)":{"MATERIAL CLASS CODE":"48A25","CONVEY LOADING":"45","COMPONENT GROUP":"1B","WEIGHT (LBS/CF)":47.5,"MATERIAL FACTOR":0.6},</v>
      </c>
    </row>
    <row r="52" spans="1:15" hidden="1" x14ac:dyDescent="0.25">
      <c r="A52" s="15" t="s">
        <v>175</v>
      </c>
      <c r="B52" s="16" t="s">
        <v>176</v>
      </c>
      <c r="C52" s="16" t="s">
        <v>71</v>
      </c>
      <c r="D52" s="16" t="s">
        <v>81</v>
      </c>
      <c r="E52" s="16">
        <v>28</v>
      </c>
      <c r="F52" s="16">
        <v>28</v>
      </c>
      <c r="G52" s="16">
        <f t="shared" si="2"/>
        <v>28</v>
      </c>
      <c r="H52" s="16">
        <v>0.4</v>
      </c>
      <c r="I52" s="16" t="s">
        <v>73</v>
      </c>
      <c r="J52" t="str">
        <f t="shared" si="3"/>
        <v>"Barite (Barium Sulfate), 1⁄2” to 3”":{"MATERIAL CLASS CODE":"150D36",</v>
      </c>
      <c r="K52" t="str">
        <f t="shared" si="4"/>
        <v>"CONVEY LOADING":"30B",</v>
      </c>
      <c r="L52" t="str">
        <f t="shared" si="5"/>
        <v>"COMPONENT GROUP":"3D",</v>
      </c>
      <c r="M52" t="str">
        <f t="shared" si="6"/>
        <v>"WEIGHT (LBS/CF)":150,</v>
      </c>
      <c r="N52" t="str">
        <f t="shared" si="7"/>
        <v>"MATERIAL FACTOR":2.6}</v>
      </c>
      <c r="O52" t="str">
        <f t="shared" si="8"/>
        <v>"Barite (Barium Sulfate), 1⁄2” to 3”":{"MATERIAL CLASS CODE":"150D36","CONVEY LOADING":"30B","COMPONENT GROUP":"3D","WEIGHT (LBS/CF)":150,"MATERIAL FACTOR":2.6},</v>
      </c>
    </row>
    <row r="53" spans="1:15" hidden="1" x14ac:dyDescent="0.25">
      <c r="A53" s="13" t="s">
        <v>177</v>
      </c>
      <c r="B53" s="14" t="s">
        <v>178</v>
      </c>
      <c r="C53" s="14">
        <v>45</v>
      </c>
      <c r="D53" s="14" t="s">
        <v>81</v>
      </c>
      <c r="E53" s="14">
        <v>36</v>
      </c>
      <c r="F53" s="14">
        <v>48</v>
      </c>
      <c r="G53" s="14">
        <f t="shared" si="2"/>
        <v>42</v>
      </c>
      <c r="H53" s="14">
        <v>0.5</v>
      </c>
      <c r="I53" s="14" t="s">
        <v>73</v>
      </c>
      <c r="J53" t="str">
        <f t="shared" si="3"/>
        <v>"Barite, Powder":{"MATERIAL CLASS CODE":"150A35X",</v>
      </c>
      <c r="K53" t="str">
        <f t="shared" si="4"/>
        <v>"CONVEY LOADING":"30A",</v>
      </c>
      <c r="L53" t="str">
        <f t="shared" si="5"/>
        <v>"COMPONENT GROUP":"2D",</v>
      </c>
      <c r="M53" t="str">
        <f t="shared" si="6"/>
        <v>"WEIGHT (LBS/CF)":150,</v>
      </c>
      <c r="N53" t="str">
        <f t="shared" si="7"/>
        <v>"MATERIAL FACTOR":2}</v>
      </c>
      <c r="O53" t="str">
        <f t="shared" si="8"/>
        <v>"Barite, Powder":{"MATERIAL CLASS CODE":"150A35X","CONVEY LOADING":"30A","COMPONENT GROUP":"2D","WEIGHT (LBS/CF)":150,"MATERIAL FACTOR":2},</v>
      </c>
    </row>
    <row r="54" spans="1:15" hidden="1" x14ac:dyDescent="0.25">
      <c r="A54" s="15" t="s">
        <v>179</v>
      </c>
      <c r="B54" s="16" t="s">
        <v>180</v>
      </c>
      <c r="C54" s="16">
        <v>15</v>
      </c>
      <c r="D54" s="16" t="s">
        <v>87</v>
      </c>
      <c r="E54" s="16">
        <v>80</v>
      </c>
      <c r="F54" s="16">
        <v>105</v>
      </c>
      <c r="G54" s="16">
        <f t="shared" si="2"/>
        <v>92.5</v>
      </c>
      <c r="H54" s="16">
        <v>1.8</v>
      </c>
      <c r="I54" s="16" t="s">
        <v>116</v>
      </c>
      <c r="J54" t="str">
        <f t="shared" si="3"/>
        <v>"Barium Carbonate":{"MATERIAL CLASS CODE":"72A45R",</v>
      </c>
      <c r="K54" t="str">
        <f t="shared" si="4"/>
        <v>"CONVEY LOADING":"30A",</v>
      </c>
      <c r="L54" t="str">
        <f t="shared" si="5"/>
        <v>"COMPONENT GROUP":"2D",</v>
      </c>
      <c r="M54" t="str">
        <f t="shared" si="6"/>
        <v>"WEIGHT (LBS/CF)":72,</v>
      </c>
      <c r="N54" t="str">
        <f t="shared" si="7"/>
        <v>"MATERIAL FACTOR":1.6}</v>
      </c>
      <c r="O54" t="str">
        <f t="shared" si="8"/>
        <v>"Barium Carbonate":{"MATERIAL CLASS CODE":"72A45R","CONVEY LOADING":"30A","COMPONENT GROUP":"2D","WEIGHT (LBS/CF)":72,"MATERIAL FACTOR":1.6},</v>
      </c>
    </row>
    <row r="55" spans="1:15" hidden="1" x14ac:dyDescent="0.25">
      <c r="A55" s="13" t="s">
        <v>181</v>
      </c>
      <c r="B55" s="14" t="s">
        <v>182</v>
      </c>
      <c r="C55" s="14" t="s">
        <v>99</v>
      </c>
      <c r="D55" s="14" t="s">
        <v>87</v>
      </c>
      <c r="E55" s="14">
        <v>75</v>
      </c>
      <c r="F55" s="14">
        <v>85</v>
      </c>
      <c r="G55" s="14">
        <f t="shared" si="2"/>
        <v>80</v>
      </c>
      <c r="H55" s="14">
        <v>2.5</v>
      </c>
      <c r="I55" s="14" t="s">
        <v>116</v>
      </c>
      <c r="J55" t="str">
        <f t="shared" si="3"/>
        <v>"Bark, Wood, Refuse":{"MATERIAL CLASS CODE":"15E45TVY",</v>
      </c>
      <c r="K55" t="str">
        <f t="shared" si="4"/>
        <v>"CONVEY LOADING":"30A",</v>
      </c>
      <c r="L55" t="str">
        <f t="shared" si="5"/>
        <v>"COMPONENT GROUP":"3D",</v>
      </c>
      <c r="M55" t="str">
        <f t="shared" si="6"/>
        <v>"WEIGHT (LBS/CF)":15,</v>
      </c>
      <c r="N55" t="str">
        <f t="shared" si="7"/>
        <v>"MATERIAL FACTOR":2}</v>
      </c>
      <c r="O55" t="str">
        <f t="shared" si="8"/>
        <v>"Bark, Wood, Refuse":{"MATERIAL CLASS CODE":"15E45TVY","CONVEY LOADING":"30A","COMPONENT GROUP":"3D","WEIGHT (LBS/CF)":15,"MATERIAL FACTOR":2},</v>
      </c>
    </row>
    <row r="56" spans="1:15" hidden="1" x14ac:dyDescent="0.25">
      <c r="A56" s="15" t="s">
        <v>183</v>
      </c>
      <c r="B56" s="16" t="s">
        <v>184</v>
      </c>
      <c r="C56" s="16">
        <v>45</v>
      </c>
      <c r="D56" s="16" t="s">
        <v>76</v>
      </c>
      <c r="E56" s="16">
        <v>68</v>
      </c>
      <c r="F56" s="16">
        <v>68</v>
      </c>
      <c r="G56" s="16">
        <f t="shared" si="2"/>
        <v>68</v>
      </c>
      <c r="H56" s="16">
        <v>1.8</v>
      </c>
      <c r="I56" s="16" t="s">
        <v>116</v>
      </c>
      <c r="J56" t="str">
        <f t="shared" si="3"/>
        <v>"Barley, Fine, Ground":{"MATERIAL CLASS CODE":"31B35",</v>
      </c>
      <c r="K56" t="str">
        <f t="shared" si="4"/>
        <v>"CONVEY LOADING":"30A",</v>
      </c>
      <c r="L56" t="str">
        <f t="shared" si="5"/>
        <v>"COMPONENT GROUP":"1A,1B,1C",</v>
      </c>
      <c r="M56" t="str">
        <f t="shared" si="6"/>
        <v>"WEIGHT (LBS/CF)":31,</v>
      </c>
      <c r="N56" t="str">
        <f t="shared" si="7"/>
        <v>"MATERIAL FACTOR":0.4}</v>
      </c>
      <c r="O56" t="str">
        <f t="shared" si="8"/>
        <v>"Barley, Fine, Ground":{"MATERIAL CLASS CODE":"31B35","CONVEY LOADING":"30A","COMPONENT GROUP":"1A,1B,1C","WEIGHT (LBS/CF)":31,"MATERIAL FACTOR":0.4},</v>
      </c>
    </row>
    <row r="57" spans="1:15" hidden="1" x14ac:dyDescent="0.25">
      <c r="A57" s="13" t="s">
        <v>185</v>
      </c>
      <c r="B57" s="14" t="s">
        <v>186</v>
      </c>
      <c r="C57" s="14" t="s">
        <v>71</v>
      </c>
      <c r="D57" s="14" t="s">
        <v>81</v>
      </c>
      <c r="E57" s="14">
        <v>35</v>
      </c>
      <c r="F57" s="14">
        <v>40</v>
      </c>
      <c r="G57" s="14">
        <f t="shared" si="2"/>
        <v>37.5</v>
      </c>
      <c r="H57" s="14">
        <v>0.8</v>
      </c>
      <c r="I57" s="14" t="s">
        <v>73</v>
      </c>
      <c r="J57" t="str">
        <f t="shared" si="3"/>
        <v>"Barley, Malted":{"MATERIAL CLASS CODE":"31C35",</v>
      </c>
      <c r="K57" t="str">
        <f t="shared" si="4"/>
        <v>"CONVEY LOADING":"30A",</v>
      </c>
      <c r="L57" t="str">
        <f t="shared" si="5"/>
        <v>"COMPONENT GROUP":"1A,1B,1C",</v>
      </c>
      <c r="M57" t="str">
        <f t="shared" si="6"/>
        <v>"WEIGHT (LBS/CF)":31,</v>
      </c>
      <c r="N57" t="str">
        <f t="shared" si="7"/>
        <v>"MATERIAL FACTOR":0.4}</v>
      </c>
      <c r="O57" t="str">
        <f t="shared" si="8"/>
        <v>"Barley, Malted":{"MATERIAL CLASS CODE":"31C35","CONVEY LOADING":"30A","COMPONENT GROUP":"1A,1B,1C","WEIGHT (LBS/CF)":31,"MATERIAL FACTOR":0.4},</v>
      </c>
    </row>
    <row r="58" spans="1:15" ht="15.75" hidden="1" thickBot="1" x14ac:dyDescent="0.3">
      <c r="A58" s="19" t="s">
        <v>187</v>
      </c>
      <c r="B58" s="20" t="s">
        <v>188</v>
      </c>
      <c r="C58" s="20">
        <v>45</v>
      </c>
      <c r="D58" s="20" t="s">
        <v>81</v>
      </c>
      <c r="E58" s="20">
        <v>36</v>
      </c>
      <c r="F58" s="20">
        <v>36</v>
      </c>
      <c r="G58" s="20">
        <f t="shared" si="2"/>
        <v>36</v>
      </c>
      <c r="H58" s="20">
        <v>0.5</v>
      </c>
      <c r="I58" s="20" t="s">
        <v>73</v>
      </c>
      <c r="J58" t="str">
        <f t="shared" si="3"/>
        <v>"Barley, Meal":{"MATERIAL CLASS CODE":"28C35",</v>
      </c>
      <c r="K58" t="str">
        <f t="shared" si="4"/>
        <v>"CONVEY LOADING":"30A",</v>
      </c>
      <c r="L58" t="str">
        <f t="shared" si="5"/>
        <v>"COMPONENT GROUP":"1A,1B,1C",</v>
      </c>
      <c r="M58" t="str">
        <f t="shared" si="6"/>
        <v>"WEIGHT (LBS/CF)":28,</v>
      </c>
      <c r="N58" t="str">
        <f t="shared" si="7"/>
        <v>"MATERIAL FACTOR":0.4}</v>
      </c>
      <c r="O58" t="str">
        <f t="shared" si="8"/>
        <v>"Barley, Meal":{"MATERIAL CLASS CODE":"28C35","CONVEY LOADING":"30A","COMPONENT GROUP":"1A,1B,1C","WEIGHT (LBS/CF)":28,"MATERIAL FACTOR":0.4},</v>
      </c>
    </row>
    <row r="59" spans="1:15" hidden="1" x14ac:dyDescent="0.25">
      <c r="A59" s="13" t="s">
        <v>189</v>
      </c>
      <c r="B59" s="14" t="s">
        <v>190</v>
      </c>
      <c r="C59" s="14">
        <v>45</v>
      </c>
      <c r="D59" s="14" t="s">
        <v>81</v>
      </c>
      <c r="E59" s="14">
        <v>48</v>
      </c>
      <c r="F59" s="14">
        <v>48</v>
      </c>
      <c r="G59" s="14">
        <f t="shared" si="2"/>
        <v>48</v>
      </c>
      <c r="H59" s="14">
        <v>0.5</v>
      </c>
      <c r="I59" s="14" t="s">
        <v>116</v>
      </c>
      <c r="J59" t="str">
        <f t="shared" si="3"/>
        <v>"Barley, Whole":{"MATERIAL CLASS CODE":"42B25N",</v>
      </c>
      <c r="K59" t="str">
        <f t="shared" si="4"/>
        <v>"CONVEY LOADING":"45",</v>
      </c>
      <c r="L59" t="str">
        <f t="shared" si="5"/>
        <v>"COMPONENT GROUP":"1A,1B,1C",</v>
      </c>
      <c r="M59" t="str">
        <f t="shared" si="6"/>
        <v>"WEIGHT (LBS/CF)":42,</v>
      </c>
      <c r="N59" t="str">
        <f t="shared" si="7"/>
        <v>"MATERIAL FACTOR":0.5}</v>
      </c>
      <c r="O59" t="str">
        <f t="shared" si="8"/>
        <v>"Barley, Whole":{"MATERIAL CLASS CODE":"42B25N","CONVEY LOADING":"45","COMPONENT GROUP":"1A,1B,1C","WEIGHT (LBS/CF)":42,"MATERIAL FACTOR":0.5},</v>
      </c>
    </row>
    <row r="60" spans="1:15" hidden="1" x14ac:dyDescent="0.25">
      <c r="A60" s="15" t="s">
        <v>191</v>
      </c>
      <c r="B60" s="16" t="s">
        <v>192</v>
      </c>
      <c r="C60" s="16">
        <v>45</v>
      </c>
      <c r="D60" s="16" t="s">
        <v>81</v>
      </c>
      <c r="E60" s="16">
        <v>60</v>
      </c>
      <c r="F60" s="16">
        <v>60</v>
      </c>
      <c r="G60" s="16">
        <f t="shared" si="2"/>
        <v>60</v>
      </c>
      <c r="H60" s="16">
        <v>0.8</v>
      </c>
      <c r="I60" s="16" t="s">
        <v>116</v>
      </c>
      <c r="J60" t="str">
        <f t="shared" si="3"/>
        <v>"Basalt":{"MATERIAL CLASS CODE":"93B27",</v>
      </c>
      <c r="K60" t="str">
        <f t="shared" si="4"/>
        <v>"CONVEY LOADING":"15",</v>
      </c>
      <c r="L60" t="str">
        <f t="shared" si="5"/>
        <v>"COMPONENT GROUP":"3D",</v>
      </c>
      <c r="M60" t="str">
        <f t="shared" si="6"/>
        <v>"WEIGHT (LBS/CF)":92.5,</v>
      </c>
      <c r="N60" t="str">
        <f t="shared" si="7"/>
        <v>"MATERIAL FACTOR":1.8}</v>
      </c>
      <c r="O60" t="str">
        <f t="shared" si="8"/>
        <v>"Basalt":{"MATERIAL CLASS CODE":"93B27","CONVEY LOADING":"15","COMPONENT GROUP":"3D","WEIGHT (LBS/CF)":92.5,"MATERIAL FACTOR":1.8},</v>
      </c>
    </row>
    <row r="61" spans="1:15" hidden="1" x14ac:dyDescent="0.25">
      <c r="A61" s="13" t="s">
        <v>193</v>
      </c>
      <c r="B61" s="14" t="s">
        <v>194</v>
      </c>
      <c r="C61" s="14">
        <v>45</v>
      </c>
      <c r="D61" s="14" t="s">
        <v>76</v>
      </c>
      <c r="E61" s="14">
        <v>50</v>
      </c>
      <c r="F61" s="14">
        <v>60</v>
      </c>
      <c r="G61" s="14">
        <f t="shared" si="2"/>
        <v>55</v>
      </c>
      <c r="H61" s="14">
        <v>0.7</v>
      </c>
      <c r="I61" s="14" t="s">
        <v>73</v>
      </c>
      <c r="J61" t="str">
        <f t="shared" si="3"/>
        <v>"Bauxite, Crushed, 3” (Aluminum Ore)":{"MATERIAL CLASS CODE":"80D36",</v>
      </c>
      <c r="K61" t="str">
        <f t="shared" si="4"/>
        <v>"CONVEY LOADING":"30B",</v>
      </c>
      <c r="L61" t="str">
        <f t="shared" si="5"/>
        <v>"COMPONENT GROUP":"3D",</v>
      </c>
      <c r="M61" t="str">
        <f t="shared" si="6"/>
        <v>"WEIGHT (LBS/CF)":80,</v>
      </c>
      <c r="N61" t="str">
        <f t="shared" si="7"/>
        <v>"MATERIAL FACTOR":2.5}</v>
      </c>
      <c r="O61" t="str">
        <f t="shared" si="8"/>
        <v>"Bauxite, Crushed, 3” (Aluminum Ore)":{"MATERIAL CLASS CODE":"80D36","CONVEY LOADING":"30B","COMPONENT GROUP":"3D","WEIGHT (LBS/CF)":80,"MATERIAL FACTOR":2.5},</v>
      </c>
    </row>
    <row r="62" spans="1:15" hidden="1" x14ac:dyDescent="0.25">
      <c r="A62" s="15" t="s">
        <v>195</v>
      </c>
      <c r="B62" s="16" t="s">
        <v>196</v>
      </c>
      <c r="C62" s="16" t="s">
        <v>71</v>
      </c>
      <c r="D62" s="16" t="s">
        <v>76</v>
      </c>
      <c r="E62" s="16">
        <v>34</v>
      </c>
      <c r="F62" s="16">
        <v>40</v>
      </c>
      <c r="G62" s="16">
        <f t="shared" si="2"/>
        <v>37</v>
      </c>
      <c r="H62" s="16">
        <v>1.2</v>
      </c>
      <c r="I62" s="30"/>
      <c r="J62" t="str">
        <f t="shared" si="3"/>
        <v>"Bauxite, Dry, Ground (Aluminum Ore)":{"MATERIAL CLASS CODE":"68B25",</v>
      </c>
      <c r="K62" t="str">
        <f t="shared" si="4"/>
        <v>"CONVEY LOADING":"45",</v>
      </c>
      <c r="L62" t="str">
        <f t="shared" si="5"/>
        <v>"COMPONENT GROUP":"2D",</v>
      </c>
      <c r="M62" t="str">
        <f t="shared" si="6"/>
        <v>"WEIGHT (LBS/CF)":68,</v>
      </c>
      <c r="N62" t="str">
        <f t="shared" si="7"/>
        <v>"MATERIAL FACTOR":1.8}</v>
      </c>
      <c r="O62" t="str">
        <f t="shared" si="8"/>
        <v>"Bauxite, Dry, Ground (Aluminum Ore)":{"MATERIAL CLASS CODE":"68B25","CONVEY LOADING":"45","COMPONENT GROUP":"2D","WEIGHT (LBS/CF)":68,"MATERIAL FACTOR":1.8},</v>
      </c>
    </row>
    <row r="63" spans="1:15" hidden="1" x14ac:dyDescent="0.25">
      <c r="A63" s="13" t="s">
        <v>197</v>
      </c>
      <c r="B63" s="14" t="s">
        <v>198</v>
      </c>
      <c r="C63" s="14" t="s">
        <v>71</v>
      </c>
      <c r="D63" s="14" t="s">
        <v>81</v>
      </c>
      <c r="E63" s="14">
        <v>56</v>
      </c>
      <c r="F63" s="14">
        <v>56</v>
      </c>
      <c r="G63" s="14">
        <f t="shared" si="2"/>
        <v>56</v>
      </c>
      <c r="H63" s="14">
        <v>0.6</v>
      </c>
      <c r="I63" s="14" t="s">
        <v>116</v>
      </c>
      <c r="J63" t="str">
        <f t="shared" si="3"/>
        <v>"Beans, Castor, Meal":{"MATERIAL CLASS CODE":"38B35W",</v>
      </c>
      <c r="K63" t="str">
        <f t="shared" si="4"/>
        <v>"CONVEY LOADING":"30A",</v>
      </c>
      <c r="L63" t="str">
        <f t="shared" si="5"/>
        <v>"COMPONENT GROUP":"1A,1B,1C",</v>
      </c>
      <c r="M63" t="str">
        <f t="shared" si="6"/>
        <v>"WEIGHT (LBS/CF)":37.5,</v>
      </c>
      <c r="N63" t="str">
        <f t="shared" si="7"/>
        <v>"MATERIAL FACTOR":0.8}</v>
      </c>
      <c r="O63" t="str">
        <f t="shared" si="8"/>
        <v>"Beans, Castor, Meal":{"MATERIAL CLASS CODE":"38B35W","CONVEY LOADING":"30A","COMPONENT GROUP":"1A,1B,1C","WEIGHT (LBS/CF)":37.5,"MATERIAL FACTOR":0.8},</v>
      </c>
    </row>
    <row r="64" spans="1:15" hidden="1" x14ac:dyDescent="0.25">
      <c r="A64" s="15" t="s">
        <v>199</v>
      </c>
      <c r="B64" s="16" t="s">
        <v>162</v>
      </c>
      <c r="C64" s="16">
        <v>45</v>
      </c>
      <c r="D64" s="16" t="s">
        <v>160</v>
      </c>
      <c r="E64" s="16">
        <v>40</v>
      </c>
      <c r="F64" s="16">
        <v>55</v>
      </c>
      <c r="G64" s="16">
        <f t="shared" si="2"/>
        <v>47.5</v>
      </c>
      <c r="H64" s="16">
        <v>0.6</v>
      </c>
      <c r="I64" s="16" t="s">
        <v>116</v>
      </c>
      <c r="J64" t="str">
        <f t="shared" si="3"/>
        <v>"Beans, Castor, Whole Shelled":{"MATERIAL CLASS CODE":"36C15W",</v>
      </c>
      <c r="K64" t="str">
        <f t="shared" si="4"/>
        <v>"CONVEY LOADING":"45",</v>
      </c>
      <c r="L64" t="str">
        <f t="shared" si="5"/>
        <v>"COMPONENT GROUP":"1A,1B,1C",</v>
      </c>
      <c r="M64" t="str">
        <f t="shared" si="6"/>
        <v>"WEIGHT (LBS/CF)":36,</v>
      </c>
      <c r="N64" t="str">
        <f t="shared" si="7"/>
        <v>"MATERIAL FACTOR":0.5}</v>
      </c>
      <c r="O64" t="str">
        <f t="shared" si="8"/>
        <v>"Beans, Castor, Whole Shelled":{"MATERIAL CLASS CODE":"36C15W","CONVEY LOADING":"45","COMPONENT GROUP":"1A,1B,1C","WEIGHT (LBS/CF)":36,"MATERIAL FACTOR":0.5},</v>
      </c>
    </row>
    <row r="65" spans="1:15" hidden="1" x14ac:dyDescent="0.25">
      <c r="A65" s="13" t="s">
        <v>200</v>
      </c>
      <c r="B65" s="14" t="s">
        <v>201</v>
      </c>
      <c r="C65" s="14" t="s">
        <v>71</v>
      </c>
      <c r="D65" s="14" t="s">
        <v>76</v>
      </c>
      <c r="E65" s="14">
        <v>35</v>
      </c>
      <c r="F65" s="14">
        <v>45</v>
      </c>
      <c r="G65" s="14">
        <f t="shared" si="2"/>
        <v>40</v>
      </c>
      <c r="H65" s="14">
        <v>2</v>
      </c>
      <c r="I65" s="14" t="s">
        <v>73</v>
      </c>
      <c r="J65" t="str">
        <f t="shared" si="3"/>
        <v>"Beans, Navy, Dry":{"MATERIAL CLASS CODE":"48C15",</v>
      </c>
      <c r="K65" t="str">
        <f t="shared" si="4"/>
        <v>"CONVEY LOADING":"45",</v>
      </c>
      <c r="L65" t="str">
        <f t="shared" si="5"/>
        <v>"COMPONENT GROUP":"1A,1B,1C",</v>
      </c>
      <c r="M65" t="str">
        <f t="shared" si="6"/>
        <v>"WEIGHT (LBS/CF)":48,</v>
      </c>
      <c r="N65" t="str">
        <f t="shared" si="7"/>
        <v>"MATERIAL FACTOR":0.5}</v>
      </c>
      <c r="O65" t="str">
        <f t="shared" si="8"/>
        <v>"Beans, Navy, Dry":{"MATERIAL CLASS CODE":"48C15","CONVEY LOADING":"45","COMPONENT GROUP":"1A,1B,1C","WEIGHT (LBS/CF)":48,"MATERIAL FACTOR":0.5},</v>
      </c>
    </row>
    <row r="66" spans="1:15" hidden="1" x14ac:dyDescent="0.25">
      <c r="A66" s="15" t="s">
        <v>202</v>
      </c>
      <c r="B66" s="16" t="s">
        <v>203</v>
      </c>
      <c r="C66" s="16" t="s">
        <v>71</v>
      </c>
      <c r="D66" s="16" t="s">
        <v>204</v>
      </c>
      <c r="E66" s="16">
        <v>30</v>
      </c>
      <c r="F66" s="16">
        <v>30</v>
      </c>
      <c r="G66" s="16">
        <f t="shared" si="2"/>
        <v>30</v>
      </c>
      <c r="H66" s="16">
        <v>1</v>
      </c>
      <c r="I66" s="16" t="s">
        <v>73</v>
      </c>
      <c r="J66" t="str">
        <f t="shared" si="3"/>
        <v>"Beans, Navy, Steeped":{"MATERIAL CLASS CODE":"60C25",</v>
      </c>
      <c r="K66" t="str">
        <f t="shared" si="4"/>
        <v>"CONVEY LOADING":"45",</v>
      </c>
      <c r="L66" t="str">
        <f t="shared" si="5"/>
        <v>"COMPONENT GROUP":"1A,1B,1C",</v>
      </c>
      <c r="M66" t="str">
        <f t="shared" si="6"/>
        <v>"WEIGHT (LBS/CF)":60,</v>
      </c>
      <c r="N66" t="str">
        <f t="shared" si="7"/>
        <v>"MATERIAL FACTOR":0.8}</v>
      </c>
      <c r="O66" t="str">
        <f t="shared" si="8"/>
        <v>"Beans, Navy, Steeped":{"MATERIAL CLASS CODE":"60C25","CONVEY LOADING":"45","COMPONENT GROUP":"1A,1B,1C","WEIGHT (LBS/CF)":60,"MATERIAL FACTOR":0.8},</v>
      </c>
    </row>
    <row r="67" spans="1:15" hidden="1" x14ac:dyDescent="0.25">
      <c r="A67" s="13" t="s">
        <v>205</v>
      </c>
      <c r="B67" s="14" t="s">
        <v>206</v>
      </c>
      <c r="C67" s="14" t="s">
        <v>71</v>
      </c>
      <c r="D67" s="14" t="s">
        <v>207</v>
      </c>
      <c r="E67" s="14">
        <v>40</v>
      </c>
      <c r="F67" s="14">
        <v>50</v>
      </c>
      <c r="G67" s="14">
        <f t="shared" si="2"/>
        <v>45</v>
      </c>
      <c r="H67" s="14">
        <v>1.6</v>
      </c>
      <c r="I67" s="29"/>
      <c r="J67" t="str">
        <f t="shared" si="3"/>
        <v>"Bentonite, 100 Mesh":{"MATERIAL CLASS CODE":"55A25MXY",</v>
      </c>
      <c r="K67" t="str">
        <f t="shared" si="4"/>
        <v>"CONVEY LOADING":"45",</v>
      </c>
      <c r="L67" t="str">
        <f t="shared" si="5"/>
        <v>"COMPONENT GROUP":"2D",</v>
      </c>
      <c r="M67" t="str">
        <f t="shared" si="6"/>
        <v>"WEIGHT (LBS/CF)":55,</v>
      </c>
      <c r="N67" t="str">
        <f t="shared" si="7"/>
        <v>"MATERIAL FACTOR":0.7}</v>
      </c>
      <c r="O67" t="str">
        <f t="shared" si="8"/>
        <v>"Bentonite, 100 Mesh":{"MATERIAL CLASS CODE":"55A25MXY","CONVEY LOADING":"45","COMPONENT GROUP":"2D","WEIGHT (LBS/CF)":55,"MATERIAL FACTOR":0.7},</v>
      </c>
    </row>
    <row r="68" spans="1:15" hidden="1" x14ac:dyDescent="0.25">
      <c r="A68" s="15" t="s">
        <v>208</v>
      </c>
      <c r="B68" s="16" t="s">
        <v>209</v>
      </c>
      <c r="C68" s="16">
        <v>45</v>
      </c>
      <c r="D68" s="16" t="s">
        <v>207</v>
      </c>
      <c r="E68" s="16">
        <v>20</v>
      </c>
      <c r="F68" s="16">
        <v>25</v>
      </c>
      <c r="G68" s="16">
        <f t="shared" si="2"/>
        <v>22.5</v>
      </c>
      <c r="H68" s="16">
        <v>1.5</v>
      </c>
      <c r="I68" s="16" t="s">
        <v>73</v>
      </c>
      <c r="J68" t="str">
        <f t="shared" si="3"/>
        <v>"Bentonite, Crude":{"MATERIAL CLASS CODE":"37D45X",</v>
      </c>
      <c r="K68" t="str">
        <f t="shared" si="4"/>
        <v>"CONVEY LOADING":"30A",</v>
      </c>
      <c r="L68" t="str">
        <f t="shared" si="5"/>
        <v>"COMPONENT GROUP":"2D",</v>
      </c>
      <c r="M68" t="str">
        <f t="shared" si="6"/>
        <v>"WEIGHT (LBS/CF)":37,</v>
      </c>
      <c r="N68" t="str">
        <f t="shared" si="7"/>
        <v>"MATERIAL FACTOR":1.2}</v>
      </c>
      <c r="O68" t="str">
        <f t="shared" si="8"/>
        <v>"Bentonite, Crude":{"MATERIAL CLASS CODE":"37D45X","CONVEY LOADING":"30A","COMPONENT GROUP":"2D","WEIGHT (LBS/CF)":37,"MATERIAL FACTOR":1.2},</v>
      </c>
    </row>
    <row r="69" spans="1:15" hidden="1" x14ac:dyDescent="0.25">
      <c r="A69" s="13" t="s">
        <v>210</v>
      </c>
      <c r="B69" s="14" t="s">
        <v>211</v>
      </c>
      <c r="C69" s="14" t="s">
        <v>71</v>
      </c>
      <c r="D69" s="14" t="s">
        <v>207</v>
      </c>
      <c r="E69" s="14">
        <v>27</v>
      </c>
      <c r="F69" s="14">
        <v>40</v>
      </c>
      <c r="G69" s="14">
        <f t="shared" ref="G69:G132" si="9">IFERROR((F69+E69)/2,0)</f>
        <v>33.5</v>
      </c>
      <c r="H69" s="14">
        <v>1.6</v>
      </c>
      <c r="I69" s="14" t="s">
        <v>73</v>
      </c>
      <c r="J69" t="str">
        <f t="shared" si="3"/>
        <v>"Benzene Hexachloride":{"MATERIAL CLASS CODE":"56A45R",</v>
      </c>
      <c r="K69" t="str">
        <f t="shared" si="4"/>
        <v>"CONVEY LOADING":"30A",</v>
      </c>
      <c r="L69" t="str">
        <f t="shared" si="5"/>
        <v>"COMPONENT GROUP":"1A,1B,1C",</v>
      </c>
      <c r="M69" t="str">
        <f t="shared" si="6"/>
        <v>"WEIGHT (LBS/CF)":56,</v>
      </c>
      <c r="N69" t="str">
        <f t="shared" si="7"/>
        <v>"MATERIAL FACTOR":0.6}</v>
      </c>
      <c r="O69" t="str">
        <f t="shared" si="8"/>
        <v>"Benzene Hexachloride":{"MATERIAL CLASS CODE":"56A45R","CONVEY LOADING":"30A","COMPONENT GROUP":"1A,1B,1C","WEIGHT (LBS/CF)":56,"MATERIAL FACTOR":0.6},</v>
      </c>
    </row>
    <row r="70" spans="1:15" hidden="1" x14ac:dyDescent="0.25">
      <c r="A70" s="15" t="s">
        <v>212</v>
      </c>
      <c r="B70" s="16" t="s">
        <v>213</v>
      </c>
      <c r="C70" s="16" t="s">
        <v>71</v>
      </c>
      <c r="D70" s="16" t="s">
        <v>76</v>
      </c>
      <c r="E70" s="16">
        <v>50</v>
      </c>
      <c r="F70" s="16">
        <v>60</v>
      </c>
      <c r="G70" s="16">
        <f t="shared" si="9"/>
        <v>55</v>
      </c>
      <c r="H70" s="16">
        <v>1.7</v>
      </c>
      <c r="I70" s="16" t="s">
        <v>73</v>
      </c>
      <c r="J70" t="str">
        <f t="shared" si="3"/>
        <v>"Bicarbonate of Soda (Baking Soda)":{"MATERIAL CLASS CODE":"48A25",</v>
      </c>
      <c r="K70" t="str">
        <f t="shared" si="4"/>
        <v>"CONVEY LOADING":"45",</v>
      </c>
      <c r="L70" t="str">
        <f t="shared" si="5"/>
        <v>"COMPONENT GROUP":"1B",</v>
      </c>
      <c r="M70" t="str">
        <f t="shared" si="6"/>
        <v>"WEIGHT (LBS/CF)":47.5,</v>
      </c>
      <c r="N70" t="str">
        <f t="shared" si="7"/>
        <v>"MATERIAL FACTOR":0.6}</v>
      </c>
      <c r="O70" t="str">
        <f t="shared" si="8"/>
        <v>"Bicarbonate of Soda (Baking Soda)":{"MATERIAL CLASS CODE":"48A25","CONVEY LOADING":"45","COMPONENT GROUP":"1B","WEIGHT (LBS/CF)":47.5,"MATERIAL FACTOR":0.6},</v>
      </c>
    </row>
    <row r="71" spans="1:15" x14ac:dyDescent="0.25">
      <c r="A71" s="13" t="s">
        <v>214</v>
      </c>
      <c r="B71" s="14" t="s">
        <v>215</v>
      </c>
      <c r="C71" s="14" t="s">
        <v>71</v>
      </c>
      <c r="D71" s="14" t="s">
        <v>76</v>
      </c>
      <c r="E71" s="14">
        <v>35</v>
      </c>
      <c r="F71" s="14">
        <v>50</v>
      </c>
      <c r="G71" s="14">
        <f t="shared" si="9"/>
        <v>42.5</v>
      </c>
      <c r="H71" s="14">
        <v>2</v>
      </c>
      <c r="I71" s="14" t="s">
        <v>73</v>
      </c>
      <c r="J71" t="str">
        <f t="shared" si="3"/>
        <v>"Blood, Dried":{"MATERIAL CLASS CODE":"40D45U",</v>
      </c>
      <c r="K71" t="str">
        <f t="shared" si="4"/>
        <v>"CONVEY LOADING":"30A",</v>
      </c>
      <c r="L71" t="str">
        <f t="shared" si="5"/>
        <v>"COMPONENT GROUP":"2D",</v>
      </c>
      <c r="M71" t="str">
        <f t="shared" si="6"/>
        <v>"WEIGHT (LBS/CF)":40,</v>
      </c>
      <c r="N71" t="str">
        <f t="shared" si="7"/>
        <v>"MATERIAL FACTOR":2}</v>
      </c>
      <c r="O71" t="str">
        <f t="shared" si="8"/>
        <v>"Blood, Dried":{"MATERIAL CLASS CODE":"40D45U","CONVEY LOADING":"30A","COMPONENT GROUP":"2D","WEIGHT (LBS/CF)":40,"MATERIAL FACTOR":2},</v>
      </c>
    </row>
    <row r="72" spans="1:15" x14ac:dyDescent="0.25">
      <c r="A72" s="15" t="s">
        <v>216</v>
      </c>
      <c r="B72" s="16" t="s">
        <v>217</v>
      </c>
      <c r="C72" s="16" t="s">
        <v>71</v>
      </c>
      <c r="D72" s="16" t="s">
        <v>76</v>
      </c>
      <c r="E72" s="16">
        <v>50</v>
      </c>
      <c r="F72" s="16">
        <v>50</v>
      </c>
      <c r="G72" s="16">
        <f t="shared" si="9"/>
        <v>50</v>
      </c>
      <c r="H72" s="16">
        <v>1.7</v>
      </c>
      <c r="I72" s="16" t="s">
        <v>73</v>
      </c>
      <c r="J72" t="str">
        <f t="shared" si="3"/>
        <v>"Blood, Ground, Dried":{"MATERIAL CLASS CODE":"30A35U",</v>
      </c>
      <c r="K72" t="str">
        <f t="shared" si="4"/>
        <v>"CONVEY LOADING":"30A",</v>
      </c>
      <c r="L72" t="str">
        <f t="shared" si="5"/>
        <v>"COMPONENT GROUP":"1A,1B,",</v>
      </c>
      <c r="M72" t="str">
        <f t="shared" si="6"/>
        <v>"WEIGHT (LBS/CF)":30,</v>
      </c>
      <c r="N72" t="str">
        <f t="shared" si="7"/>
        <v>"MATERIAL FACTOR":1}</v>
      </c>
      <c r="O72" t="str">
        <f t="shared" si="8"/>
        <v>"Blood, Ground, Dried":{"MATERIAL CLASS CODE":"30A35U","CONVEY LOADING":"30A","COMPONENT GROUP":"1A,1B,","WEIGHT (LBS/CF)":30,"MATERIAL FACTOR":1},</v>
      </c>
    </row>
    <row r="73" spans="1:15" x14ac:dyDescent="0.25">
      <c r="A73" s="13" t="s">
        <v>218</v>
      </c>
      <c r="B73" s="14" t="s">
        <v>219</v>
      </c>
      <c r="C73" s="14" t="s">
        <v>71</v>
      </c>
      <c r="D73" s="14" t="s">
        <v>76</v>
      </c>
      <c r="E73" s="14">
        <v>35</v>
      </c>
      <c r="F73" s="14">
        <v>50</v>
      </c>
      <c r="G73" s="14">
        <f t="shared" si="9"/>
        <v>42.5</v>
      </c>
      <c r="H73" s="14">
        <v>3</v>
      </c>
      <c r="I73" s="29"/>
      <c r="J73" t="str">
        <f t="shared" si="3"/>
        <v>"Bone Ash (Tricalcium Phosphate)":{"MATERIAL CLASS CODE":"45A45",</v>
      </c>
      <c r="K73" t="str">
        <f t="shared" si="4"/>
        <v>"CONVEY LOADING":"30A",</v>
      </c>
      <c r="L73" t="str">
        <f t="shared" si="5"/>
        <v>"COMPONENT GROUP":"1A,1B",</v>
      </c>
      <c r="M73" t="str">
        <f t="shared" si="6"/>
        <v>"WEIGHT (LBS/CF)":45,</v>
      </c>
      <c r="N73" t="str">
        <f t="shared" si="7"/>
        <v>"MATERIAL FACTOR":1.6}</v>
      </c>
      <c r="O73" t="str">
        <f t="shared" si="8"/>
        <v>"Bone Ash (Tricalcium Phosphate)":{"MATERIAL CLASS CODE":"45A45","CONVEY LOADING":"30A","COMPONENT GROUP":"1A,1B","WEIGHT (LBS/CF)":45,"MATERIAL FACTOR":1.6},</v>
      </c>
    </row>
    <row r="74" spans="1:15" hidden="1" x14ac:dyDescent="0.25">
      <c r="A74" s="15" t="s">
        <v>220</v>
      </c>
      <c r="B74" s="16" t="s">
        <v>221</v>
      </c>
      <c r="C74" s="16" t="s">
        <v>71</v>
      </c>
      <c r="D74" s="16" t="s">
        <v>81</v>
      </c>
      <c r="E74" s="16">
        <v>60</v>
      </c>
      <c r="F74" s="16">
        <v>60</v>
      </c>
      <c r="G74" s="16">
        <f t="shared" si="9"/>
        <v>60</v>
      </c>
      <c r="H74" s="16">
        <v>0.6</v>
      </c>
      <c r="I74" s="30"/>
      <c r="J74" t="str">
        <f t="shared" si="3"/>
        <v>"Boneblack":{"MATERIAL CLASS CODE":"23A25Y",</v>
      </c>
      <c r="K74" t="str">
        <f t="shared" si="4"/>
        <v>"CONVEY LOADING":"45",</v>
      </c>
      <c r="L74" t="str">
        <f t="shared" si="5"/>
        <v>"COMPONENT GROUP":"1A,1B",</v>
      </c>
      <c r="M74" t="str">
        <f t="shared" si="6"/>
        <v>"WEIGHT (LBS/CF)":22.5,</v>
      </c>
      <c r="N74" t="str">
        <f t="shared" si="7"/>
        <v>"MATERIAL FACTOR":1.5}</v>
      </c>
      <c r="O74" t="str">
        <f t="shared" si="8"/>
        <v>"Boneblack":{"MATERIAL CLASS CODE":"23A25Y","CONVEY LOADING":"45","COMPONENT GROUP":"1A,1B","WEIGHT (LBS/CF)":22.5,"MATERIAL FACTOR":1.5},</v>
      </c>
    </row>
    <row r="75" spans="1:15" hidden="1" x14ac:dyDescent="0.25">
      <c r="A75" s="13" t="s">
        <v>222</v>
      </c>
      <c r="B75" s="14" t="s">
        <v>223</v>
      </c>
      <c r="C75" s="14" t="s">
        <v>71</v>
      </c>
      <c r="D75" s="14" t="s">
        <v>76</v>
      </c>
      <c r="E75" s="14">
        <v>55</v>
      </c>
      <c r="F75" s="14">
        <v>60</v>
      </c>
      <c r="G75" s="14">
        <f t="shared" si="9"/>
        <v>57.5</v>
      </c>
      <c r="H75" s="14">
        <v>1.5</v>
      </c>
      <c r="I75" s="29"/>
      <c r="J75" t="str">
        <f t="shared" si="3"/>
        <v>"Bonechar":{"MATERIAL CLASS CODE":"34B35",</v>
      </c>
      <c r="K75" t="str">
        <f t="shared" si="4"/>
        <v>"CONVEY LOADING":"30A",</v>
      </c>
      <c r="L75" t="str">
        <f t="shared" si="5"/>
        <v>"COMPONENT GROUP":"1A,1B",</v>
      </c>
      <c r="M75" t="str">
        <f t="shared" si="6"/>
        <v>"WEIGHT (LBS/CF)":33.5,</v>
      </c>
      <c r="N75" t="str">
        <f t="shared" si="7"/>
        <v>"MATERIAL FACTOR":1.6}</v>
      </c>
      <c r="O75" t="str">
        <f t="shared" si="8"/>
        <v>"Bonechar":{"MATERIAL CLASS CODE":"34B35","CONVEY LOADING":"30A","COMPONENT GROUP":"1A,1B","WEIGHT (LBS/CF)":33.5,"MATERIAL FACTOR":1.6},</v>
      </c>
    </row>
    <row r="76" spans="1:15" hidden="1" x14ac:dyDescent="0.25">
      <c r="A76" s="15" t="s">
        <v>224</v>
      </c>
      <c r="B76" s="16" t="s">
        <v>225</v>
      </c>
      <c r="C76" s="16" t="s">
        <v>71</v>
      </c>
      <c r="D76" s="16" t="s">
        <v>76</v>
      </c>
      <c r="E76" s="16">
        <v>55</v>
      </c>
      <c r="F76" s="16">
        <v>60</v>
      </c>
      <c r="G76" s="16">
        <f t="shared" si="9"/>
        <v>57.5</v>
      </c>
      <c r="H76" s="16">
        <v>1.8</v>
      </c>
      <c r="I76" s="30"/>
      <c r="J76" t="str">
        <f t="shared" ref="J76:J139" si="10">CHAR(34)&amp;A70&amp;CHAR(34)&amp;":{"&amp;CHAR(34)&amp;$B$4&amp;CHAR(34)&amp;":"&amp;CHAR(34)&amp;B70&amp;CHAR(34)&amp;","</f>
        <v>"Bonemeal":{"MATERIAL CLASS CODE":"55B35",</v>
      </c>
      <c r="K76" t="str">
        <f t="shared" ref="K76:K139" si="11">CHAR(34)&amp;$C$4&amp;CHAR(34)&amp;":"&amp;CHAR(34)&amp;C70&amp;CHAR(34)&amp;","</f>
        <v>"CONVEY LOADING":"30A",</v>
      </c>
      <c r="L76" t="str">
        <f t="shared" ref="L76:L139" si="12">CHAR(34)&amp;$D$4&amp;CHAR(34)&amp;":"&amp;CHAR(34)&amp;D70&amp;CHAR(34)&amp;","</f>
        <v>"COMPONENT GROUP":"2D",</v>
      </c>
      <c r="M76" t="str">
        <f t="shared" ref="M76:M139" si="13">CHAR(34)&amp;$E$1&amp;CHAR(34)&amp;":"&amp;G70&amp;","</f>
        <v>"WEIGHT (LBS/CF)":55,</v>
      </c>
      <c r="N76" t="str">
        <f t="shared" ref="N76:N139" si="14">CHAR(34)&amp;$H$4&amp;CHAR(34)&amp;":"&amp;H70&amp;"}"</f>
        <v>"MATERIAL FACTOR":1.7}</v>
      </c>
      <c r="O76" t="str">
        <f t="shared" ref="O76:O139" si="15">J76&amp;K76&amp;L76&amp;M76&amp;N76&amp;","</f>
        <v>"Bonemeal":{"MATERIAL CLASS CODE":"55B35","CONVEY LOADING":"30A","COMPONENT GROUP":"2D","WEIGHT (LBS/CF)":55,"MATERIAL FACTOR":1.7},</v>
      </c>
    </row>
    <row r="77" spans="1:15" hidden="1" x14ac:dyDescent="0.25">
      <c r="A77" s="13" t="s">
        <v>226</v>
      </c>
      <c r="B77" s="14" t="s">
        <v>227</v>
      </c>
      <c r="C77" s="14" t="s">
        <v>71</v>
      </c>
      <c r="D77" s="14" t="s">
        <v>76</v>
      </c>
      <c r="E77" s="14">
        <v>60</v>
      </c>
      <c r="F77" s="14">
        <v>70</v>
      </c>
      <c r="G77" s="14">
        <f t="shared" si="9"/>
        <v>65</v>
      </c>
      <c r="H77" s="14">
        <v>2</v>
      </c>
      <c r="I77" s="29"/>
      <c r="J77" t="str">
        <f t="shared" si="10"/>
        <v>"Bones, Crushed":{"MATERIAL CLASS CODE":"43D45",</v>
      </c>
      <c r="K77" t="str">
        <f t="shared" si="11"/>
        <v>"CONVEY LOADING":"30A",</v>
      </c>
      <c r="L77" t="str">
        <f t="shared" si="12"/>
        <v>"COMPONENT GROUP":"2D",</v>
      </c>
      <c r="M77" t="str">
        <f t="shared" si="13"/>
        <v>"WEIGHT (LBS/CF)":42.5,</v>
      </c>
      <c r="N77" t="str">
        <f t="shared" si="14"/>
        <v>"MATERIAL FACTOR":2}</v>
      </c>
      <c r="O77" t="str">
        <f t="shared" si="15"/>
        <v>"Bones, Crushed":{"MATERIAL CLASS CODE":"43D45","CONVEY LOADING":"30A","COMPONENT GROUP":"2D","WEIGHT (LBS/CF)":42.5,"MATERIAL FACTOR":2},</v>
      </c>
    </row>
    <row r="78" spans="1:15" hidden="1" x14ac:dyDescent="0.25">
      <c r="A78" s="15" t="s">
        <v>228</v>
      </c>
      <c r="B78" s="16" t="s">
        <v>229</v>
      </c>
      <c r="C78" s="16">
        <v>45</v>
      </c>
      <c r="D78" s="16" t="s">
        <v>87</v>
      </c>
      <c r="E78" s="16">
        <v>45</v>
      </c>
      <c r="F78" s="16">
        <v>55</v>
      </c>
      <c r="G78" s="16">
        <f t="shared" si="9"/>
        <v>50</v>
      </c>
      <c r="H78" s="16">
        <v>0.7</v>
      </c>
      <c r="I78" s="16" t="s">
        <v>73</v>
      </c>
      <c r="J78" t="str">
        <f t="shared" si="10"/>
        <v>"Bones, Ground":{"MATERIAL CLASS CODE":"50B35",</v>
      </c>
      <c r="K78" t="str">
        <f t="shared" si="11"/>
        <v>"CONVEY LOADING":"30A",</v>
      </c>
      <c r="L78" t="str">
        <f t="shared" si="12"/>
        <v>"COMPONENT GROUP":"2D",</v>
      </c>
      <c r="M78" t="str">
        <f t="shared" si="13"/>
        <v>"WEIGHT (LBS/CF)":50,</v>
      </c>
      <c r="N78" t="str">
        <f t="shared" si="14"/>
        <v>"MATERIAL FACTOR":1.7}</v>
      </c>
      <c r="O78" t="str">
        <f t="shared" si="15"/>
        <v>"Bones, Ground":{"MATERIAL CLASS CODE":"50B35","CONVEY LOADING":"30A","COMPONENT GROUP":"2D","WEIGHT (LBS/CF)":50,"MATERIAL FACTOR":1.7},</v>
      </c>
    </row>
    <row r="79" spans="1:15" hidden="1" x14ac:dyDescent="0.25">
      <c r="A79" s="13" t="s">
        <v>230</v>
      </c>
      <c r="B79" s="14" t="s">
        <v>231</v>
      </c>
      <c r="C79" s="14">
        <v>45</v>
      </c>
      <c r="D79" s="14" t="s">
        <v>87</v>
      </c>
      <c r="E79" s="14">
        <v>55</v>
      </c>
      <c r="F79" s="14">
        <v>55</v>
      </c>
      <c r="G79" s="14">
        <f t="shared" si="9"/>
        <v>55</v>
      </c>
      <c r="H79" s="14">
        <v>0.8</v>
      </c>
      <c r="I79" s="14" t="s">
        <v>73</v>
      </c>
      <c r="J79" t="str">
        <f t="shared" si="10"/>
        <v>"Bones, Whole**":{"MATERIAL CLASS CODE":"43E45V",</v>
      </c>
      <c r="K79" t="str">
        <f t="shared" si="11"/>
        <v>"CONVEY LOADING":"30A",</v>
      </c>
      <c r="L79" t="str">
        <f t="shared" si="12"/>
        <v>"COMPONENT GROUP":"2D",</v>
      </c>
      <c r="M79" t="str">
        <f t="shared" si="13"/>
        <v>"WEIGHT (LBS/CF)":42.5,</v>
      </c>
      <c r="N79" t="str">
        <f t="shared" si="14"/>
        <v>"MATERIAL FACTOR":3}</v>
      </c>
      <c r="O79" t="str">
        <f t="shared" si="15"/>
        <v>"Bones, Whole**":{"MATERIAL CLASS CODE":"43E45V","CONVEY LOADING":"30A","COMPONENT GROUP":"2D","WEIGHT (LBS/CF)":42.5,"MATERIAL FACTOR":3},</v>
      </c>
    </row>
    <row r="80" spans="1:15" hidden="1" x14ac:dyDescent="0.25">
      <c r="A80" s="15" t="s">
        <v>232</v>
      </c>
      <c r="B80" s="16" t="s">
        <v>233</v>
      </c>
      <c r="C80" s="16">
        <v>15</v>
      </c>
      <c r="D80" s="16" t="s">
        <v>76</v>
      </c>
      <c r="E80" s="16">
        <v>75</v>
      </c>
      <c r="F80" s="16">
        <v>75</v>
      </c>
      <c r="G80" s="16">
        <f t="shared" si="9"/>
        <v>75</v>
      </c>
      <c r="H80" s="16">
        <v>1</v>
      </c>
      <c r="I80" s="30"/>
      <c r="J80" t="str">
        <f t="shared" si="10"/>
        <v>"Borate of Lime":{"MATERIAL CLASS CODE":"60A35",</v>
      </c>
      <c r="K80" t="str">
        <f t="shared" si="11"/>
        <v>"CONVEY LOADING":"30A",</v>
      </c>
      <c r="L80" t="str">
        <f t="shared" si="12"/>
        <v>"COMPONENT GROUP":"1A,1B,1C",</v>
      </c>
      <c r="M80" t="str">
        <f t="shared" si="13"/>
        <v>"WEIGHT (LBS/CF)":60,</v>
      </c>
      <c r="N80" t="str">
        <f t="shared" si="14"/>
        <v>"MATERIAL FACTOR":0.6}</v>
      </c>
      <c r="O80" t="str">
        <f t="shared" si="15"/>
        <v>"Borate of Lime":{"MATERIAL CLASS CODE":"60A35","CONVEY LOADING":"30A","COMPONENT GROUP":"1A,1B,1C","WEIGHT (LBS/CF)":60,"MATERIAL FACTOR":0.6},</v>
      </c>
    </row>
    <row r="81" spans="1:15" hidden="1" x14ac:dyDescent="0.25">
      <c r="A81" s="13" t="s">
        <v>234</v>
      </c>
      <c r="B81" s="14" t="s">
        <v>235</v>
      </c>
      <c r="C81" s="14" t="s">
        <v>71</v>
      </c>
      <c r="D81" s="14" t="s">
        <v>81</v>
      </c>
      <c r="E81" s="14">
        <v>16</v>
      </c>
      <c r="F81" s="14">
        <v>20</v>
      </c>
      <c r="G81" s="14">
        <f t="shared" si="9"/>
        <v>18</v>
      </c>
      <c r="H81" s="14">
        <v>0.5</v>
      </c>
      <c r="I81" s="29"/>
      <c r="J81" t="str">
        <f t="shared" si="10"/>
        <v>"Borax Screening, 1⁄2”":{"MATERIAL CLASS CODE":"58C35",</v>
      </c>
      <c r="K81" t="str">
        <f t="shared" si="11"/>
        <v>"CONVEY LOADING":"30A",</v>
      </c>
      <c r="L81" t="str">
        <f t="shared" si="12"/>
        <v>"COMPONENT GROUP":"2D",</v>
      </c>
      <c r="M81" t="str">
        <f t="shared" si="13"/>
        <v>"WEIGHT (LBS/CF)":57.5,</v>
      </c>
      <c r="N81" t="str">
        <f t="shared" si="14"/>
        <v>"MATERIAL FACTOR":1.5}</v>
      </c>
      <c r="O81" t="str">
        <f t="shared" si="15"/>
        <v>"Borax Screening, 1⁄2”":{"MATERIAL CLASS CODE":"58C35","CONVEY LOADING":"30A","COMPONENT GROUP":"2D","WEIGHT (LBS/CF)":57.5,"MATERIAL FACTOR":1.5},</v>
      </c>
    </row>
    <row r="82" spans="1:15" hidden="1" x14ac:dyDescent="0.25">
      <c r="A82" s="15" t="s">
        <v>236</v>
      </c>
      <c r="B82" s="16" t="s">
        <v>237</v>
      </c>
      <c r="C82" s="16" t="s">
        <v>99</v>
      </c>
      <c r="D82" s="16" t="s">
        <v>76</v>
      </c>
      <c r="E82" s="16">
        <v>120</v>
      </c>
      <c r="F82" s="16">
        <v>120</v>
      </c>
      <c r="G82" s="16">
        <f t="shared" si="9"/>
        <v>120</v>
      </c>
      <c r="H82" s="16">
        <v>2</v>
      </c>
      <c r="I82" s="30"/>
      <c r="J82" t="str">
        <f t="shared" si="10"/>
        <v>"Borax, 1-1⁄2” to 2” Lump":{"MATERIAL CLASS CODE":"58D35",</v>
      </c>
      <c r="K82" t="str">
        <f t="shared" si="11"/>
        <v>"CONVEY LOADING":"30A",</v>
      </c>
      <c r="L82" t="str">
        <f t="shared" si="12"/>
        <v>"COMPONENT GROUP":"2D",</v>
      </c>
      <c r="M82" t="str">
        <f t="shared" si="13"/>
        <v>"WEIGHT (LBS/CF)":57.5,</v>
      </c>
      <c r="N82" t="str">
        <f t="shared" si="14"/>
        <v>"MATERIAL FACTOR":1.8}</v>
      </c>
      <c r="O82" t="str">
        <f t="shared" si="15"/>
        <v>"Borax, 1-1⁄2” to 2” Lump":{"MATERIAL CLASS CODE":"58D35","CONVEY LOADING":"30A","COMPONENT GROUP":"2D","WEIGHT (LBS/CF)":57.5,"MATERIAL FACTOR":1.8},</v>
      </c>
    </row>
    <row r="83" spans="1:15" hidden="1" x14ac:dyDescent="0.25">
      <c r="A83" s="13" t="s">
        <v>238</v>
      </c>
      <c r="B83" s="14" t="s">
        <v>239</v>
      </c>
      <c r="C83" s="14" t="s">
        <v>71</v>
      </c>
      <c r="D83" s="14" t="s">
        <v>81</v>
      </c>
      <c r="E83" s="14">
        <v>20</v>
      </c>
      <c r="F83" s="14">
        <v>25</v>
      </c>
      <c r="G83" s="14">
        <f t="shared" si="9"/>
        <v>22.5</v>
      </c>
      <c r="H83" s="14">
        <v>0.6</v>
      </c>
      <c r="I83" s="29"/>
      <c r="J83" t="str">
        <f t="shared" si="10"/>
        <v>"Borax, 2” to 3” Lump":{"MATERIAL CLASS CODE":"65D35",</v>
      </c>
      <c r="K83" t="str">
        <f t="shared" si="11"/>
        <v>"CONVEY LOADING":"30A",</v>
      </c>
      <c r="L83" t="str">
        <f t="shared" si="12"/>
        <v>"COMPONENT GROUP":"2D",</v>
      </c>
      <c r="M83" t="str">
        <f t="shared" si="13"/>
        <v>"WEIGHT (LBS/CF)":65,</v>
      </c>
      <c r="N83" t="str">
        <f t="shared" si="14"/>
        <v>"MATERIAL FACTOR":2}</v>
      </c>
      <c r="O83" t="str">
        <f t="shared" si="15"/>
        <v>"Borax, 2” to 3” Lump":{"MATERIAL CLASS CODE":"65D35","CONVEY LOADING":"30A","COMPONENT GROUP":"2D","WEIGHT (LBS/CF)":65,"MATERIAL FACTOR":2},</v>
      </c>
    </row>
    <row r="84" spans="1:15" hidden="1" x14ac:dyDescent="0.25">
      <c r="A84" s="15" t="s">
        <v>240</v>
      </c>
      <c r="B84" s="16" t="s">
        <v>241</v>
      </c>
      <c r="C84" s="16" t="s">
        <v>71</v>
      </c>
      <c r="D84" s="16" t="s">
        <v>81</v>
      </c>
      <c r="E84" s="16">
        <v>14</v>
      </c>
      <c r="F84" s="16">
        <v>30</v>
      </c>
      <c r="G84" s="16">
        <f t="shared" si="9"/>
        <v>22</v>
      </c>
      <c r="H84" s="16">
        <v>0.5</v>
      </c>
      <c r="I84" s="16" t="s">
        <v>73</v>
      </c>
      <c r="J84" t="str">
        <f t="shared" si="10"/>
        <v>"Borax, Fine":{"MATERIAL CLASS CODE":"50B25T",</v>
      </c>
      <c r="K84" t="str">
        <f t="shared" si="11"/>
        <v>"CONVEY LOADING":"45",</v>
      </c>
      <c r="L84" t="str">
        <f t="shared" si="12"/>
        <v>"COMPONENT GROUP":"3D",</v>
      </c>
      <c r="M84" t="str">
        <f t="shared" si="13"/>
        <v>"WEIGHT (LBS/CF)":50,</v>
      </c>
      <c r="N84" t="str">
        <f t="shared" si="14"/>
        <v>"MATERIAL FACTOR":0.7}</v>
      </c>
      <c r="O84" t="str">
        <f t="shared" si="15"/>
        <v>"Borax, Fine":{"MATERIAL CLASS CODE":"50B25T","CONVEY LOADING":"45","COMPONENT GROUP":"3D","WEIGHT (LBS/CF)":50,"MATERIAL FACTOR":0.7},</v>
      </c>
    </row>
    <row r="85" spans="1:15" hidden="1" x14ac:dyDescent="0.25">
      <c r="A85" s="13" t="s">
        <v>242</v>
      </c>
      <c r="B85" s="14" t="s">
        <v>243</v>
      </c>
      <c r="C85" s="14" t="s">
        <v>71</v>
      </c>
      <c r="D85" s="14" t="s">
        <v>90</v>
      </c>
      <c r="E85" s="14">
        <v>55</v>
      </c>
      <c r="F85" s="14">
        <v>60</v>
      </c>
      <c r="G85" s="14">
        <f t="shared" si="9"/>
        <v>57.5</v>
      </c>
      <c r="H85" s="14">
        <v>0.8</v>
      </c>
      <c r="I85" s="29"/>
      <c r="J85" t="str">
        <f t="shared" si="10"/>
        <v>"Boric Acid, Fine":{"MATERIAL CLASS CODE":"55B25T",</v>
      </c>
      <c r="K85" t="str">
        <f t="shared" si="11"/>
        <v>"CONVEY LOADING":"45",</v>
      </c>
      <c r="L85" t="str">
        <f t="shared" si="12"/>
        <v>"COMPONENT GROUP":"3D",</v>
      </c>
      <c r="M85" t="str">
        <f t="shared" si="13"/>
        <v>"WEIGHT (LBS/CF)":55,</v>
      </c>
      <c r="N85" t="str">
        <f t="shared" si="14"/>
        <v>"MATERIAL FACTOR":0.8}</v>
      </c>
      <c r="O85" t="str">
        <f t="shared" si="15"/>
        <v>"Boric Acid, Fine":{"MATERIAL CLASS CODE":"55B25T","CONVEY LOADING":"45","COMPONENT GROUP":"3D","WEIGHT (LBS/CF)":55,"MATERIAL FACTOR":0.8},</v>
      </c>
    </row>
    <row r="86" spans="1:15" hidden="1" x14ac:dyDescent="0.25">
      <c r="A86" s="15" t="s">
        <v>244</v>
      </c>
      <c r="B86" s="16" t="s">
        <v>245</v>
      </c>
      <c r="C86" s="16">
        <v>15</v>
      </c>
      <c r="D86" s="16" t="s">
        <v>87</v>
      </c>
      <c r="E86" s="16">
        <v>100</v>
      </c>
      <c r="F86" s="16">
        <v>120</v>
      </c>
      <c r="G86" s="16">
        <f t="shared" si="9"/>
        <v>110</v>
      </c>
      <c r="H86" s="16">
        <v>2.2000000000000002</v>
      </c>
      <c r="I86" s="30"/>
      <c r="J86" t="str">
        <f t="shared" si="10"/>
        <v>"Boron":{"MATERIAL CLASS CODE":"75A37",</v>
      </c>
      <c r="K86" t="str">
        <f t="shared" si="11"/>
        <v>"CONVEY LOADING":"15",</v>
      </c>
      <c r="L86" t="str">
        <f t="shared" si="12"/>
        <v>"COMPONENT GROUP":"2D",</v>
      </c>
      <c r="M86" t="str">
        <f t="shared" si="13"/>
        <v>"WEIGHT (LBS/CF)":75,</v>
      </c>
      <c r="N86" t="str">
        <f t="shared" si="14"/>
        <v>"MATERIAL FACTOR":1}</v>
      </c>
      <c r="O86" t="str">
        <f t="shared" si="15"/>
        <v>"Boron":{"MATERIAL CLASS CODE":"75A37","CONVEY LOADING":"15","COMPONENT GROUP":"2D","WEIGHT (LBS/CF)":75,"MATERIAL FACTOR":1},</v>
      </c>
    </row>
    <row r="87" spans="1:15" hidden="1" x14ac:dyDescent="0.25">
      <c r="A87" s="13" t="s">
        <v>246</v>
      </c>
      <c r="B87" s="14" t="s">
        <v>247</v>
      </c>
      <c r="C87" s="14" t="s">
        <v>71</v>
      </c>
      <c r="D87" s="14" t="s">
        <v>76</v>
      </c>
      <c r="E87" s="14">
        <v>30</v>
      </c>
      <c r="F87" s="14">
        <v>50</v>
      </c>
      <c r="G87" s="14">
        <f t="shared" si="9"/>
        <v>40</v>
      </c>
      <c r="H87" s="14">
        <v>2</v>
      </c>
      <c r="I87" s="29"/>
      <c r="J87" t="str">
        <f t="shared" si="10"/>
        <v>"Bran, Rice-Rye-Wheat":{"MATERIAL CLASS CODE":"18B355NY",</v>
      </c>
      <c r="K87" t="str">
        <f t="shared" si="11"/>
        <v>"CONVEY LOADING":"30A",</v>
      </c>
      <c r="L87" t="str">
        <f t="shared" si="12"/>
        <v>"COMPONENT GROUP":"1A,1B,1C",</v>
      </c>
      <c r="M87" t="str">
        <f t="shared" si="13"/>
        <v>"WEIGHT (LBS/CF)":18,</v>
      </c>
      <c r="N87" t="str">
        <f t="shared" si="14"/>
        <v>"MATERIAL FACTOR":0.5}</v>
      </c>
      <c r="O87" t="str">
        <f t="shared" si="15"/>
        <v>"Bran, Rice-Rye-Wheat":{"MATERIAL CLASS CODE":"18B355NY","CONVEY LOADING":"30A","COMPONENT GROUP":"1A,1B,1C","WEIGHT (LBS/CF)":18,"MATERIAL FACTOR":0.5},</v>
      </c>
    </row>
    <row r="88" spans="1:15" hidden="1" x14ac:dyDescent="0.25">
      <c r="A88" s="15" t="s">
        <v>248</v>
      </c>
      <c r="B88" s="16" t="s">
        <v>249</v>
      </c>
      <c r="C88" s="16">
        <v>45</v>
      </c>
      <c r="D88" s="16" t="s">
        <v>81</v>
      </c>
      <c r="E88" s="16">
        <v>37</v>
      </c>
      <c r="F88" s="16">
        <v>42</v>
      </c>
      <c r="G88" s="16">
        <f t="shared" si="9"/>
        <v>39.5</v>
      </c>
      <c r="H88" s="16">
        <v>0.4</v>
      </c>
      <c r="I88" s="16" t="s">
        <v>73</v>
      </c>
      <c r="J88" t="str">
        <f t="shared" si="10"/>
        <v>"Braunite (Manganese Oxide)":{"MATERIAL CLASS CODE":"120A36",</v>
      </c>
      <c r="K88" t="str">
        <f t="shared" si="11"/>
        <v>"CONVEY LOADING":"30B",</v>
      </c>
      <c r="L88" t="str">
        <f t="shared" si="12"/>
        <v>"COMPONENT GROUP":"2D",</v>
      </c>
      <c r="M88" t="str">
        <f t="shared" si="13"/>
        <v>"WEIGHT (LBS/CF)":120,</v>
      </c>
      <c r="N88" t="str">
        <f t="shared" si="14"/>
        <v>"MATERIAL FACTOR":2}</v>
      </c>
      <c r="O88" t="str">
        <f t="shared" si="15"/>
        <v>"Braunite (Manganese Oxide)":{"MATERIAL CLASS CODE":"120A36","CONVEY LOADING":"30B","COMPONENT GROUP":"2D","WEIGHT (LBS/CF)":120,"MATERIAL FACTOR":2},</v>
      </c>
    </row>
    <row r="89" spans="1:15" hidden="1" x14ac:dyDescent="0.25">
      <c r="A89" s="13" t="s">
        <v>250</v>
      </c>
      <c r="B89" s="14" t="s">
        <v>251</v>
      </c>
      <c r="C89" s="14" t="s">
        <v>71</v>
      </c>
      <c r="D89" s="14" t="s">
        <v>81</v>
      </c>
      <c r="E89" s="14">
        <v>75</v>
      </c>
      <c r="F89" s="14">
        <v>85</v>
      </c>
      <c r="G89" s="14">
        <f t="shared" si="9"/>
        <v>80</v>
      </c>
      <c r="H89" s="14">
        <v>0.7</v>
      </c>
      <c r="I89" s="29"/>
      <c r="J89" t="str">
        <f t="shared" si="10"/>
        <v>"Bread Crumbs":{"MATERIAL CLASS CODE":"23B35PQ",</v>
      </c>
      <c r="K89" t="str">
        <f t="shared" si="11"/>
        <v>"CONVEY LOADING":"30A",</v>
      </c>
      <c r="L89" t="str">
        <f t="shared" si="12"/>
        <v>"COMPONENT GROUP":"1A,1B,1C",</v>
      </c>
      <c r="M89" t="str">
        <f t="shared" si="13"/>
        <v>"WEIGHT (LBS/CF)":22.5,</v>
      </c>
      <c r="N89" t="str">
        <f t="shared" si="14"/>
        <v>"MATERIAL FACTOR":0.6}</v>
      </c>
      <c r="O89" t="str">
        <f t="shared" si="15"/>
        <v>"Bread Crumbs":{"MATERIAL CLASS CODE":"23B35PQ","CONVEY LOADING":"30A","COMPONENT GROUP":"1A,1B,1C","WEIGHT (LBS/CF)":22.5,"MATERIAL FACTOR":0.6},</v>
      </c>
    </row>
    <row r="90" spans="1:15" hidden="1" x14ac:dyDescent="0.25">
      <c r="A90" s="15" t="s">
        <v>252</v>
      </c>
      <c r="B90" s="16" t="s">
        <v>253</v>
      </c>
      <c r="C90" s="16" t="s">
        <v>71</v>
      </c>
      <c r="D90" s="16" t="s">
        <v>76</v>
      </c>
      <c r="E90" s="16">
        <v>70</v>
      </c>
      <c r="F90" s="16">
        <v>90</v>
      </c>
      <c r="G90" s="16">
        <f t="shared" si="9"/>
        <v>80</v>
      </c>
      <c r="H90" s="16">
        <v>2</v>
      </c>
      <c r="I90" s="16" t="s">
        <v>116</v>
      </c>
      <c r="J90" t="str">
        <f t="shared" si="10"/>
        <v>"Brewer’s Grain, spent, dry":{"MATERIAL CLASS CODE":"22C45",</v>
      </c>
      <c r="K90" t="str">
        <f t="shared" si="11"/>
        <v>"CONVEY LOADING":"30A",</v>
      </c>
      <c r="L90" t="str">
        <f t="shared" si="12"/>
        <v>"COMPONENT GROUP":"1A,1B,1C",</v>
      </c>
      <c r="M90" t="str">
        <f t="shared" si="13"/>
        <v>"WEIGHT (LBS/CF)":22,</v>
      </c>
      <c r="N90" t="str">
        <f t="shared" si="14"/>
        <v>"MATERIAL FACTOR":0.5}</v>
      </c>
      <c r="O90" t="str">
        <f t="shared" si="15"/>
        <v>"Brewer’s Grain, spent, dry":{"MATERIAL CLASS CODE":"22C45","CONVEY LOADING":"30A","COMPONENT GROUP":"1A,1B,1C","WEIGHT (LBS/CF)":22,"MATERIAL FACTOR":0.5},</v>
      </c>
    </row>
    <row r="91" spans="1:15" hidden="1" x14ac:dyDescent="0.25">
      <c r="A91" s="13" t="s">
        <v>254</v>
      </c>
      <c r="B91" s="29"/>
      <c r="C91" s="29"/>
      <c r="D91" s="29"/>
      <c r="E91" s="29"/>
      <c r="F91" s="29"/>
      <c r="G91" s="29">
        <f t="shared" si="9"/>
        <v>0</v>
      </c>
      <c r="H91" s="29">
        <v>0.4</v>
      </c>
      <c r="I91" s="29"/>
      <c r="J91" t="str">
        <f t="shared" si="10"/>
        <v>"Brewer’s Grain, spent, wet":{"MATERIAL CLASS CODE":"58C45T",</v>
      </c>
      <c r="K91" t="str">
        <f t="shared" si="11"/>
        <v>"CONVEY LOADING":"30A",</v>
      </c>
      <c r="L91" t="str">
        <f t="shared" si="12"/>
        <v>"COMPONENT GROUP":"2A,2B",</v>
      </c>
      <c r="M91" t="str">
        <f t="shared" si="13"/>
        <v>"WEIGHT (LBS/CF)":57.5,</v>
      </c>
      <c r="N91" t="str">
        <f t="shared" si="14"/>
        <v>"MATERIAL FACTOR":0.8}</v>
      </c>
      <c r="O91" t="str">
        <f t="shared" si="15"/>
        <v>"Brewer’s Grain, spent, wet":{"MATERIAL CLASS CODE":"58C45T","CONVEY LOADING":"30A","COMPONENT GROUP":"2A,2B","WEIGHT (LBS/CF)":57.5,"MATERIAL FACTOR":0.8},</v>
      </c>
    </row>
    <row r="92" spans="1:15" hidden="1" x14ac:dyDescent="0.25">
      <c r="A92" s="15" t="s">
        <v>255</v>
      </c>
      <c r="B92" s="30"/>
      <c r="C92" s="30"/>
      <c r="D92" s="30"/>
      <c r="E92" s="30"/>
      <c r="F92" s="30"/>
      <c r="G92" s="30">
        <f t="shared" si="9"/>
        <v>0</v>
      </c>
      <c r="H92" s="30">
        <v>0.4</v>
      </c>
      <c r="I92" s="30"/>
      <c r="J92" t="str">
        <f t="shared" si="10"/>
        <v>"Brick, Ground, 1⁄8”":{"MATERIAL CLASS CODE":"110B37",</v>
      </c>
      <c r="K92" t="str">
        <f t="shared" si="11"/>
        <v>"CONVEY LOADING":"15",</v>
      </c>
      <c r="L92" t="str">
        <f t="shared" si="12"/>
        <v>"COMPONENT GROUP":"3D",</v>
      </c>
      <c r="M92" t="str">
        <f t="shared" si="13"/>
        <v>"WEIGHT (LBS/CF)":110,</v>
      </c>
      <c r="N92" t="str">
        <f t="shared" si="14"/>
        <v>"MATERIAL FACTOR":2.2}</v>
      </c>
      <c r="O92" t="str">
        <f t="shared" si="15"/>
        <v>"Brick, Ground, 1⁄8”":{"MATERIAL CLASS CODE":"110B37","CONVEY LOADING":"15","COMPONENT GROUP":"3D","WEIGHT (LBS/CF)":110,"MATERIAL FACTOR":2.2},</v>
      </c>
    </row>
    <row r="93" spans="1:15" hidden="1" x14ac:dyDescent="0.25">
      <c r="A93" s="13" t="s">
        <v>256</v>
      </c>
      <c r="B93" s="14" t="s">
        <v>257</v>
      </c>
      <c r="C93" s="14" t="s">
        <v>71</v>
      </c>
      <c r="D93" s="14" t="s">
        <v>76</v>
      </c>
      <c r="E93" s="14">
        <v>40</v>
      </c>
      <c r="F93" s="14">
        <v>40</v>
      </c>
      <c r="G93" s="14">
        <f t="shared" si="9"/>
        <v>40</v>
      </c>
      <c r="H93" s="14">
        <v>0.8</v>
      </c>
      <c r="I93" s="14" t="s">
        <v>116</v>
      </c>
      <c r="J93" t="str">
        <f t="shared" si="10"/>
        <v>"Bronze Chips":{"MATERIAL CLASS CODE":"40B45",</v>
      </c>
      <c r="K93" t="str">
        <f t="shared" si="11"/>
        <v>"CONVEY LOADING":"30A",</v>
      </c>
      <c r="L93" t="str">
        <f t="shared" si="12"/>
        <v>"COMPONENT GROUP":"2D",</v>
      </c>
      <c r="M93" t="str">
        <f t="shared" si="13"/>
        <v>"WEIGHT (LBS/CF)":40,</v>
      </c>
      <c r="N93" t="str">
        <f t="shared" si="14"/>
        <v>"MATERIAL FACTOR":2}</v>
      </c>
      <c r="O93" t="str">
        <f t="shared" si="15"/>
        <v>"Bronze Chips":{"MATERIAL CLASS CODE":"40B45","CONVEY LOADING":"30A","COMPONENT GROUP":"2D","WEIGHT (LBS/CF)":40,"MATERIAL FACTOR":2},</v>
      </c>
    </row>
    <row r="94" spans="1:15" hidden="1" x14ac:dyDescent="0.25">
      <c r="A94" s="15" t="s">
        <v>258</v>
      </c>
      <c r="B94" s="16" t="s">
        <v>257</v>
      </c>
      <c r="C94" s="16" t="s">
        <v>71</v>
      </c>
      <c r="D94" s="16" t="s">
        <v>76</v>
      </c>
      <c r="E94" s="16">
        <v>40</v>
      </c>
      <c r="F94" s="16">
        <v>40</v>
      </c>
      <c r="G94" s="16">
        <f t="shared" si="9"/>
        <v>40</v>
      </c>
      <c r="H94" s="16">
        <v>0.8</v>
      </c>
      <c r="I94" s="16" t="s">
        <v>116</v>
      </c>
      <c r="J94" t="str">
        <f t="shared" si="10"/>
        <v>"Buckwheat":{"MATERIAL CLASS CODE":"40B25N",</v>
      </c>
      <c r="K94" t="str">
        <f t="shared" si="11"/>
        <v>"CONVEY LOADING":"45",</v>
      </c>
      <c r="L94" t="str">
        <f t="shared" si="12"/>
        <v>"COMPONENT GROUP":"1A,1B,1C",</v>
      </c>
      <c r="M94" t="str">
        <f t="shared" si="13"/>
        <v>"WEIGHT (LBS/CF)":39.5,</v>
      </c>
      <c r="N94" t="str">
        <f t="shared" si="14"/>
        <v>"MATERIAL FACTOR":0.4}</v>
      </c>
      <c r="O94" t="str">
        <f t="shared" si="15"/>
        <v>"Buckwheat":{"MATERIAL CLASS CODE":"40B25N","CONVEY LOADING":"45","COMPONENT GROUP":"1A,1B,1C","WEIGHT (LBS/CF)":39.5,"MATERIAL FACTOR":0.4},</v>
      </c>
    </row>
    <row r="95" spans="1:15" hidden="1" x14ac:dyDescent="0.25">
      <c r="A95" s="13" t="s">
        <v>259</v>
      </c>
      <c r="B95" s="14" t="s">
        <v>260</v>
      </c>
      <c r="C95" s="14" t="s">
        <v>71</v>
      </c>
      <c r="D95" s="14" t="s">
        <v>90</v>
      </c>
      <c r="E95" s="14">
        <v>26</v>
      </c>
      <c r="F95" s="14">
        <v>29</v>
      </c>
      <c r="G95" s="14">
        <f t="shared" si="9"/>
        <v>27.5</v>
      </c>
      <c r="H95" s="14">
        <v>0.6</v>
      </c>
      <c r="I95" s="29"/>
      <c r="J95" t="str">
        <f t="shared" si="10"/>
        <v>"Calcine, Flour":{"MATERIAL CLASS CODE":"80A35",</v>
      </c>
      <c r="K95" t="str">
        <f t="shared" si="11"/>
        <v>"CONVEY LOADING":"30A",</v>
      </c>
      <c r="L95" t="str">
        <f t="shared" si="12"/>
        <v>"COMPONENT GROUP":"1A,1B,1C",</v>
      </c>
      <c r="M95" t="str">
        <f t="shared" si="13"/>
        <v>"WEIGHT (LBS/CF)":80,</v>
      </c>
      <c r="N95" t="str">
        <f t="shared" si="14"/>
        <v>"MATERIAL FACTOR":0.7}</v>
      </c>
      <c r="O95" t="str">
        <f t="shared" si="15"/>
        <v>"Calcine, Flour":{"MATERIAL CLASS CODE":"80A35","CONVEY LOADING":"30A","COMPONENT GROUP":"1A,1B,1C","WEIGHT (LBS/CF)":80,"MATERIAL FACTOR":0.7},</v>
      </c>
    </row>
    <row r="96" spans="1:15" hidden="1" x14ac:dyDescent="0.25">
      <c r="A96" s="15" t="s">
        <v>261</v>
      </c>
      <c r="B96" s="16" t="s">
        <v>262</v>
      </c>
      <c r="C96" s="16" t="s">
        <v>71</v>
      </c>
      <c r="D96" s="16" t="s">
        <v>81</v>
      </c>
      <c r="E96" s="16">
        <v>60</v>
      </c>
      <c r="F96" s="16">
        <v>65</v>
      </c>
      <c r="G96" s="16">
        <f t="shared" si="9"/>
        <v>62.5</v>
      </c>
      <c r="H96" s="16">
        <v>0.6</v>
      </c>
      <c r="I96" s="16" t="s">
        <v>116</v>
      </c>
      <c r="J96" t="str">
        <f t="shared" si="10"/>
        <v>"Calcium Carbide":{"MATERIAL CLASS CODE":"80D25N",</v>
      </c>
      <c r="K96" t="str">
        <f t="shared" si="11"/>
        <v>"CONVEY LOADING":"30A",</v>
      </c>
      <c r="L96" t="str">
        <f t="shared" si="12"/>
        <v>"COMPONENT GROUP":"2D",</v>
      </c>
      <c r="M96" t="str">
        <f t="shared" si="13"/>
        <v>"WEIGHT (LBS/CF)":80,</v>
      </c>
      <c r="N96" t="str">
        <f t="shared" si="14"/>
        <v>"MATERIAL FACTOR":2}</v>
      </c>
      <c r="O96" t="str">
        <f t="shared" si="15"/>
        <v>"Calcium Carbide":{"MATERIAL CLASS CODE":"80D25N","CONVEY LOADING":"30A","COMPONENT GROUP":"2D","WEIGHT (LBS/CF)":80,"MATERIAL FACTOR":2},</v>
      </c>
    </row>
    <row r="97" spans="1:15" hidden="1" x14ac:dyDescent="0.25">
      <c r="A97" s="13" t="s">
        <v>263</v>
      </c>
      <c r="B97" s="14" t="s">
        <v>206</v>
      </c>
      <c r="C97" s="14" t="s">
        <v>71</v>
      </c>
      <c r="D97" s="14" t="s">
        <v>81</v>
      </c>
      <c r="E97" s="14">
        <v>40</v>
      </c>
      <c r="F97" s="14">
        <v>50</v>
      </c>
      <c r="G97" s="14">
        <f t="shared" si="9"/>
        <v>45</v>
      </c>
      <c r="H97" s="14">
        <v>1.6</v>
      </c>
      <c r="I97" s="29"/>
      <c r="J97" t="str">
        <f t="shared" si="10"/>
        <v>"Calcium Carbonate (see Limestone)":{"MATERIAL CLASS CODE":"",</v>
      </c>
      <c r="K97" t="str">
        <f t="shared" si="11"/>
        <v>"CONVEY LOADING":"",</v>
      </c>
      <c r="L97" t="str">
        <f t="shared" si="12"/>
        <v>"COMPONENT GROUP":"",</v>
      </c>
      <c r="M97" t="str">
        <f t="shared" si="13"/>
        <v>"WEIGHT (LBS/CF)":0,</v>
      </c>
      <c r="N97" t="str">
        <f t="shared" si="14"/>
        <v>"MATERIAL FACTOR":0.4}</v>
      </c>
      <c r="O97" t="str">
        <f t="shared" si="15"/>
        <v>"Calcium Carbonate (see Limestone)":{"MATERIAL CLASS CODE":"","CONVEY LOADING":"","COMPONENT GROUP":"","WEIGHT (LBS/CF)":0,"MATERIAL FACTOR":0.4},</v>
      </c>
    </row>
    <row r="98" spans="1:15" hidden="1" x14ac:dyDescent="0.25">
      <c r="A98" s="15" t="s">
        <v>264</v>
      </c>
      <c r="B98" s="30"/>
      <c r="C98" s="30"/>
      <c r="D98" s="30"/>
      <c r="E98" s="30"/>
      <c r="F98" s="30"/>
      <c r="G98" s="30">
        <f t="shared" si="9"/>
        <v>0</v>
      </c>
      <c r="H98" s="30">
        <v>0.4</v>
      </c>
      <c r="I98" s="30"/>
      <c r="J98" t="str">
        <f t="shared" si="10"/>
        <v>"Calcium Fluoride (see Fluorspar)":{"MATERIAL CLASS CODE":"",</v>
      </c>
      <c r="K98" t="str">
        <f t="shared" si="11"/>
        <v>"CONVEY LOADING":"",</v>
      </c>
      <c r="L98" t="str">
        <f t="shared" si="12"/>
        <v>"COMPONENT GROUP":"",</v>
      </c>
      <c r="M98" t="str">
        <f t="shared" si="13"/>
        <v>"WEIGHT (LBS/CF)":0,</v>
      </c>
      <c r="N98" t="str">
        <f t="shared" si="14"/>
        <v>"MATERIAL FACTOR":0.4}</v>
      </c>
      <c r="O98" t="str">
        <f t="shared" si="15"/>
        <v>"Calcium Fluoride (see Fluorspar)":{"MATERIAL CLASS CODE":"","CONVEY LOADING":"","COMPONENT GROUP":"","WEIGHT (LBS/CF)":0,"MATERIAL FACTOR":0.4},</v>
      </c>
    </row>
    <row r="99" spans="1:15" hidden="1" x14ac:dyDescent="0.25">
      <c r="A99" s="13" t="s">
        <v>265</v>
      </c>
      <c r="B99" s="14">
        <v>38</v>
      </c>
      <c r="C99" s="14" t="s">
        <v>116</v>
      </c>
      <c r="D99" s="14" t="s">
        <v>116</v>
      </c>
      <c r="E99" s="14">
        <v>34</v>
      </c>
      <c r="F99" s="14">
        <v>41</v>
      </c>
      <c r="G99" s="14">
        <f t="shared" si="9"/>
        <v>37.5</v>
      </c>
      <c r="H99" s="14">
        <v>0.8</v>
      </c>
      <c r="I99" s="14" t="s">
        <v>116</v>
      </c>
      <c r="J99" t="str">
        <f t="shared" si="10"/>
        <v>"Calcium Hydrate (Lime, Hydrated)":{"MATERIAL CLASS CODE":"40B35LM",</v>
      </c>
      <c r="K99" t="str">
        <f t="shared" si="11"/>
        <v>"CONVEY LOADING":"30A",</v>
      </c>
      <c r="L99" t="str">
        <f t="shared" si="12"/>
        <v>"COMPONENT GROUP":"2D",</v>
      </c>
      <c r="M99" t="str">
        <f t="shared" si="13"/>
        <v>"WEIGHT (LBS/CF)":40,</v>
      </c>
      <c r="N99" t="str">
        <f t="shared" si="14"/>
        <v>"MATERIAL FACTOR":0.8}</v>
      </c>
      <c r="O99" t="str">
        <f t="shared" si="15"/>
        <v>"Calcium Hydrate (Lime, Hydrated)":{"MATERIAL CLASS CODE":"40B35LM","CONVEY LOADING":"30A","COMPONENT GROUP":"2D","WEIGHT (LBS/CF)":40,"MATERIAL FACTOR":0.8},</v>
      </c>
    </row>
    <row r="100" spans="1:15" hidden="1" x14ac:dyDescent="0.25">
      <c r="A100" s="15" t="s">
        <v>266</v>
      </c>
      <c r="B100" s="16" t="s">
        <v>130</v>
      </c>
      <c r="C100" s="16" t="s">
        <v>130</v>
      </c>
      <c r="D100" s="16" t="s">
        <v>130</v>
      </c>
      <c r="E100" s="16" t="s">
        <v>130</v>
      </c>
      <c r="F100" s="16" t="s">
        <v>130</v>
      </c>
      <c r="G100" s="16">
        <f t="shared" si="9"/>
        <v>0</v>
      </c>
      <c r="H100" s="16">
        <v>1.2</v>
      </c>
      <c r="I100" s="16" t="s">
        <v>116</v>
      </c>
      <c r="J100" t="str">
        <f t="shared" si="10"/>
        <v>"Calcium Hydroxide (Lime, Hydrated)":{"MATERIAL CLASS CODE":"40B35LM",</v>
      </c>
      <c r="K100" t="str">
        <f t="shared" si="11"/>
        <v>"CONVEY LOADING":"30A",</v>
      </c>
      <c r="L100" t="str">
        <f t="shared" si="12"/>
        <v>"COMPONENT GROUP":"2D",</v>
      </c>
      <c r="M100" t="str">
        <f t="shared" si="13"/>
        <v>"WEIGHT (LBS/CF)":40,</v>
      </c>
      <c r="N100" t="str">
        <f t="shared" si="14"/>
        <v>"MATERIAL FACTOR":0.8}</v>
      </c>
      <c r="O100" t="str">
        <f t="shared" si="15"/>
        <v>"Calcium Hydroxide (Lime, Hydrated)":{"MATERIAL CLASS CODE":"40B35LM","CONVEY LOADING":"30A","COMPONENT GROUP":"2D","WEIGHT (LBS/CF)":40,"MATERIAL FACTOR":0.8},</v>
      </c>
    </row>
    <row r="101" spans="1:15" hidden="1" x14ac:dyDescent="0.25">
      <c r="A101" s="13" t="s">
        <v>267</v>
      </c>
      <c r="B101" s="14" t="s">
        <v>130</v>
      </c>
      <c r="C101" s="14" t="s">
        <v>130</v>
      </c>
      <c r="D101" s="14" t="s">
        <v>130</v>
      </c>
      <c r="E101" s="14" t="s">
        <v>130</v>
      </c>
      <c r="F101" s="14" t="s">
        <v>130</v>
      </c>
      <c r="G101" s="14">
        <f t="shared" si="9"/>
        <v>0</v>
      </c>
      <c r="H101" s="14">
        <v>1.2</v>
      </c>
      <c r="I101" s="14" t="s">
        <v>116</v>
      </c>
      <c r="J101" t="str">
        <f t="shared" si="10"/>
        <v>"Calcium Lactate":{"MATERIAL CLASS CODE":"28D45QTR",</v>
      </c>
      <c r="K101" t="str">
        <f t="shared" si="11"/>
        <v>"CONVEY LOADING":"30A",</v>
      </c>
      <c r="L101" t="str">
        <f t="shared" si="12"/>
        <v>"COMPONENT GROUP":"2A,2B",</v>
      </c>
      <c r="M101" t="str">
        <f t="shared" si="13"/>
        <v>"WEIGHT (LBS/CF)":27.5,</v>
      </c>
      <c r="N101" t="str">
        <f t="shared" si="14"/>
        <v>"MATERIAL FACTOR":0.6}</v>
      </c>
      <c r="O101" t="str">
        <f t="shared" si="15"/>
        <v>"Calcium Lactate":{"MATERIAL CLASS CODE":"28D45QTR","CONVEY LOADING":"30A","COMPONENT GROUP":"2A,2B","WEIGHT (LBS/CF)":27.5,"MATERIAL FACTOR":0.6},</v>
      </c>
    </row>
    <row r="102" spans="1:15" hidden="1" x14ac:dyDescent="0.25">
      <c r="A102" s="15" t="s">
        <v>268</v>
      </c>
      <c r="B102" s="16" t="s">
        <v>130</v>
      </c>
      <c r="C102" s="16" t="s">
        <v>130</v>
      </c>
      <c r="D102" s="16" t="s">
        <v>130</v>
      </c>
      <c r="E102" s="16" t="s">
        <v>130</v>
      </c>
      <c r="F102" s="16" t="s">
        <v>130</v>
      </c>
      <c r="G102" s="16">
        <f t="shared" si="9"/>
        <v>0</v>
      </c>
      <c r="H102" s="16">
        <v>2</v>
      </c>
      <c r="I102" s="30"/>
      <c r="J102" t="str">
        <f t="shared" si="10"/>
        <v>"Calcium Oxide (Lime, unslaked)":{"MATERIAL CLASS CODE":"63B35U",</v>
      </c>
      <c r="K102" t="str">
        <f t="shared" si="11"/>
        <v>"CONVEY LOADING":"30A",</v>
      </c>
      <c r="L102" t="str">
        <f t="shared" si="12"/>
        <v>"COMPONENT GROUP":"1A,1B,1C",</v>
      </c>
      <c r="M102" t="str">
        <f t="shared" si="13"/>
        <v>"WEIGHT (LBS/CF)":62.5,</v>
      </c>
      <c r="N102" t="str">
        <f t="shared" si="14"/>
        <v>"MATERIAL FACTOR":0.6}</v>
      </c>
      <c r="O102" t="str">
        <f t="shared" si="15"/>
        <v>"Calcium Oxide (Lime, unslaked)":{"MATERIAL CLASS CODE":"63B35U","CONVEY LOADING":"30A","COMPONENT GROUP":"1A,1B,1C","WEIGHT (LBS/CF)":62.5,"MATERIAL FACTOR":0.6},</v>
      </c>
    </row>
    <row r="103" spans="1:15" hidden="1" x14ac:dyDescent="0.25">
      <c r="A103" s="13" t="s">
        <v>269</v>
      </c>
      <c r="B103" s="14" t="s">
        <v>270</v>
      </c>
      <c r="C103" s="14">
        <v>15</v>
      </c>
      <c r="D103" s="14" t="s">
        <v>87</v>
      </c>
      <c r="E103" s="14">
        <v>100</v>
      </c>
      <c r="F103" s="14">
        <v>100</v>
      </c>
      <c r="G103" s="14">
        <f t="shared" si="9"/>
        <v>100</v>
      </c>
      <c r="H103" s="14">
        <v>3</v>
      </c>
      <c r="I103" s="29"/>
      <c r="J103" t="str">
        <f t="shared" si="10"/>
        <v>"Calcium Phosphate":{"MATERIAL CLASS CODE":"45A45",</v>
      </c>
      <c r="K103" t="str">
        <f t="shared" si="11"/>
        <v>"CONVEY LOADING":"30A",</v>
      </c>
      <c r="L103" t="str">
        <f t="shared" si="12"/>
        <v>"COMPONENT GROUP":"1A,1B,1C",</v>
      </c>
      <c r="M103" t="str">
        <f t="shared" si="13"/>
        <v>"WEIGHT (LBS/CF)":45,</v>
      </c>
      <c r="N103" t="str">
        <f t="shared" si="14"/>
        <v>"MATERIAL FACTOR":1.6}</v>
      </c>
      <c r="O103" t="str">
        <f t="shared" si="15"/>
        <v>"Calcium Phosphate":{"MATERIAL CLASS CODE":"45A45","CONVEY LOADING":"30A","COMPONENT GROUP":"1A,1B,1C","WEIGHT (LBS/CF)":45,"MATERIAL FACTOR":1.6},</v>
      </c>
    </row>
    <row r="104" spans="1:15" hidden="1" x14ac:dyDescent="0.25">
      <c r="A104" s="15" t="s">
        <v>271</v>
      </c>
      <c r="B104" s="16" t="s">
        <v>272</v>
      </c>
      <c r="C104" s="16" t="s">
        <v>71</v>
      </c>
      <c r="D104" s="16" t="s">
        <v>76</v>
      </c>
      <c r="E104" s="16">
        <v>36</v>
      </c>
      <c r="F104" s="16">
        <v>36</v>
      </c>
      <c r="G104" s="16">
        <f t="shared" si="9"/>
        <v>36</v>
      </c>
      <c r="H104" s="16">
        <v>1.6</v>
      </c>
      <c r="I104" s="30"/>
      <c r="J104" t="str">
        <f t="shared" si="10"/>
        <v>"Calcium Sulfate (see Gypsum)":{"MATERIAL CLASS CODE":"",</v>
      </c>
      <c r="K104" t="str">
        <f t="shared" si="11"/>
        <v>"CONVEY LOADING":"",</v>
      </c>
      <c r="L104" t="str">
        <f t="shared" si="12"/>
        <v>"COMPONENT GROUP":"",</v>
      </c>
      <c r="M104" t="str">
        <f t="shared" si="13"/>
        <v>"WEIGHT (LBS/CF)":0,</v>
      </c>
      <c r="N104" t="str">
        <f t="shared" si="14"/>
        <v>"MATERIAL FACTOR":0.4}</v>
      </c>
      <c r="O104" t="str">
        <f t="shared" si="15"/>
        <v>"Calcium Sulfate (see Gypsum)":{"MATERIAL CLASS CODE":"","CONVEY LOADING":"","COMPONENT GROUP":"","WEIGHT (LBS/CF)":0,"MATERIAL FACTOR":0.4},</v>
      </c>
    </row>
    <row r="105" spans="1:15" hidden="1" x14ac:dyDescent="0.25">
      <c r="A105" s="13" t="s">
        <v>273</v>
      </c>
      <c r="B105" s="14" t="s">
        <v>274</v>
      </c>
      <c r="C105" s="14" t="s">
        <v>71</v>
      </c>
      <c r="D105" s="14" t="s">
        <v>76</v>
      </c>
      <c r="E105" s="14">
        <v>32</v>
      </c>
      <c r="F105" s="14">
        <v>37</v>
      </c>
      <c r="G105" s="14">
        <f t="shared" si="9"/>
        <v>34.5</v>
      </c>
      <c r="H105" s="14">
        <v>0.7</v>
      </c>
      <c r="I105" s="29"/>
      <c r="J105" t="str">
        <f t="shared" si="10"/>
        <v>"Canola Meal (Rape Seed Meal)**":{"MATERIAL CLASS CODE":"38",</v>
      </c>
      <c r="K105" t="str">
        <f t="shared" si="11"/>
        <v>"CONVEY LOADING":"?",</v>
      </c>
      <c r="L105" t="str">
        <f t="shared" si="12"/>
        <v>"COMPONENT GROUP":"?",</v>
      </c>
      <c r="M105" t="str">
        <f t="shared" si="13"/>
        <v>"WEIGHT (LBS/CF)":37.5,</v>
      </c>
      <c r="N105" t="str">
        <f t="shared" si="14"/>
        <v>"MATERIAL FACTOR":0.8}</v>
      </c>
      <c r="O105" t="str">
        <f t="shared" si="15"/>
        <v>"Canola Meal (Rape Seed Meal)**":{"MATERIAL CLASS CODE":"38","CONVEY LOADING":"?","COMPONENT GROUP":"?","WEIGHT (LBS/CF)":37.5,"MATERIAL FACTOR":0.8},</v>
      </c>
    </row>
    <row r="106" spans="1:15" hidden="1" x14ac:dyDescent="0.25">
      <c r="A106" s="15" t="s">
        <v>275</v>
      </c>
      <c r="B106" s="16" t="s">
        <v>276</v>
      </c>
      <c r="C106" s="16" t="s">
        <v>71</v>
      </c>
      <c r="D106" s="16" t="s">
        <v>76</v>
      </c>
      <c r="E106" s="16">
        <v>130</v>
      </c>
      <c r="F106" s="16">
        <v>200</v>
      </c>
      <c r="G106" s="16">
        <f t="shared" si="9"/>
        <v>165</v>
      </c>
      <c r="H106" s="16">
        <v>4</v>
      </c>
      <c r="I106" s="30"/>
      <c r="J106" t="str">
        <f t="shared" si="10"/>
        <v>"Carbon, Activated, Dry, Fine**":{"MATERIAL CLASS CODE":"-",</v>
      </c>
      <c r="K106" t="str">
        <f t="shared" si="11"/>
        <v>"CONVEY LOADING":"-",</v>
      </c>
      <c r="L106" t="str">
        <f t="shared" si="12"/>
        <v>"COMPONENT GROUP":"-",</v>
      </c>
      <c r="M106" t="str">
        <f t="shared" si="13"/>
        <v>"WEIGHT (LBS/CF)":0,</v>
      </c>
      <c r="N106" t="str">
        <f t="shared" si="14"/>
        <v>"MATERIAL FACTOR":1.2}</v>
      </c>
      <c r="O106" t="str">
        <f t="shared" si="15"/>
        <v>"Carbon, Activated, Dry, Fine**":{"MATERIAL CLASS CODE":"-","CONVEY LOADING":"-","COMPONENT GROUP":"-","WEIGHT (LBS/CF)":0,"MATERIAL FACTOR":1.2},</v>
      </c>
    </row>
    <row r="107" spans="1:15" hidden="1" x14ac:dyDescent="0.25">
      <c r="A107" s="13" t="s">
        <v>277</v>
      </c>
      <c r="B107" s="14" t="s">
        <v>278</v>
      </c>
      <c r="C107" s="14" t="s">
        <v>71</v>
      </c>
      <c r="D107" s="14" t="s">
        <v>87</v>
      </c>
      <c r="E107" s="14">
        <v>88</v>
      </c>
      <c r="F107" s="14">
        <v>88</v>
      </c>
      <c r="G107" s="14">
        <f t="shared" si="9"/>
        <v>88</v>
      </c>
      <c r="H107" s="14">
        <v>1.8</v>
      </c>
      <c r="I107" s="29"/>
      <c r="J107" t="str">
        <f t="shared" si="10"/>
        <v>"Carbon, Black, Pelleted**":{"MATERIAL CLASS CODE":"-",</v>
      </c>
      <c r="K107" t="str">
        <f t="shared" si="11"/>
        <v>"CONVEY LOADING":"-",</v>
      </c>
      <c r="L107" t="str">
        <f t="shared" si="12"/>
        <v>"COMPONENT GROUP":"-",</v>
      </c>
      <c r="M107" t="str">
        <f t="shared" si="13"/>
        <v>"WEIGHT (LBS/CF)":0,</v>
      </c>
      <c r="N107" t="str">
        <f t="shared" si="14"/>
        <v>"MATERIAL FACTOR":1.2}</v>
      </c>
      <c r="O107" t="str">
        <f t="shared" si="15"/>
        <v>"Carbon, Black, Pelleted**":{"MATERIAL CLASS CODE":"-","CONVEY LOADING":"-","COMPONENT GROUP":"-","WEIGHT (LBS/CF)":0,"MATERIAL FACTOR":1.2},</v>
      </c>
    </row>
    <row r="108" spans="1:15" hidden="1" x14ac:dyDescent="0.25">
      <c r="A108" s="15" t="s">
        <v>279</v>
      </c>
      <c r="B108" s="16" t="s">
        <v>280</v>
      </c>
      <c r="C108" s="16" t="s">
        <v>71</v>
      </c>
      <c r="D108" s="16" t="s">
        <v>111</v>
      </c>
      <c r="E108" s="16">
        <v>47</v>
      </c>
      <c r="F108" s="16">
        <v>47</v>
      </c>
      <c r="G108" s="16">
        <f t="shared" si="9"/>
        <v>47</v>
      </c>
      <c r="H108" s="16">
        <v>1.5</v>
      </c>
      <c r="I108" s="30"/>
      <c r="J108" t="str">
        <f t="shared" si="10"/>
        <v>"Carbon, Black, Powder**":{"MATERIAL CLASS CODE":"-",</v>
      </c>
      <c r="K108" t="str">
        <f t="shared" si="11"/>
        <v>"CONVEY LOADING":"-",</v>
      </c>
      <c r="L108" t="str">
        <f t="shared" si="12"/>
        <v>"COMPONENT GROUP":"-",</v>
      </c>
      <c r="M108" t="str">
        <f t="shared" si="13"/>
        <v>"WEIGHT (LBS/CF)":0,</v>
      </c>
      <c r="N108" t="str">
        <f t="shared" si="14"/>
        <v>"MATERIAL FACTOR":2}</v>
      </c>
      <c r="O108" t="str">
        <f t="shared" si="15"/>
        <v>"Carbon, Black, Powder**":{"MATERIAL CLASS CODE":"-","CONVEY LOADING":"-","COMPONENT GROUP":"-","WEIGHT (LBS/CF)":0,"MATERIAL FACTOR":2},</v>
      </c>
    </row>
    <row r="109" spans="1:15" hidden="1" x14ac:dyDescent="0.25">
      <c r="A109" s="13" t="s">
        <v>281</v>
      </c>
      <c r="B109" s="14" t="s">
        <v>282</v>
      </c>
      <c r="C109" s="14" t="s">
        <v>99</v>
      </c>
      <c r="D109" s="14" t="s">
        <v>87</v>
      </c>
      <c r="E109" s="14">
        <v>11</v>
      </c>
      <c r="F109" s="14">
        <v>17</v>
      </c>
      <c r="G109" s="14">
        <f t="shared" si="9"/>
        <v>14</v>
      </c>
      <c r="H109" s="14">
        <v>1.6</v>
      </c>
      <c r="I109" s="14" t="s">
        <v>116</v>
      </c>
      <c r="J109" t="str">
        <f t="shared" si="10"/>
        <v>"Carborundum":{"MATERIAL CLASS CODE":"100D27",</v>
      </c>
      <c r="K109" t="str">
        <f t="shared" si="11"/>
        <v>"CONVEY LOADING":"15",</v>
      </c>
      <c r="L109" t="str">
        <f t="shared" si="12"/>
        <v>"COMPONENT GROUP":"3D",</v>
      </c>
      <c r="M109" t="str">
        <f t="shared" si="13"/>
        <v>"WEIGHT (LBS/CF)":100,</v>
      </c>
      <c r="N109" t="str">
        <f t="shared" si="14"/>
        <v>"MATERIAL FACTOR":3}</v>
      </c>
      <c r="O109" t="str">
        <f t="shared" si="15"/>
        <v>"Carborundum":{"MATERIAL CLASS CODE":"100D27","CONVEY LOADING":"15","COMPONENT GROUP":"3D","WEIGHT (LBS/CF)":100,"MATERIAL FACTOR":3},</v>
      </c>
    </row>
    <row r="110" spans="1:15" hidden="1" x14ac:dyDescent="0.25">
      <c r="A110" s="15" t="s">
        <v>283</v>
      </c>
      <c r="B110" s="16" t="s">
        <v>284</v>
      </c>
      <c r="C110" s="16" t="s">
        <v>99</v>
      </c>
      <c r="D110" s="16" t="s">
        <v>76</v>
      </c>
      <c r="E110" s="16">
        <v>60</v>
      </c>
      <c r="F110" s="16">
        <v>75</v>
      </c>
      <c r="G110" s="16">
        <f t="shared" si="9"/>
        <v>67.5</v>
      </c>
      <c r="H110" s="16">
        <v>1.4</v>
      </c>
      <c r="I110" s="16" t="s">
        <v>73</v>
      </c>
      <c r="J110" t="str">
        <f t="shared" si="10"/>
        <v>"Casein":{"MATERIAL CLASS CODE":"36B35",</v>
      </c>
      <c r="K110" t="str">
        <f t="shared" si="11"/>
        <v>"CONVEY LOADING":"30A",</v>
      </c>
      <c r="L110" t="str">
        <f t="shared" si="12"/>
        <v>"COMPONENT GROUP":"2D",</v>
      </c>
      <c r="M110" t="str">
        <f t="shared" si="13"/>
        <v>"WEIGHT (LBS/CF)":36,</v>
      </c>
      <c r="N110" t="str">
        <f t="shared" si="14"/>
        <v>"MATERIAL FACTOR":1.6}</v>
      </c>
      <c r="O110" t="str">
        <f t="shared" si="15"/>
        <v>"Casein":{"MATERIAL CLASS CODE":"36B35","CONVEY LOADING":"30A","COMPONENT GROUP":"2D","WEIGHT (LBS/CF)":36,"MATERIAL FACTOR":1.6},</v>
      </c>
    </row>
    <row r="111" spans="1:15" hidden="1" x14ac:dyDescent="0.25">
      <c r="A111" s="13" t="s">
        <v>285</v>
      </c>
      <c r="B111" s="14" t="s">
        <v>286</v>
      </c>
      <c r="C111" s="14" t="s">
        <v>99</v>
      </c>
      <c r="D111" s="14" t="s">
        <v>87</v>
      </c>
      <c r="E111" s="14">
        <v>75</v>
      </c>
      <c r="F111" s="14">
        <v>95</v>
      </c>
      <c r="G111" s="14">
        <f t="shared" si="9"/>
        <v>85</v>
      </c>
      <c r="H111" s="14">
        <v>1.8</v>
      </c>
      <c r="I111" s="29"/>
      <c r="J111" t="str">
        <f t="shared" si="10"/>
        <v>"Cashew Nuts":{"MATERIAL CLASS CODE":"35C45",</v>
      </c>
      <c r="K111" t="str">
        <f t="shared" si="11"/>
        <v>"CONVEY LOADING":"30A",</v>
      </c>
      <c r="L111" t="str">
        <f t="shared" si="12"/>
        <v>"COMPONENT GROUP":"2D",</v>
      </c>
      <c r="M111" t="str">
        <f t="shared" si="13"/>
        <v>"WEIGHT (LBS/CF)":34.5,</v>
      </c>
      <c r="N111" t="str">
        <f t="shared" si="14"/>
        <v>"MATERIAL FACTOR":0.7}</v>
      </c>
      <c r="O111" t="str">
        <f t="shared" si="15"/>
        <v>"Cashew Nuts":{"MATERIAL CLASS CODE":"35C45","CONVEY LOADING":"30A","COMPONENT GROUP":"2D","WEIGHT (LBS/CF)":34.5,"MATERIAL FACTOR":0.7},</v>
      </c>
    </row>
    <row r="112" spans="1:15" ht="15.75" hidden="1" thickBot="1" x14ac:dyDescent="0.3">
      <c r="A112" s="19" t="s">
        <v>287</v>
      </c>
      <c r="B112" s="20" t="s">
        <v>288</v>
      </c>
      <c r="C112" s="20" t="s">
        <v>71</v>
      </c>
      <c r="D112" s="20" t="s">
        <v>87</v>
      </c>
      <c r="E112" s="20">
        <v>133</v>
      </c>
      <c r="F112" s="20">
        <v>133</v>
      </c>
      <c r="G112" s="20">
        <f t="shared" si="9"/>
        <v>133</v>
      </c>
      <c r="H112" s="20">
        <v>3</v>
      </c>
      <c r="I112" s="31"/>
      <c r="J112" t="str">
        <f t="shared" si="10"/>
        <v>"Cast Iron, Chips":{"MATERIAL CLASS CODE":"165C45",</v>
      </c>
      <c r="K112" t="str">
        <f t="shared" si="11"/>
        <v>"CONVEY LOADING":"30A",</v>
      </c>
      <c r="L112" t="str">
        <f t="shared" si="12"/>
        <v>"COMPONENT GROUP":"2D",</v>
      </c>
      <c r="M112" t="str">
        <f t="shared" si="13"/>
        <v>"WEIGHT (LBS/CF)":165,</v>
      </c>
      <c r="N112" t="str">
        <f t="shared" si="14"/>
        <v>"MATERIAL FACTOR":4}</v>
      </c>
      <c r="O112" t="str">
        <f t="shared" si="15"/>
        <v>"Cast Iron, Chips":{"MATERIAL CLASS CODE":"165C45","CONVEY LOADING":"30A","COMPONENT GROUP":"2D","WEIGHT (LBS/CF)":165,"MATERIAL FACTOR":4},</v>
      </c>
    </row>
    <row r="113" spans="1:15" hidden="1" x14ac:dyDescent="0.25">
      <c r="A113" s="13" t="s">
        <v>289</v>
      </c>
      <c r="B113" s="14" t="s">
        <v>290</v>
      </c>
      <c r="C113" s="14" t="s">
        <v>99</v>
      </c>
      <c r="D113" s="14" t="s">
        <v>76</v>
      </c>
      <c r="E113" s="14">
        <v>94</v>
      </c>
      <c r="F113" s="14">
        <v>94</v>
      </c>
      <c r="G113" s="14">
        <f t="shared" si="9"/>
        <v>94</v>
      </c>
      <c r="H113" s="14">
        <v>1.4</v>
      </c>
      <c r="I113" s="14" t="s">
        <v>73</v>
      </c>
      <c r="J113" t="str">
        <f t="shared" si="10"/>
        <v>"Caustic Soda (Sodium Hydroxide)":{"MATERIAL CLASS CODE":"88B35RSU",</v>
      </c>
      <c r="K113" t="str">
        <f t="shared" si="11"/>
        <v>"CONVEY LOADING":"30A",</v>
      </c>
      <c r="L113" t="str">
        <f t="shared" si="12"/>
        <v>"COMPONENT GROUP":"3D",</v>
      </c>
      <c r="M113" t="str">
        <f t="shared" si="13"/>
        <v>"WEIGHT (LBS/CF)":88,</v>
      </c>
      <c r="N113" t="str">
        <f t="shared" si="14"/>
        <v>"MATERIAL FACTOR":1.8}</v>
      </c>
      <c r="O113" t="str">
        <f t="shared" si="15"/>
        <v>"Caustic Soda (Sodium Hydroxide)":{"MATERIAL CLASS CODE":"88B35RSU","CONVEY LOADING":"30A","COMPONENT GROUP":"3D","WEIGHT (LBS/CF)":88,"MATERIAL FACTOR":1.8},</v>
      </c>
    </row>
    <row r="114" spans="1:15" hidden="1" x14ac:dyDescent="0.25">
      <c r="A114" s="15" t="s">
        <v>291</v>
      </c>
      <c r="B114" s="16" t="s">
        <v>292</v>
      </c>
      <c r="C114" s="16" t="s">
        <v>71</v>
      </c>
      <c r="D114" s="16" t="s">
        <v>76</v>
      </c>
      <c r="E114" s="16">
        <v>240</v>
      </c>
      <c r="F114" s="16">
        <v>260</v>
      </c>
      <c r="G114" s="16">
        <f t="shared" si="9"/>
        <v>250</v>
      </c>
      <c r="H114" s="16">
        <v>1</v>
      </c>
      <c r="I114" s="16" t="s">
        <v>116</v>
      </c>
      <c r="J114" t="str">
        <f t="shared" si="10"/>
        <v>"Caustic Soda, Flakes":{"MATERIAL CLASS CODE":"47C45RSUX",</v>
      </c>
      <c r="K114" t="str">
        <f t="shared" si="11"/>
        <v>"CONVEY LOADING":"30A",</v>
      </c>
      <c r="L114" t="str">
        <f t="shared" si="12"/>
        <v>"COMPONENT GROUP":"3A,3B",</v>
      </c>
      <c r="M114" t="str">
        <f t="shared" si="13"/>
        <v>"WEIGHT (LBS/CF)":47,</v>
      </c>
      <c r="N114" t="str">
        <f t="shared" si="14"/>
        <v>"MATERIAL FACTOR":1.5}</v>
      </c>
      <c r="O114" t="str">
        <f t="shared" si="15"/>
        <v>"Caustic Soda, Flakes":{"MATERIAL CLASS CODE":"47C45RSUX","CONVEY LOADING":"30A","COMPONENT GROUP":"3A,3B","WEIGHT (LBS/CF)":47,"MATERIAL FACTOR":1.5},</v>
      </c>
    </row>
    <row r="115" spans="1:15" hidden="1" x14ac:dyDescent="0.25">
      <c r="A115" s="13" t="s">
        <v>293</v>
      </c>
      <c r="B115" s="14" t="s">
        <v>294</v>
      </c>
      <c r="C115" s="14" t="s">
        <v>71</v>
      </c>
      <c r="D115" s="14" t="s">
        <v>76</v>
      </c>
      <c r="E115" s="14">
        <v>75</v>
      </c>
      <c r="F115" s="14">
        <v>95</v>
      </c>
      <c r="G115" s="14">
        <f t="shared" si="9"/>
        <v>85</v>
      </c>
      <c r="H115" s="14">
        <v>1.9</v>
      </c>
      <c r="I115" s="29"/>
      <c r="J115" t="str">
        <f t="shared" si="10"/>
        <v>"Celite (Diatomaceous Earth)":{"MATERIAL CLASS CODE":"14A36Y",</v>
      </c>
      <c r="K115" t="str">
        <f t="shared" si="11"/>
        <v>"CONVEY LOADING":"30B",</v>
      </c>
      <c r="L115" t="str">
        <f t="shared" si="12"/>
        <v>"COMPONENT GROUP":"3D",</v>
      </c>
      <c r="M115" t="str">
        <f t="shared" si="13"/>
        <v>"WEIGHT (LBS/CF)":14,</v>
      </c>
      <c r="N115" t="str">
        <f t="shared" si="14"/>
        <v>"MATERIAL FACTOR":1.6}</v>
      </c>
      <c r="O115" t="str">
        <f t="shared" si="15"/>
        <v>"Celite (Diatomaceous Earth)":{"MATERIAL CLASS CODE":"14A36Y","CONVEY LOADING":"30B","COMPONENT GROUP":"3D","WEIGHT (LBS/CF)":14,"MATERIAL FACTOR":1.6},</v>
      </c>
    </row>
    <row r="116" spans="1:15" hidden="1" x14ac:dyDescent="0.25">
      <c r="A116" s="15" t="s">
        <v>295</v>
      </c>
      <c r="B116" s="16" t="s">
        <v>296</v>
      </c>
      <c r="C116" s="16">
        <v>45</v>
      </c>
      <c r="D116" s="16" t="s">
        <v>76</v>
      </c>
      <c r="E116" s="16">
        <v>67</v>
      </c>
      <c r="F116" s="16">
        <v>75</v>
      </c>
      <c r="G116" s="16">
        <f t="shared" si="9"/>
        <v>71</v>
      </c>
      <c r="H116" s="16">
        <v>1.4</v>
      </c>
      <c r="I116" s="30"/>
      <c r="J116" t="str">
        <f t="shared" si="10"/>
        <v>"Cement, Aerated (Portland)":{"MATERIAL CLASS CODE":"68A16M",</v>
      </c>
      <c r="K116" t="str">
        <f t="shared" si="11"/>
        <v>"CONVEY LOADING":"30B",</v>
      </c>
      <c r="L116" t="str">
        <f t="shared" si="12"/>
        <v>"COMPONENT GROUP":"2D",</v>
      </c>
      <c r="M116" t="str">
        <f t="shared" si="13"/>
        <v>"WEIGHT (LBS/CF)":67.5,</v>
      </c>
      <c r="N116" t="str">
        <f t="shared" si="14"/>
        <v>"MATERIAL FACTOR":1.4}</v>
      </c>
      <c r="O116" t="str">
        <f t="shared" si="15"/>
        <v>"Cement, Aerated (Portland)":{"MATERIAL CLASS CODE":"68A16M","CONVEY LOADING":"30B","COMPONENT GROUP":"2D","WEIGHT (LBS/CF)":67.5,"MATERIAL FACTOR":1.4},</v>
      </c>
    </row>
    <row r="117" spans="1:15" hidden="1" x14ac:dyDescent="0.25">
      <c r="A117" s="13" t="s">
        <v>297</v>
      </c>
      <c r="B117" s="14" t="s">
        <v>298</v>
      </c>
      <c r="C117" s="14" t="s">
        <v>71</v>
      </c>
      <c r="D117" s="14" t="s">
        <v>76</v>
      </c>
      <c r="E117" s="14">
        <v>18</v>
      </c>
      <c r="F117" s="14">
        <v>28</v>
      </c>
      <c r="G117" s="14">
        <f t="shared" si="9"/>
        <v>23</v>
      </c>
      <c r="H117" s="14">
        <v>1.2</v>
      </c>
      <c r="I117" s="29"/>
      <c r="J117" t="str">
        <f t="shared" si="10"/>
        <v>"Cement, Clinker":{"MATERIAL CLASS CODE":"85D36",</v>
      </c>
      <c r="K117" t="str">
        <f t="shared" si="11"/>
        <v>"CONVEY LOADING":"30B",</v>
      </c>
      <c r="L117" t="str">
        <f t="shared" si="12"/>
        <v>"COMPONENT GROUP":"3D",</v>
      </c>
      <c r="M117" t="str">
        <f t="shared" si="13"/>
        <v>"WEIGHT (LBS/CF)":85,</v>
      </c>
      <c r="N117" t="str">
        <f t="shared" si="14"/>
        <v>"MATERIAL FACTOR":1.8}</v>
      </c>
      <c r="O117" t="str">
        <f t="shared" si="15"/>
        <v>"Cement, Clinker":{"MATERIAL CLASS CODE":"85D36","CONVEY LOADING":"30B","COMPONENT GROUP":"3D","WEIGHT (LBS/CF)":85,"MATERIAL FACTOR":1.8},</v>
      </c>
    </row>
    <row r="118" spans="1:15" hidden="1" x14ac:dyDescent="0.25">
      <c r="A118" s="15" t="s">
        <v>299</v>
      </c>
      <c r="B118" s="16" t="s">
        <v>300</v>
      </c>
      <c r="C118" s="16" t="s">
        <v>71</v>
      </c>
      <c r="D118" s="16" t="s">
        <v>76</v>
      </c>
      <c r="E118" s="16">
        <v>18</v>
      </c>
      <c r="F118" s="16">
        <v>28</v>
      </c>
      <c r="G118" s="16">
        <f t="shared" si="9"/>
        <v>23</v>
      </c>
      <c r="H118" s="16">
        <v>1.4</v>
      </c>
      <c r="I118" s="30"/>
      <c r="J118" t="str">
        <f t="shared" si="10"/>
        <v>"Cement, Mortar":{"MATERIAL CLASS CODE":"133B35Q",</v>
      </c>
      <c r="K118" t="str">
        <f t="shared" si="11"/>
        <v>"CONVEY LOADING":"30A",</v>
      </c>
      <c r="L118" t="str">
        <f t="shared" si="12"/>
        <v>"COMPONENT GROUP":"3D",</v>
      </c>
      <c r="M118" t="str">
        <f t="shared" si="13"/>
        <v>"WEIGHT (LBS/CF)":133,</v>
      </c>
      <c r="N118" t="str">
        <f t="shared" si="14"/>
        <v>"MATERIAL FACTOR":3}</v>
      </c>
      <c r="O118" t="str">
        <f t="shared" si="15"/>
        <v>"Cement, Mortar":{"MATERIAL CLASS CODE":"133B35Q","CONVEY LOADING":"30A","COMPONENT GROUP":"3D","WEIGHT (LBS/CF)":133,"MATERIAL FACTOR":3},</v>
      </c>
    </row>
    <row r="119" spans="1:15" hidden="1" x14ac:dyDescent="0.25">
      <c r="A119" s="13" t="s">
        <v>301</v>
      </c>
      <c r="B119" s="14" t="s">
        <v>302</v>
      </c>
      <c r="C119" s="14" t="s">
        <v>71</v>
      </c>
      <c r="D119" s="14" t="s">
        <v>72</v>
      </c>
      <c r="E119" s="14">
        <v>40</v>
      </c>
      <c r="F119" s="14">
        <v>45</v>
      </c>
      <c r="G119" s="14">
        <f t="shared" si="9"/>
        <v>42.5</v>
      </c>
      <c r="H119" s="14">
        <v>1.5</v>
      </c>
      <c r="I119" s="29"/>
      <c r="J119" t="str">
        <f t="shared" si="10"/>
        <v>"Cement, Portland":{"MATERIAL CLASS CODE":"94A26M",</v>
      </c>
      <c r="K119" t="str">
        <f t="shared" si="11"/>
        <v>"CONVEY LOADING":"30B",</v>
      </c>
      <c r="L119" t="str">
        <f t="shared" si="12"/>
        <v>"COMPONENT GROUP":"2D",</v>
      </c>
      <c r="M119" t="str">
        <f t="shared" si="13"/>
        <v>"WEIGHT (LBS/CF)":94,</v>
      </c>
      <c r="N119" t="str">
        <f t="shared" si="14"/>
        <v>"MATERIAL FACTOR":1.4}</v>
      </c>
      <c r="O119" t="str">
        <f t="shared" si="15"/>
        <v>"Cement, Portland":{"MATERIAL CLASS CODE":"94A26M","CONVEY LOADING":"30B","COMPONENT GROUP":"2D","WEIGHT (LBS/CF)":94,"MATERIAL FACTOR":1.4},</v>
      </c>
    </row>
    <row r="120" spans="1:15" hidden="1" x14ac:dyDescent="0.25">
      <c r="A120" s="15" t="s">
        <v>303</v>
      </c>
      <c r="B120" s="16" t="s">
        <v>304</v>
      </c>
      <c r="C120" s="16" t="s">
        <v>99</v>
      </c>
      <c r="D120" s="16" t="s">
        <v>87</v>
      </c>
      <c r="E120" s="16">
        <v>125</v>
      </c>
      <c r="F120" s="16">
        <v>140</v>
      </c>
      <c r="G120" s="16">
        <f t="shared" si="9"/>
        <v>132.5</v>
      </c>
      <c r="H120" s="16">
        <v>2.5</v>
      </c>
      <c r="I120" s="30"/>
      <c r="J120" t="str">
        <f t="shared" si="10"/>
        <v>"Cerrusite (Lead Carbonate)":{"MATERIAL CLASS CODE":"250A35R",</v>
      </c>
      <c r="K120" t="str">
        <f t="shared" si="11"/>
        <v>"CONVEY LOADING":"30A",</v>
      </c>
      <c r="L120" t="str">
        <f t="shared" si="12"/>
        <v>"COMPONENT GROUP":"2D",</v>
      </c>
      <c r="M120" t="str">
        <f t="shared" si="13"/>
        <v>"WEIGHT (LBS/CF)":250,</v>
      </c>
      <c r="N120" t="str">
        <f t="shared" si="14"/>
        <v>"MATERIAL FACTOR":1}</v>
      </c>
      <c r="O120" t="str">
        <f t="shared" si="15"/>
        <v>"Cerrusite (Lead Carbonate)":{"MATERIAL CLASS CODE":"250A35R","CONVEY LOADING":"30A","COMPONENT GROUP":"2D","WEIGHT (LBS/CF)":250,"MATERIAL FACTOR":1},</v>
      </c>
    </row>
    <row r="121" spans="1:15" hidden="1" x14ac:dyDescent="0.25">
      <c r="A121" s="13" t="s">
        <v>305</v>
      </c>
      <c r="B121" s="14" t="s">
        <v>306</v>
      </c>
      <c r="C121" s="14" t="s">
        <v>99</v>
      </c>
      <c r="D121" s="14" t="s">
        <v>87</v>
      </c>
      <c r="E121" s="14">
        <v>57</v>
      </c>
      <c r="F121" s="14">
        <v>57</v>
      </c>
      <c r="G121" s="14">
        <f t="shared" si="9"/>
        <v>57</v>
      </c>
      <c r="H121" s="14">
        <v>1.9</v>
      </c>
      <c r="I121" s="29"/>
      <c r="J121" t="str">
        <f t="shared" si="10"/>
        <v>"Chalk, Crushed":{"MATERIAL CLASS CODE":"85D25",</v>
      </c>
      <c r="K121" t="str">
        <f t="shared" si="11"/>
        <v>"CONVEY LOADING":"30A",</v>
      </c>
      <c r="L121" t="str">
        <f t="shared" si="12"/>
        <v>"COMPONENT GROUP":"2D",</v>
      </c>
      <c r="M121" t="str">
        <f t="shared" si="13"/>
        <v>"WEIGHT (LBS/CF)":85,</v>
      </c>
      <c r="N121" t="str">
        <f t="shared" si="14"/>
        <v>"MATERIAL FACTOR":1.9}</v>
      </c>
      <c r="O121" t="str">
        <f t="shared" si="15"/>
        <v>"Chalk, Crushed":{"MATERIAL CLASS CODE":"85D25","CONVEY LOADING":"30A","COMPONENT GROUP":"2D","WEIGHT (LBS/CF)":85,"MATERIAL FACTOR":1.9},</v>
      </c>
    </row>
    <row r="122" spans="1:15" hidden="1" x14ac:dyDescent="0.25">
      <c r="A122" s="15" t="s">
        <v>307</v>
      </c>
      <c r="B122" s="16" t="s">
        <v>308</v>
      </c>
      <c r="C122" s="16" t="s">
        <v>99</v>
      </c>
      <c r="D122" s="16" t="s">
        <v>87</v>
      </c>
      <c r="E122" s="16">
        <v>40</v>
      </c>
      <c r="F122" s="16">
        <v>40</v>
      </c>
      <c r="G122" s="16">
        <f t="shared" si="9"/>
        <v>40</v>
      </c>
      <c r="H122" s="16">
        <v>1.8</v>
      </c>
      <c r="I122" s="30"/>
      <c r="J122" t="str">
        <f t="shared" si="10"/>
        <v>"Chalk, Pulverized":{"MATERIAL CLASS CODE":"71A25MXY",</v>
      </c>
      <c r="K122" t="str">
        <f t="shared" si="11"/>
        <v>"CONVEY LOADING":"45",</v>
      </c>
      <c r="L122" t="str">
        <f t="shared" si="12"/>
        <v>"COMPONENT GROUP":"2D",</v>
      </c>
      <c r="M122" t="str">
        <f t="shared" si="13"/>
        <v>"WEIGHT (LBS/CF)":71,</v>
      </c>
      <c r="N122" t="str">
        <f t="shared" si="14"/>
        <v>"MATERIAL FACTOR":1.4}</v>
      </c>
      <c r="O122" t="str">
        <f t="shared" si="15"/>
        <v>"Chalk, Pulverized":{"MATERIAL CLASS CODE":"71A25MXY","CONVEY LOADING":"45","COMPONENT GROUP":"2D","WEIGHT (LBS/CF)":71,"MATERIAL FACTOR":1.4},</v>
      </c>
    </row>
    <row r="123" spans="1:15" hidden="1" x14ac:dyDescent="0.25">
      <c r="A123" s="13" t="s">
        <v>309</v>
      </c>
      <c r="B123" s="14" t="s">
        <v>182</v>
      </c>
      <c r="C123" s="14" t="s">
        <v>99</v>
      </c>
      <c r="D123" s="14" t="s">
        <v>76</v>
      </c>
      <c r="E123" s="14">
        <v>80</v>
      </c>
      <c r="F123" s="14">
        <v>80</v>
      </c>
      <c r="G123" s="14">
        <f t="shared" si="9"/>
        <v>80</v>
      </c>
      <c r="H123" s="14">
        <v>1.6</v>
      </c>
      <c r="I123" s="14" t="s">
        <v>116</v>
      </c>
      <c r="J123" t="str">
        <f t="shared" si="10"/>
        <v>"Charcoal, Ground":{"MATERIAL CLASS CODE":"23A45",</v>
      </c>
      <c r="K123" t="str">
        <f t="shared" si="11"/>
        <v>"CONVEY LOADING":"30A",</v>
      </c>
      <c r="L123" t="str">
        <f t="shared" si="12"/>
        <v>"COMPONENT GROUP":"2D",</v>
      </c>
      <c r="M123" t="str">
        <f t="shared" si="13"/>
        <v>"WEIGHT (LBS/CF)":23,</v>
      </c>
      <c r="N123" t="str">
        <f t="shared" si="14"/>
        <v>"MATERIAL FACTOR":1.2}</v>
      </c>
      <c r="O123" t="str">
        <f t="shared" si="15"/>
        <v>"Charcoal, Ground":{"MATERIAL CLASS CODE":"23A45","CONVEY LOADING":"30A","COMPONENT GROUP":"2D","WEIGHT (LBS/CF)":23,"MATERIAL FACTOR":1.2},</v>
      </c>
    </row>
    <row r="124" spans="1:15" hidden="1" x14ac:dyDescent="0.25">
      <c r="A124" s="13" t="s">
        <v>311</v>
      </c>
      <c r="B124" s="29"/>
      <c r="C124" s="29"/>
      <c r="D124" s="29"/>
      <c r="E124" s="29"/>
      <c r="F124" s="29"/>
      <c r="G124" s="29">
        <f t="shared" si="9"/>
        <v>0</v>
      </c>
      <c r="H124" s="29">
        <v>0.4</v>
      </c>
      <c r="I124" s="29"/>
      <c r="J124" t="str">
        <f t="shared" si="10"/>
        <v>"Charcoal, Lumps":{"MATERIAL CLASS CODE":"23D45Q",</v>
      </c>
      <c r="K124" t="str">
        <f t="shared" si="11"/>
        <v>"CONVEY LOADING":"30A",</v>
      </c>
      <c r="L124" t="str">
        <f t="shared" si="12"/>
        <v>"COMPONENT GROUP":"2D",</v>
      </c>
      <c r="M124" t="str">
        <f t="shared" si="13"/>
        <v>"WEIGHT (LBS/CF)":23,</v>
      </c>
      <c r="N124" t="str">
        <f t="shared" si="14"/>
        <v>"MATERIAL FACTOR":1.4}</v>
      </c>
      <c r="O124" t="str">
        <f t="shared" si="15"/>
        <v>"Charcoal, Lumps":{"MATERIAL CLASS CODE":"23D45Q","CONVEY LOADING":"30A","COMPONENT GROUP":"2D","WEIGHT (LBS/CF)":23,"MATERIAL FACTOR":1.4},</v>
      </c>
    </row>
    <row r="125" spans="1:15" hidden="1" x14ac:dyDescent="0.25">
      <c r="A125" s="15" t="s">
        <v>310</v>
      </c>
      <c r="B125" s="30"/>
      <c r="C125" s="30"/>
      <c r="D125" s="30"/>
      <c r="E125" s="30"/>
      <c r="F125" s="30"/>
      <c r="G125" s="30">
        <f t="shared" si="9"/>
        <v>0</v>
      </c>
      <c r="H125" s="30">
        <v>0.4</v>
      </c>
      <c r="I125" s="30"/>
      <c r="J125" t="str">
        <f t="shared" si="10"/>
        <v>"Chocolate, Cake Pressed":{"MATERIAL CLASS CODE":"43D25",</v>
      </c>
      <c r="K125" t="str">
        <f t="shared" si="11"/>
        <v>"CONVEY LOADING":"30A",</v>
      </c>
      <c r="L125" t="str">
        <f t="shared" si="12"/>
        <v>"COMPONENT GROUP":"2B",</v>
      </c>
      <c r="M125" t="str">
        <f t="shared" si="13"/>
        <v>"WEIGHT (LBS/CF)":42.5,</v>
      </c>
      <c r="N125" t="str">
        <f t="shared" si="14"/>
        <v>"MATERIAL FACTOR":1.5}</v>
      </c>
      <c r="O125" t="str">
        <f t="shared" si="15"/>
        <v>"Chocolate, Cake Pressed":{"MATERIAL CLASS CODE":"43D25","CONVEY LOADING":"30A","COMPONENT GROUP":"2B","WEIGHT (LBS/CF)":42.5,"MATERIAL FACTOR":1.5},</v>
      </c>
    </row>
    <row r="126" spans="1:15" hidden="1" x14ac:dyDescent="0.25">
      <c r="A126" s="15" t="s">
        <v>312</v>
      </c>
      <c r="B126" s="16" t="s">
        <v>313</v>
      </c>
      <c r="C126" s="16" t="s">
        <v>99</v>
      </c>
      <c r="D126" s="16" t="s">
        <v>87</v>
      </c>
      <c r="E126" s="16">
        <v>100</v>
      </c>
      <c r="F126" s="16">
        <v>120</v>
      </c>
      <c r="G126" s="16">
        <f t="shared" si="9"/>
        <v>110</v>
      </c>
      <c r="H126" s="16">
        <v>2</v>
      </c>
      <c r="I126" s="30"/>
      <c r="J126" t="str">
        <f t="shared" si="10"/>
        <v>"Chrome Ore":{"MATERIAL CLASS CODE":"133D36",</v>
      </c>
      <c r="K126" t="str">
        <f t="shared" si="11"/>
        <v>"CONVEY LOADING":"30B",</v>
      </c>
      <c r="L126" t="str">
        <f t="shared" si="12"/>
        <v>"COMPONENT GROUP":"3D",</v>
      </c>
      <c r="M126" t="str">
        <f t="shared" si="13"/>
        <v>"WEIGHT (LBS/CF)":132.5,</v>
      </c>
      <c r="N126" t="str">
        <f t="shared" si="14"/>
        <v>"MATERIAL FACTOR":2.5}</v>
      </c>
      <c r="O126" t="str">
        <f t="shared" si="15"/>
        <v>"Chrome Ore":{"MATERIAL CLASS CODE":"133D36","CONVEY LOADING":"30B","COMPONENT GROUP":"3D","WEIGHT (LBS/CF)":132.5,"MATERIAL FACTOR":2.5},</v>
      </c>
    </row>
    <row r="127" spans="1:15" hidden="1" x14ac:dyDescent="0.25">
      <c r="A127" s="13" t="s">
        <v>314</v>
      </c>
      <c r="B127" s="14" t="s">
        <v>315</v>
      </c>
      <c r="C127" s="14" t="s">
        <v>99</v>
      </c>
      <c r="D127" s="14" t="s">
        <v>87</v>
      </c>
      <c r="E127" s="14">
        <v>80</v>
      </c>
      <c r="F127" s="14">
        <v>100</v>
      </c>
      <c r="G127" s="14">
        <f t="shared" si="9"/>
        <v>90</v>
      </c>
      <c r="H127" s="14">
        <v>2.4</v>
      </c>
      <c r="I127" s="29"/>
      <c r="J127" t="str">
        <f t="shared" si="10"/>
        <v>"Cinders, Blast Furnace":{"MATERIAL CLASS CODE":"57D36T",</v>
      </c>
      <c r="K127" t="str">
        <f t="shared" si="11"/>
        <v>"CONVEY LOADING":"30B",</v>
      </c>
      <c r="L127" t="str">
        <f t="shared" si="12"/>
        <v>"COMPONENT GROUP":"3D",</v>
      </c>
      <c r="M127" t="str">
        <f t="shared" si="13"/>
        <v>"WEIGHT (LBS/CF)":57,</v>
      </c>
      <c r="N127" t="str">
        <f t="shared" si="14"/>
        <v>"MATERIAL FACTOR":1.9}</v>
      </c>
      <c r="O127" t="str">
        <f t="shared" si="15"/>
        <v>"Cinders, Blast Furnace":{"MATERIAL CLASS CODE":"57D36T","CONVEY LOADING":"30B","COMPONENT GROUP":"3D","WEIGHT (LBS/CF)":57,"MATERIAL FACTOR":1.9},</v>
      </c>
    </row>
    <row r="128" spans="1:15" hidden="1" x14ac:dyDescent="0.25">
      <c r="A128" s="15" t="s">
        <v>316</v>
      </c>
      <c r="B128" s="16" t="s">
        <v>317</v>
      </c>
      <c r="C128" s="16" t="s">
        <v>71</v>
      </c>
      <c r="D128" s="16" t="s">
        <v>81</v>
      </c>
      <c r="E128" s="16">
        <v>60</v>
      </c>
      <c r="F128" s="16">
        <v>80</v>
      </c>
      <c r="G128" s="16">
        <f t="shared" si="9"/>
        <v>70</v>
      </c>
      <c r="H128" s="16">
        <v>1.5</v>
      </c>
      <c r="I128" s="16" t="s">
        <v>73</v>
      </c>
      <c r="J128" t="str">
        <f t="shared" si="10"/>
        <v>"Cinders, Coal":{"MATERIAL CLASS CODE":"40D36T",</v>
      </c>
      <c r="K128" t="str">
        <f t="shared" si="11"/>
        <v>"CONVEY LOADING":"30B",</v>
      </c>
      <c r="L128" t="str">
        <f t="shared" si="12"/>
        <v>"COMPONENT GROUP":"3D",</v>
      </c>
      <c r="M128" t="str">
        <f t="shared" si="13"/>
        <v>"WEIGHT (LBS/CF)":40,</v>
      </c>
      <c r="N128" t="str">
        <f t="shared" si="14"/>
        <v>"MATERIAL FACTOR":1.8}</v>
      </c>
      <c r="O128" t="str">
        <f t="shared" si="15"/>
        <v>"Cinders, Coal":{"MATERIAL CLASS CODE":"40D36T","CONVEY LOADING":"30B","COMPONENT GROUP":"3D","WEIGHT (LBS/CF)":40,"MATERIAL FACTOR":1.8},</v>
      </c>
    </row>
    <row r="129" spans="1:15" hidden="1" x14ac:dyDescent="0.25">
      <c r="A129" s="13" t="s">
        <v>318</v>
      </c>
      <c r="B129" s="14" t="s">
        <v>319</v>
      </c>
      <c r="C129" s="14" t="s">
        <v>71</v>
      </c>
      <c r="D129" s="14" t="s">
        <v>76</v>
      </c>
      <c r="E129" s="14">
        <v>60</v>
      </c>
      <c r="F129" s="14">
        <v>75</v>
      </c>
      <c r="G129" s="14">
        <f t="shared" si="9"/>
        <v>67.5</v>
      </c>
      <c r="H129" s="14">
        <v>1.8</v>
      </c>
      <c r="I129" s="29"/>
      <c r="J129" t="str">
        <f t="shared" si="10"/>
        <v>"Clay (Marl)":{"MATERIAL CLASS CODE":"80D36",</v>
      </c>
      <c r="K129" t="str">
        <f t="shared" si="11"/>
        <v>"CONVEY LOADING":"30B",</v>
      </c>
      <c r="L129" t="str">
        <f t="shared" si="12"/>
        <v>"COMPONENT GROUP":"2D",</v>
      </c>
      <c r="M129" t="str">
        <f t="shared" si="13"/>
        <v>"WEIGHT (LBS/CF)":80,</v>
      </c>
      <c r="N129" t="str">
        <f t="shared" si="14"/>
        <v>"MATERIAL FACTOR":1.6}</v>
      </c>
      <c r="O129" t="str">
        <f t="shared" si="15"/>
        <v>"Clay (Marl)":{"MATERIAL CLASS CODE":"80D36","CONVEY LOADING":"30B","COMPONENT GROUP":"2D","WEIGHT (LBS/CF)":80,"MATERIAL FACTOR":1.6},</v>
      </c>
    </row>
    <row r="130" spans="1:15" hidden="1" x14ac:dyDescent="0.25">
      <c r="A130" s="15" t="s">
        <v>320</v>
      </c>
      <c r="B130" s="16" t="s">
        <v>286</v>
      </c>
      <c r="C130" s="16" t="s">
        <v>99</v>
      </c>
      <c r="D130" s="16" t="s">
        <v>87</v>
      </c>
      <c r="E130" s="16">
        <v>75</v>
      </c>
      <c r="F130" s="16">
        <v>95</v>
      </c>
      <c r="G130" s="16">
        <f t="shared" si="9"/>
        <v>85</v>
      </c>
      <c r="H130" s="16">
        <v>1.8</v>
      </c>
      <c r="I130" s="16" t="s">
        <v>116</v>
      </c>
      <c r="J130" t="str">
        <f t="shared" si="10"/>
        <v>"Clay (see also Fuller’s Earth, Kaolin &amp; Marl)":{"MATERIAL CLASS CODE":"",</v>
      </c>
      <c r="K130" t="str">
        <f t="shared" si="11"/>
        <v>"CONVEY LOADING":"",</v>
      </c>
      <c r="L130" t="str">
        <f t="shared" si="12"/>
        <v>"COMPONENT GROUP":"",</v>
      </c>
      <c r="M130" t="str">
        <f t="shared" si="13"/>
        <v>"WEIGHT (LBS/CF)":0,</v>
      </c>
      <c r="N130" t="str">
        <f t="shared" si="14"/>
        <v>"MATERIAL FACTOR":0.4}</v>
      </c>
      <c r="O130" t="str">
        <f t="shared" si="15"/>
        <v>"Clay (see also Fuller’s Earth, Kaolin &amp; Marl)":{"MATERIAL CLASS CODE":"","CONVEY LOADING":"","COMPONENT GROUP":"","WEIGHT (LBS/CF)":0,"MATERIAL FACTOR":0.4},</v>
      </c>
    </row>
    <row r="131" spans="1:15" hidden="1" x14ac:dyDescent="0.25">
      <c r="A131" s="13" t="s">
        <v>321</v>
      </c>
      <c r="B131" s="14" t="s">
        <v>322</v>
      </c>
      <c r="C131" s="14">
        <v>45</v>
      </c>
      <c r="D131" s="14" t="s">
        <v>81</v>
      </c>
      <c r="E131" s="14">
        <v>45</v>
      </c>
      <c r="F131" s="14">
        <v>48</v>
      </c>
      <c r="G131" s="14">
        <f t="shared" si="9"/>
        <v>46.5</v>
      </c>
      <c r="H131" s="14">
        <v>0.4</v>
      </c>
      <c r="I131" s="14" t="s">
        <v>73</v>
      </c>
      <c r="J131" t="str">
        <f t="shared" si="10"/>
        <v>"Clay (see Bentonite, Diat. Earth)":{"MATERIAL CLASS CODE":"",</v>
      </c>
      <c r="K131" t="str">
        <f t="shared" si="11"/>
        <v>"CONVEY LOADING":"",</v>
      </c>
      <c r="L131" t="str">
        <f t="shared" si="12"/>
        <v>"COMPONENT GROUP":"",</v>
      </c>
      <c r="M131" t="str">
        <f t="shared" si="13"/>
        <v>"WEIGHT (LBS/CF)":0,</v>
      </c>
      <c r="N131" t="str">
        <f t="shared" si="14"/>
        <v>"MATERIAL FACTOR":0.4}</v>
      </c>
      <c r="O131" t="str">
        <f t="shared" si="15"/>
        <v>"Clay (see Bentonite, Diat. Earth)":{"MATERIAL CLASS CODE":"","CONVEY LOADING":"","COMPONENT GROUP":"","WEIGHT (LBS/CF)":0,"MATERIAL FACTOR":0.4},</v>
      </c>
    </row>
    <row r="132" spans="1:15" hidden="1" x14ac:dyDescent="0.25">
      <c r="A132" s="15" t="s">
        <v>323</v>
      </c>
      <c r="B132" s="16" t="s">
        <v>324</v>
      </c>
      <c r="C132" s="16" t="s">
        <v>71</v>
      </c>
      <c r="D132" s="16" t="s">
        <v>90</v>
      </c>
      <c r="E132" s="16">
        <v>55</v>
      </c>
      <c r="F132" s="16">
        <v>61</v>
      </c>
      <c r="G132" s="16">
        <f t="shared" si="9"/>
        <v>58</v>
      </c>
      <c r="H132" s="16">
        <v>1</v>
      </c>
      <c r="I132" s="30"/>
      <c r="J132" t="str">
        <f t="shared" si="10"/>
        <v>"Clay, Brick, Dry, Fines":{"MATERIAL CLASS CODE":"110C36",</v>
      </c>
      <c r="K132" t="str">
        <f t="shared" si="11"/>
        <v>"CONVEY LOADING":"30B",</v>
      </c>
      <c r="L132" t="str">
        <f t="shared" si="12"/>
        <v>"COMPONENT GROUP":"3D",</v>
      </c>
      <c r="M132" t="str">
        <f t="shared" si="13"/>
        <v>"WEIGHT (LBS/CF)":110,</v>
      </c>
      <c r="N132" t="str">
        <f t="shared" si="14"/>
        <v>"MATERIAL FACTOR":2}</v>
      </c>
      <c r="O132" t="str">
        <f t="shared" si="15"/>
        <v>"Clay, Brick, Dry, Fines":{"MATERIAL CLASS CODE":"110C36","CONVEY LOADING":"30B","COMPONENT GROUP":"3D","WEIGHT (LBS/CF)":110,"MATERIAL FACTOR":2},</v>
      </c>
    </row>
    <row r="133" spans="1:15" hidden="1" x14ac:dyDescent="0.25">
      <c r="A133" s="13" t="s">
        <v>325</v>
      </c>
      <c r="B133" s="14" t="s">
        <v>326</v>
      </c>
      <c r="C133" s="14">
        <v>45</v>
      </c>
      <c r="D133" s="14" t="s">
        <v>90</v>
      </c>
      <c r="E133" s="14">
        <v>49</v>
      </c>
      <c r="F133" s="14">
        <v>61</v>
      </c>
      <c r="G133" s="14">
        <f t="shared" ref="G133:G196" si="16">IFERROR((F133+E133)/2,0)</f>
        <v>55</v>
      </c>
      <c r="H133" s="14">
        <v>1</v>
      </c>
      <c r="I133" s="29"/>
      <c r="J133" t="str">
        <f t="shared" si="10"/>
        <v>"Clay, Calcined":{"MATERIAL CLASS CODE":"90B36",</v>
      </c>
      <c r="K133" t="str">
        <f t="shared" si="11"/>
        <v>"CONVEY LOADING":"30B",</v>
      </c>
      <c r="L133" t="str">
        <f t="shared" si="12"/>
        <v>"COMPONENT GROUP":"3D",</v>
      </c>
      <c r="M133" t="str">
        <f t="shared" si="13"/>
        <v>"WEIGHT (LBS/CF)":90,</v>
      </c>
      <c r="N133" t="str">
        <f t="shared" si="14"/>
        <v>"MATERIAL FACTOR":2.4}</v>
      </c>
      <c r="O133" t="str">
        <f t="shared" si="15"/>
        <v>"Clay, Calcined":{"MATERIAL CLASS CODE":"90B36","CONVEY LOADING":"30B","COMPONENT GROUP":"3D","WEIGHT (LBS/CF)":90,"MATERIAL FACTOR":2.4},</v>
      </c>
    </row>
    <row r="134" spans="1:15" hidden="1" x14ac:dyDescent="0.25">
      <c r="A134" s="15" t="s">
        <v>327</v>
      </c>
      <c r="B134" s="16" t="s">
        <v>328</v>
      </c>
      <c r="C134" s="16" t="s">
        <v>71</v>
      </c>
      <c r="D134" s="16" t="s">
        <v>207</v>
      </c>
      <c r="E134" s="16">
        <v>40</v>
      </c>
      <c r="F134" s="16">
        <v>60</v>
      </c>
      <c r="G134" s="16">
        <f t="shared" si="16"/>
        <v>50</v>
      </c>
      <c r="H134" s="16">
        <v>1</v>
      </c>
      <c r="I134" s="30"/>
      <c r="J134" t="str">
        <f t="shared" si="10"/>
        <v>"Clay, Ceramic, Dry, Fines":{"MATERIAL CLASS CODE":"70A35P",</v>
      </c>
      <c r="K134" t="str">
        <f t="shared" si="11"/>
        <v>"CONVEY LOADING":"30A",</v>
      </c>
      <c r="L134" t="str">
        <f t="shared" si="12"/>
        <v>"COMPONENT GROUP":"1A,1B,1C",</v>
      </c>
      <c r="M134" t="str">
        <f t="shared" si="13"/>
        <v>"WEIGHT (LBS/CF)":70,</v>
      </c>
      <c r="N134" t="str">
        <f t="shared" si="14"/>
        <v>"MATERIAL FACTOR":1.5}</v>
      </c>
      <c r="O134" t="str">
        <f t="shared" si="15"/>
        <v>"Clay, Ceramic, Dry, Fines":{"MATERIAL CLASS CODE":"70A35P","CONVEY LOADING":"30A","COMPONENT GROUP":"1A,1B,1C","WEIGHT (LBS/CF)":70,"MATERIAL FACTOR":1.5},</v>
      </c>
    </row>
    <row r="135" spans="1:15" hidden="1" x14ac:dyDescent="0.25">
      <c r="A135" s="13" t="s">
        <v>329</v>
      </c>
      <c r="B135" s="14" t="s">
        <v>330</v>
      </c>
      <c r="C135" s="14" t="s">
        <v>71</v>
      </c>
      <c r="D135" s="14" t="s">
        <v>207</v>
      </c>
      <c r="E135" s="14">
        <v>45</v>
      </c>
      <c r="F135" s="14">
        <v>50</v>
      </c>
      <c r="G135" s="14">
        <f t="shared" si="16"/>
        <v>47.5</v>
      </c>
      <c r="H135" s="14">
        <v>1</v>
      </c>
      <c r="I135" s="29"/>
      <c r="J135" t="str">
        <f t="shared" si="10"/>
        <v>"Clay, Dry, Lumpy":{"MATERIAL CLASS CODE":"68D35",</v>
      </c>
      <c r="K135" t="str">
        <f t="shared" si="11"/>
        <v>"CONVEY LOADING":"30A",</v>
      </c>
      <c r="L135" t="str">
        <f t="shared" si="12"/>
        <v>"COMPONENT GROUP":"2D",</v>
      </c>
      <c r="M135" t="str">
        <f t="shared" si="13"/>
        <v>"WEIGHT (LBS/CF)":67.5,</v>
      </c>
      <c r="N135" t="str">
        <f t="shared" si="14"/>
        <v>"MATERIAL FACTOR":1.8}</v>
      </c>
      <c r="O135" t="str">
        <f t="shared" si="15"/>
        <v>"Clay, Dry, Lumpy":{"MATERIAL CLASS CODE":"68D35","CONVEY LOADING":"30A","COMPONENT GROUP":"2D","WEIGHT (LBS/CF)":67.5,"MATERIAL FACTOR":1.8},</v>
      </c>
    </row>
    <row r="136" spans="1:15" hidden="1" x14ac:dyDescent="0.25">
      <c r="A136" s="15" t="s">
        <v>331</v>
      </c>
      <c r="B136" s="16" t="s">
        <v>332</v>
      </c>
      <c r="C136" s="16" t="s">
        <v>71</v>
      </c>
      <c r="D136" s="16" t="s">
        <v>90</v>
      </c>
      <c r="E136" s="16">
        <v>43</v>
      </c>
      <c r="F136" s="16">
        <v>50</v>
      </c>
      <c r="G136" s="16">
        <f t="shared" si="16"/>
        <v>46.5</v>
      </c>
      <c r="H136" s="16">
        <v>0.9</v>
      </c>
      <c r="I136" s="30"/>
      <c r="J136" t="str">
        <f t="shared" si="10"/>
        <v>"Clinker, Cement (Cement Clinker)":{"MATERIAL CLASS CODE":"85D36",</v>
      </c>
      <c r="K136" t="str">
        <f t="shared" si="11"/>
        <v>"CONVEY LOADING":"30B",</v>
      </c>
      <c r="L136" t="str">
        <f t="shared" si="12"/>
        <v>"COMPONENT GROUP":"3D",</v>
      </c>
      <c r="M136" t="str">
        <f t="shared" si="13"/>
        <v>"WEIGHT (LBS/CF)":85,</v>
      </c>
      <c r="N136" t="str">
        <f t="shared" si="14"/>
        <v>"MATERIAL FACTOR":1.8}</v>
      </c>
      <c r="O136" t="str">
        <f t="shared" si="15"/>
        <v>"Clinker, Cement (Cement Clinker)":{"MATERIAL CLASS CODE":"85D36","CONVEY LOADING":"30B","COMPONENT GROUP":"3D","WEIGHT (LBS/CF)":85,"MATERIAL FACTOR":1.8},</v>
      </c>
    </row>
    <row r="137" spans="1:15" hidden="1" x14ac:dyDescent="0.25">
      <c r="A137" s="13" t="s">
        <v>333</v>
      </c>
      <c r="B137" s="14" t="s">
        <v>334</v>
      </c>
      <c r="C137" s="14" t="s">
        <v>71</v>
      </c>
      <c r="D137" s="14" t="s">
        <v>76</v>
      </c>
      <c r="E137" s="14">
        <v>37</v>
      </c>
      <c r="F137" s="14">
        <v>45</v>
      </c>
      <c r="G137" s="14">
        <f t="shared" si="16"/>
        <v>41</v>
      </c>
      <c r="H137" s="14">
        <v>1</v>
      </c>
      <c r="I137" s="29"/>
      <c r="J137" t="str">
        <f t="shared" si="10"/>
        <v>"Clover Seed":{"MATERIAL CLASS CODE":"47B25N",</v>
      </c>
      <c r="K137" t="str">
        <f t="shared" si="11"/>
        <v>"CONVEY LOADING":"45",</v>
      </c>
      <c r="L137" t="str">
        <f t="shared" si="12"/>
        <v>"COMPONENT GROUP":"1A,1B,1C",</v>
      </c>
      <c r="M137" t="str">
        <f t="shared" si="13"/>
        <v>"WEIGHT (LBS/CF)":46.5,</v>
      </c>
      <c r="N137" t="str">
        <f t="shared" si="14"/>
        <v>"MATERIAL FACTOR":0.4}</v>
      </c>
      <c r="O137" t="str">
        <f t="shared" si="15"/>
        <v>"Clover Seed":{"MATERIAL CLASS CODE":"47B25N","CONVEY LOADING":"45","COMPONENT GROUP":"1A,1B,1C","WEIGHT (LBS/CF)":46.5,"MATERIAL FACTOR":0.4},</v>
      </c>
    </row>
    <row r="138" spans="1:15" hidden="1" x14ac:dyDescent="0.25">
      <c r="A138" s="15" t="s">
        <v>335</v>
      </c>
      <c r="B138" s="16" t="s">
        <v>336</v>
      </c>
      <c r="C138" s="16" t="s">
        <v>71</v>
      </c>
      <c r="D138" s="16" t="s">
        <v>207</v>
      </c>
      <c r="E138" s="16">
        <v>30</v>
      </c>
      <c r="F138" s="16">
        <v>45</v>
      </c>
      <c r="G138" s="16">
        <f t="shared" si="16"/>
        <v>37.5</v>
      </c>
      <c r="H138" s="16">
        <v>0.5</v>
      </c>
      <c r="I138" s="30"/>
      <c r="J138" t="str">
        <f t="shared" si="10"/>
        <v>"Coal, Anthracite (River &amp; Culm)":{"MATERIAL CLASS CODE":"58B35TY",</v>
      </c>
      <c r="K138" t="str">
        <f t="shared" si="11"/>
        <v>"CONVEY LOADING":"30A",</v>
      </c>
      <c r="L138" t="str">
        <f t="shared" si="12"/>
        <v>"COMPONENT GROUP":"2A,2B",</v>
      </c>
      <c r="M138" t="str">
        <f t="shared" si="13"/>
        <v>"WEIGHT (LBS/CF)":58,</v>
      </c>
      <c r="N138" t="str">
        <f t="shared" si="14"/>
        <v>"MATERIAL FACTOR":1}</v>
      </c>
      <c r="O138" t="str">
        <f t="shared" si="15"/>
        <v>"Coal, Anthracite (River &amp; Culm)":{"MATERIAL CLASS CODE":"58B35TY","CONVEY LOADING":"30A","COMPONENT GROUP":"2A,2B","WEIGHT (LBS/CF)":58,"MATERIAL FACTOR":1},</v>
      </c>
    </row>
    <row r="139" spans="1:15" hidden="1" x14ac:dyDescent="0.25">
      <c r="A139" s="13" t="s">
        <v>337</v>
      </c>
      <c r="B139" s="14" t="s">
        <v>338</v>
      </c>
      <c r="C139" s="14">
        <v>45</v>
      </c>
      <c r="D139" s="14" t="s">
        <v>76</v>
      </c>
      <c r="E139" s="14">
        <v>35</v>
      </c>
      <c r="F139" s="14">
        <v>35</v>
      </c>
      <c r="G139" s="14">
        <f t="shared" si="16"/>
        <v>35</v>
      </c>
      <c r="H139" s="14">
        <v>0.5</v>
      </c>
      <c r="I139" s="29"/>
      <c r="J139" t="str">
        <f t="shared" si="10"/>
        <v>"Coal, Anthracite, Sized, 1⁄2”":{"MATERIAL CLASS CODE":"55C25",</v>
      </c>
      <c r="K139" t="str">
        <f t="shared" si="11"/>
        <v>"CONVEY LOADING":"45",</v>
      </c>
      <c r="L139" t="str">
        <f t="shared" si="12"/>
        <v>"COMPONENT GROUP":"2A,2B",</v>
      </c>
      <c r="M139" t="str">
        <f t="shared" si="13"/>
        <v>"WEIGHT (LBS/CF)":55,</v>
      </c>
      <c r="N139" t="str">
        <f t="shared" si="14"/>
        <v>"MATERIAL FACTOR":1}</v>
      </c>
      <c r="O139" t="str">
        <f t="shared" si="15"/>
        <v>"Coal, Anthracite, Sized, 1⁄2”":{"MATERIAL CLASS CODE":"55C25","CONVEY LOADING":"45","COMPONENT GROUP":"2A,2B","WEIGHT (LBS/CF)":55,"MATERIAL FACTOR":1},</v>
      </c>
    </row>
    <row r="140" spans="1:15" hidden="1" x14ac:dyDescent="0.25">
      <c r="A140" s="15" t="s">
        <v>339</v>
      </c>
      <c r="B140" s="16" t="s">
        <v>340</v>
      </c>
      <c r="C140" s="16" t="s">
        <v>71</v>
      </c>
      <c r="D140" s="16" t="s">
        <v>160</v>
      </c>
      <c r="E140" s="16">
        <v>30</v>
      </c>
      <c r="F140" s="16">
        <v>35</v>
      </c>
      <c r="G140" s="16">
        <f t="shared" si="16"/>
        <v>32.5</v>
      </c>
      <c r="H140" s="16">
        <v>0.9</v>
      </c>
      <c r="I140" s="30"/>
      <c r="J140" t="str">
        <f t="shared" ref="J140:J203" si="17">CHAR(34)&amp;A134&amp;CHAR(34)&amp;":{"&amp;CHAR(34)&amp;$B$4&amp;CHAR(34)&amp;":"&amp;CHAR(34)&amp;B134&amp;CHAR(34)&amp;","</f>
        <v>"Coal, Bituminous, Mined":{"MATERIAL CLASS CODE":"50D35LNYX",</v>
      </c>
      <c r="K140" t="str">
        <f t="shared" ref="K140:K203" si="18">CHAR(34)&amp;$C$4&amp;CHAR(34)&amp;":"&amp;CHAR(34)&amp;C134&amp;CHAR(34)&amp;","</f>
        <v>"CONVEY LOADING":"30A",</v>
      </c>
      <c r="L140" t="str">
        <f t="shared" ref="L140:L203" si="19">CHAR(34)&amp;$D$4&amp;CHAR(34)&amp;":"&amp;CHAR(34)&amp;D134&amp;CHAR(34)&amp;","</f>
        <v>"COMPONENT GROUP":"1A,1B",</v>
      </c>
      <c r="M140" t="str">
        <f t="shared" ref="M140:M203" si="20">CHAR(34)&amp;$E$1&amp;CHAR(34)&amp;":"&amp;G134&amp;","</f>
        <v>"WEIGHT (LBS/CF)":50,</v>
      </c>
      <c r="N140" t="str">
        <f t="shared" ref="N140:N203" si="21">CHAR(34)&amp;$H$4&amp;CHAR(34)&amp;":"&amp;H134&amp;"}"</f>
        <v>"MATERIAL FACTOR":1}</v>
      </c>
      <c r="O140" t="str">
        <f t="shared" ref="O140:O203" si="22">J140&amp;K140&amp;L140&amp;M140&amp;N140&amp;","</f>
        <v>"Coal, Bituminous, Mined":{"MATERIAL CLASS CODE":"50D35LNYX","CONVEY LOADING":"30A","COMPONENT GROUP":"1A,1B","WEIGHT (LBS/CF)":50,"MATERIAL FACTOR":1},</v>
      </c>
    </row>
    <row r="141" spans="1:15" hidden="1" x14ac:dyDescent="0.25">
      <c r="A141" s="13" t="s">
        <v>341</v>
      </c>
      <c r="B141" s="24">
        <v>2.1E+46</v>
      </c>
      <c r="C141" s="14" t="s">
        <v>99</v>
      </c>
      <c r="D141" s="14" t="s">
        <v>72</v>
      </c>
      <c r="E141" s="14">
        <v>20</v>
      </c>
      <c r="F141" s="14">
        <v>22</v>
      </c>
      <c r="G141" s="14">
        <f t="shared" si="16"/>
        <v>21</v>
      </c>
      <c r="H141" s="14">
        <v>1.5</v>
      </c>
      <c r="I141" s="14" t="s">
        <v>73</v>
      </c>
      <c r="J141" t="str">
        <f t="shared" si="17"/>
        <v>"Coal, Bituminous, Mined, Sized":{"MATERIAL CLASS CODE":"48D35QV",</v>
      </c>
      <c r="K141" t="str">
        <f t="shared" si="18"/>
        <v>"CONVEY LOADING":"30A",</v>
      </c>
      <c r="L141" t="str">
        <f t="shared" si="19"/>
        <v>"COMPONENT GROUP":"1A,1B",</v>
      </c>
      <c r="M141" t="str">
        <f t="shared" si="20"/>
        <v>"WEIGHT (LBS/CF)":47.5,</v>
      </c>
      <c r="N141" t="str">
        <f t="shared" si="21"/>
        <v>"MATERIAL FACTOR":1}</v>
      </c>
      <c r="O141" t="str">
        <f t="shared" si="22"/>
        <v>"Coal, Bituminous, Mined, Sized":{"MATERIAL CLASS CODE":"48D35QV","CONVEY LOADING":"30A","COMPONENT GROUP":"1A,1B","WEIGHT (LBS/CF)":47.5,"MATERIAL FACTOR":1},</v>
      </c>
    </row>
    <row r="142" spans="1:15" hidden="1" x14ac:dyDescent="0.25">
      <c r="A142" s="15" t="s">
        <v>342</v>
      </c>
      <c r="B142" s="16" t="s">
        <v>343</v>
      </c>
      <c r="C142" s="16">
        <v>45</v>
      </c>
      <c r="D142" s="16" t="s">
        <v>207</v>
      </c>
      <c r="E142" s="16">
        <v>20</v>
      </c>
      <c r="F142" s="16">
        <v>20</v>
      </c>
      <c r="G142" s="16">
        <f t="shared" si="16"/>
        <v>20</v>
      </c>
      <c r="H142" s="16">
        <v>1</v>
      </c>
      <c r="I142" s="16" t="s">
        <v>73</v>
      </c>
      <c r="J142" t="str">
        <f t="shared" si="17"/>
        <v>"Coal, Bituminous, Mined, Slack":{"MATERIAL CLASS CODE":"47C45T",</v>
      </c>
      <c r="K142" t="str">
        <f t="shared" si="18"/>
        <v>"CONVEY LOADING":"30A",</v>
      </c>
      <c r="L142" t="str">
        <f t="shared" si="19"/>
        <v>"COMPONENT GROUP":"2A,2B",</v>
      </c>
      <c r="M142" t="str">
        <f t="shared" si="20"/>
        <v>"WEIGHT (LBS/CF)":46.5,</v>
      </c>
      <c r="N142" t="str">
        <f t="shared" si="21"/>
        <v>"MATERIAL FACTOR":0.9}</v>
      </c>
      <c r="O142" t="str">
        <f t="shared" si="22"/>
        <v>"Coal, Bituminous, Mined, Slack":{"MATERIAL CLASS CODE":"47C45T","CONVEY LOADING":"30A","COMPONENT GROUP":"2A,2B","WEIGHT (LBS/CF)":46.5,"MATERIAL FACTOR":0.9},</v>
      </c>
    </row>
    <row r="143" spans="1:15" hidden="1" x14ac:dyDescent="0.25">
      <c r="A143" s="13" t="s">
        <v>344</v>
      </c>
      <c r="B143" s="14" t="s">
        <v>345</v>
      </c>
      <c r="C143" s="14">
        <v>45</v>
      </c>
      <c r="D143" s="14" t="s">
        <v>207</v>
      </c>
      <c r="E143" s="14">
        <v>25</v>
      </c>
      <c r="F143" s="14">
        <v>32</v>
      </c>
      <c r="G143" s="14">
        <f t="shared" si="16"/>
        <v>28.5</v>
      </c>
      <c r="H143" s="14">
        <v>0.5</v>
      </c>
      <c r="I143" s="29"/>
      <c r="J143" t="str">
        <f t="shared" si="17"/>
        <v>"Coal, Lignite":{"MATERIAL CLASS CODE":"41D35T",</v>
      </c>
      <c r="K143" t="str">
        <f t="shared" si="18"/>
        <v>"CONVEY LOADING":"30A",</v>
      </c>
      <c r="L143" t="str">
        <f t="shared" si="19"/>
        <v>"COMPONENT GROUP":"2D",</v>
      </c>
      <c r="M143" t="str">
        <f t="shared" si="20"/>
        <v>"WEIGHT (LBS/CF)":41,</v>
      </c>
      <c r="N143" t="str">
        <f t="shared" si="21"/>
        <v>"MATERIAL FACTOR":1}</v>
      </c>
      <c r="O143" t="str">
        <f t="shared" si="22"/>
        <v>"Coal, Lignite":{"MATERIAL CLASS CODE":"41D35T","CONVEY LOADING":"30A","COMPONENT GROUP":"2D","WEIGHT (LBS/CF)":41,"MATERIAL FACTOR":1},</v>
      </c>
    </row>
    <row r="144" spans="1:15" hidden="1" x14ac:dyDescent="0.25">
      <c r="A144" s="15" t="s">
        <v>346</v>
      </c>
      <c r="B144" s="16" t="s">
        <v>347</v>
      </c>
      <c r="C144" s="16" t="s">
        <v>71</v>
      </c>
      <c r="D144" s="16" t="s">
        <v>207</v>
      </c>
      <c r="E144" s="16">
        <v>25</v>
      </c>
      <c r="F144" s="16">
        <v>25</v>
      </c>
      <c r="G144" s="16">
        <f t="shared" si="16"/>
        <v>25</v>
      </c>
      <c r="H144" s="16">
        <v>0.6</v>
      </c>
      <c r="I144" s="16" t="s">
        <v>73</v>
      </c>
      <c r="J144" t="str">
        <f t="shared" si="17"/>
        <v>"Cocoa Beans":{"MATERIAL CLASS CODE":"38C25Q",</v>
      </c>
      <c r="K144" t="str">
        <f t="shared" si="18"/>
        <v>"CONVEY LOADING":"30A",</v>
      </c>
      <c r="L144" t="str">
        <f t="shared" si="19"/>
        <v>"COMPONENT GROUP":"1A,1B",</v>
      </c>
      <c r="M144" t="str">
        <f t="shared" si="20"/>
        <v>"WEIGHT (LBS/CF)":37.5,</v>
      </c>
      <c r="N144" t="str">
        <f t="shared" si="21"/>
        <v>"MATERIAL FACTOR":0.5}</v>
      </c>
      <c r="O144" t="str">
        <f t="shared" si="22"/>
        <v>"Cocoa Beans":{"MATERIAL CLASS CODE":"38C25Q","CONVEY LOADING":"30A","COMPONENT GROUP":"1A,1B","WEIGHT (LBS/CF)":37.5,"MATERIAL FACTOR":0.5},</v>
      </c>
    </row>
    <row r="145" spans="1:15" hidden="1" x14ac:dyDescent="0.25">
      <c r="A145" s="13" t="s">
        <v>348</v>
      </c>
      <c r="B145" s="14" t="s">
        <v>349</v>
      </c>
      <c r="C145" s="14" t="s">
        <v>71</v>
      </c>
      <c r="D145" s="14" t="s">
        <v>207</v>
      </c>
      <c r="E145" s="14">
        <v>35</v>
      </c>
      <c r="F145" s="14">
        <v>45</v>
      </c>
      <c r="G145" s="14">
        <f t="shared" si="16"/>
        <v>40</v>
      </c>
      <c r="H145" s="14">
        <v>0.6</v>
      </c>
      <c r="I145" s="29"/>
      <c r="J145" t="str">
        <f t="shared" si="17"/>
        <v>"Cocoa, Nibs":{"MATERIAL CLASS CODE":"35C25",</v>
      </c>
      <c r="K145" t="str">
        <f t="shared" si="18"/>
        <v>"CONVEY LOADING":"45",</v>
      </c>
      <c r="L145" t="str">
        <f t="shared" si="19"/>
        <v>"COMPONENT GROUP":"2D",</v>
      </c>
      <c r="M145" t="str">
        <f t="shared" si="20"/>
        <v>"WEIGHT (LBS/CF)":35,</v>
      </c>
      <c r="N145" t="str">
        <f t="shared" si="21"/>
        <v>"MATERIAL FACTOR":0.5}</v>
      </c>
      <c r="O145" t="str">
        <f t="shared" si="22"/>
        <v>"Cocoa, Nibs":{"MATERIAL CLASS CODE":"35C25","CONVEY LOADING":"45","COMPONENT GROUP":"2D","WEIGHT (LBS/CF)":35,"MATERIAL FACTOR":0.5},</v>
      </c>
    </row>
    <row r="146" spans="1:15" hidden="1" x14ac:dyDescent="0.25">
      <c r="A146" s="15" t="s">
        <v>350</v>
      </c>
      <c r="B146" s="16" t="s">
        <v>351</v>
      </c>
      <c r="C146" s="16">
        <v>45</v>
      </c>
      <c r="D146" s="16" t="s">
        <v>160</v>
      </c>
      <c r="E146" s="16">
        <v>20</v>
      </c>
      <c r="F146" s="16">
        <v>30</v>
      </c>
      <c r="G146" s="16">
        <f t="shared" si="16"/>
        <v>25</v>
      </c>
      <c r="H146" s="16">
        <v>0.4</v>
      </c>
      <c r="I146" s="16" t="s">
        <v>73</v>
      </c>
      <c r="J146" t="str">
        <f t="shared" si="17"/>
        <v>"Cocoa, Powdered":{"MATERIAL CLASS CODE":"33A45XY",</v>
      </c>
      <c r="K146" t="str">
        <f t="shared" si="18"/>
        <v>"CONVEY LOADING":"30A",</v>
      </c>
      <c r="L146" t="str">
        <f t="shared" si="19"/>
        <v>"COMPONENT GROUP":"1B",</v>
      </c>
      <c r="M146" t="str">
        <f t="shared" si="20"/>
        <v>"WEIGHT (LBS/CF)":32.5,</v>
      </c>
      <c r="N146" t="str">
        <f t="shared" si="21"/>
        <v>"MATERIAL FACTOR":0.9}</v>
      </c>
      <c r="O146" t="str">
        <f t="shared" si="22"/>
        <v>"Cocoa, Powdered":{"MATERIAL CLASS CODE":"33A45XY","CONVEY LOADING":"30A","COMPONENT GROUP":"1B","WEIGHT (LBS/CF)":32.5,"MATERIAL FACTOR":0.9},</v>
      </c>
    </row>
    <row r="147" spans="1:15" hidden="1" x14ac:dyDescent="0.25">
      <c r="A147" s="13" t="s">
        <v>352</v>
      </c>
      <c r="B147" s="14" t="s">
        <v>353</v>
      </c>
      <c r="C147" s="14" t="s">
        <v>71</v>
      </c>
      <c r="D147" s="14" t="s">
        <v>160</v>
      </c>
      <c r="E147" s="14">
        <v>19</v>
      </c>
      <c r="F147" s="14">
        <v>19</v>
      </c>
      <c r="G147" s="14">
        <f t="shared" si="16"/>
        <v>19</v>
      </c>
      <c r="H147" s="14">
        <v>0.4</v>
      </c>
      <c r="I147" s="14" t="s">
        <v>73</v>
      </c>
      <c r="J147" t="str">
        <f t="shared" si="17"/>
        <v>"Coconut, Shredded":{"MATERIAL CLASS CODE":"2.1E+46",</v>
      </c>
      <c r="K147" t="str">
        <f t="shared" si="18"/>
        <v>"CONVEY LOADING":"30B",</v>
      </c>
      <c r="L147" t="str">
        <f t="shared" si="19"/>
        <v>"COMPONENT GROUP":"2B",</v>
      </c>
      <c r="M147" t="str">
        <f t="shared" si="20"/>
        <v>"WEIGHT (LBS/CF)":21,</v>
      </c>
      <c r="N147" t="str">
        <f t="shared" si="21"/>
        <v>"MATERIAL FACTOR":1.5}</v>
      </c>
      <c r="O147" t="str">
        <f t="shared" si="22"/>
        <v>"Coconut, Shredded":{"MATERIAL CLASS CODE":"2.1E+46","CONVEY LOADING":"30B","COMPONENT GROUP":"2B","WEIGHT (LBS/CF)":21,"MATERIAL FACTOR":1.5},</v>
      </c>
    </row>
    <row r="148" spans="1:15" hidden="1" x14ac:dyDescent="0.25">
      <c r="A148" s="15" t="s">
        <v>354</v>
      </c>
      <c r="B148" s="16" t="s">
        <v>355</v>
      </c>
      <c r="C148" s="16">
        <v>15</v>
      </c>
      <c r="D148" s="16" t="s">
        <v>87</v>
      </c>
      <c r="E148" s="16">
        <v>25</v>
      </c>
      <c r="F148" s="16">
        <v>35</v>
      </c>
      <c r="G148" s="16">
        <f t="shared" si="16"/>
        <v>30</v>
      </c>
      <c r="H148" s="16">
        <v>1.2</v>
      </c>
      <c r="I148" s="30"/>
      <c r="J148" t="str">
        <f t="shared" si="17"/>
        <v>"Coffee, Chaff":{"MATERIAL CLASS CODE":"20B25FZMY",</v>
      </c>
      <c r="K148" t="str">
        <f t="shared" si="18"/>
        <v>"CONVEY LOADING":"45",</v>
      </c>
      <c r="L148" t="str">
        <f t="shared" si="19"/>
        <v>"COMPONENT GROUP":"1A,1B",</v>
      </c>
      <c r="M148" t="str">
        <f t="shared" si="20"/>
        <v>"WEIGHT (LBS/CF)":20,</v>
      </c>
      <c r="N148" t="str">
        <f t="shared" si="21"/>
        <v>"MATERIAL FACTOR":1}</v>
      </c>
      <c r="O148" t="str">
        <f t="shared" si="22"/>
        <v>"Coffee, Chaff":{"MATERIAL CLASS CODE":"20B25FZMY","CONVEY LOADING":"45","COMPONENT GROUP":"1A,1B","WEIGHT (LBS/CF)":20,"MATERIAL FACTOR":1},</v>
      </c>
    </row>
    <row r="149" spans="1:15" hidden="1" x14ac:dyDescent="0.25">
      <c r="A149" s="13" t="s">
        <v>356</v>
      </c>
      <c r="B149" s="14" t="s">
        <v>357</v>
      </c>
      <c r="C149" s="14">
        <v>15</v>
      </c>
      <c r="D149" s="14" t="s">
        <v>87</v>
      </c>
      <c r="E149" s="14">
        <v>25</v>
      </c>
      <c r="F149" s="14">
        <v>35</v>
      </c>
      <c r="G149" s="14">
        <f t="shared" si="16"/>
        <v>30</v>
      </c>
      <c r="H149" s="14">
        <v>1.2</v>
      </c>
      <c r="I149" s="29"/>
      <c r="J149" t="str">
        <f t="shared" si="17"/>
        <v>"Coffee, Green Bean":{"MATERIAL CLASS CODE":"29C25PQ",</v>
      </c>
      <c r="K149" t="str">
        <f t="shared" si="18"/>
        <v>"CONVEY LOADING":"45",</v>
      </c>
      <c r="L149" t="str">
        <f t="shared" si="19"/>
        <v>"COMPONENT GROUP":"1A,1B",</v>
      </c>
      <c r="M149" t="str">
        <f t="shared" si="20"/>
        <v>"WEIGHT (LBS/CF)":28.5,</v>
      </c>
      <c r="N149" t="str">
        <f t="shared" si="21"/>
        <v>"MATERIAL FACTOR":0.5}</v>
      </c>
      <c r="O149" t="str">
        <f t="shared" si="22"/>
        <v>"Coffee, Green Bean":{"MATERIAL CLASS CODE":"29C25PQ","CONVEY LOADING":"45","COMPONENT GROUP":"1A,1B","WEIGHT (LBS/CF)":28.5,"MATERIAL FACTOR":0.5},</v>
      </c>
    </row>
    <row r="150" spans="1:15" hidden="1" x14ac:dyDescent="0.25">
      <c r="A150" s="15" t="s">
        <v>358</v>
      </c>
      <c r="B150" s="16" t="s">
        <v>359</v>
      </c>
      <c r="C150" s="16">
        <v>15</v>
      </c>
      <c r="D150" s="16" t="s">
        <v>87</v>
      </c>
      <c r="E150" s="16">
        <v>35</v>
      </c>
      <c r="F150" s="16">
        <v>45</v>
      </c>
      <c r="G150" s="16">
        <f t="shared" si="16"/>
        <v>40</v>
      </c>
      <c r="H150" s="16">
        <v>1.3</v>
      </c>
      <c r="I150" s="30"/>
      <c r="J150" t="str">
        <f t="shared" si="17"/>
        <v>"Coffee, Ground, Dry":{"MATERIAL CLASS CODE":"25A35P",</v>
      </c>
      <c r="K150" t="str">
        <f t="shared" si="18"/>
        <v>"CONVEY LOADING":"30A",</v>
      </c>
      <c r="L150" t="str">
        <f t="shared" si="19"/>
        <v>"COMPONENT GROUP":"1A,1B",</v>
      </c>
      <c r="M150" t="str">
        <f t="shared" si="20"/>
        <v>"WEIGHT (LBS/CF)":25,</v>
      </c>
      <c r="N150" t="str">
        <f t="shared" si="21"/>
        <v>"MATERIAL FACTOR":0.6}</v>
      </c>
      <c r="O150" t="str">
        <f t="shared" si="22"/>
        <v>"Coffee, Ground, Dry":{"MATERIAL CLASS CODE":"25A35P","CONVEY LOADING":"30A","COMPONENT GROUP":"1A,1B","WEIGHT (LBS/CF)":25,"MATERIAL FACTOR":0.6},</v>
      </c>
    </row>
    <row r="151" spans="1:15" hidden="1" x14ac:dyDescent="0.25">
      <c r="A151" s="13" t="s">
        <v>360</v>
      </c>
      <c r="B151" s="14" t="s">
        <v>361</v>
      </c>
      <c r="C151" s="14" t="s">
        <v>71</v>
      </c>
      <c r="D151" s="14" t="s">
        <v>111</v>
      </c>
      <c r="E151" s="14">
        <v>30</v>
      </c>
      <c r="F151" s="14">
        <v>50</v>
      </c>
      <c r="G151" s="14">
        <f t="shared" si="16"/>
        <v>40</v>
      </c>
      <c r="H151" s="14">
        <v>1</v>
      </c>
      <c r="I151" s="29"/>
      <c r="J151" t="str">
        <f t="shared" si="17"/>
        <v>"Coffee, Ground, Wet":{"MATERIAL CLASS CODE":"40A45X",</v>
      </c>
      <c r="K151" t="str">
        <f t="shared" si="18"/>
        <v>"CONVEY LOADING":"30A",</v>
      </c>
      <c r="L151" t="str">
        <f t="shared" si="19"/>
        <v>"COMPONENT GROUP":"1A,1B",</v>
      </c>
      <c r="M151" t="str">
        <f t="shared" si="20"/>
        <v>"WEIGHT (LBS/CF)":40,</v>
      </c>
      <c r="N151" t="str">
        <f t="shared" si="21"/>
        <v>"MATERIAL FACTOR":0.6}</v>
      </c>
      <c r="O151" t="str">
        <f t="shared" si="22"/>
        <v>"Coffee, Ground, Wet":{"MATERIAL CLASS CODE":"40A45X","CONVEY LOADING":"30A","COMPONENT GROUP":"1A,1B","WEIGHT (LBS/CF)":40,"MATERIAL FACTOR":0.6},</v>
      </c>
    </row>
    <row r="152" spans="1:15" hidden="1" x14ac:dyDescent="0.25">
      <c r="A152" s="15" t="s">
        <v>362</v>
      </c>
      <c r="B152" s="16" t="s">
        <v>363</v>
      </c>
      <c r="C152" s="16" t="s">
        <v>99</v>
      </c>
      <c r="D152" s="16" t="s">
        <v>87</v>
      </c>
      <c r="E152" s="16">
        <v>85</v>
      </c>
      <c r="F152" s="16">
        <v>120</v>
      </c>
      <c r="G152" s="16">
        <f t="shared" si="16"/>
        <v>102.5</v>
      </c>
      <c r="H152" s="16">
        <v>3</v>
      </c>
      <c r="I152" s="30"/>
      <c r="J152" t="str">
        <f t="shared" si="17"/>
        <v>"Coffee, Roasted Bean":{"MATERIAL CLASS CODE":"25C25PQ",</v>
      </c>
      <c r="K152" t="str">
        <f t="shared" si="18"/>
        <v>"CONVEY LOADING":"45",</v>
      </c>
      <c r="L152" t="str">
        <f t="shared" si="19"/>
        <v>"COMPONENT GROUP":"1B",</v>
      </c>
      <c r="M152" t="str">
        <f t="shared" si="20"/>
        <v>"WEIGHT (LBS/CF)":25,</v>
      </c>
      <c r="N152" t="str">
        <f t="shared" si="21"/>
        <v>"MATERIAL FACTOR":0.4}</v>
      </c>
      <c r="O152" t="str">
        <f t="shared" si="22"/>
        <v>"Coffee, Roasted Bean":{"MATERIAL CLASS CODE":"25C25PQ","CONVEY LOADING":"45","COMPONENT GROUP":"1B","WEIGHT (LBS/CF)":25,"MATERIAL FACTOR":0.4},</v>
      </c>
    </row>
    <row r="153" spans="1:15" hidden="1" x14ac:dyDescent="0.25">
      <c r="A153" s="13" t="s">
        <v>364</v>
      </c>
      <c r="B153" s="14" t="s">
        <v>365</v>
      </c>
      <c r="C153" s="14" t="s">
        <v>99</v>
      </c>
      <c r="D153" s="14" t="s">
        <v>87</v>
      </c>
      <c r="E153" s="14">
        <v>120</v>
      </c>
      <c r="F153" s="14">
        <v>150</v>
      </c>
      <c r="G153" s="14">
        <f t="shared" si="16"/>
        <v>135</v>
      </c>
      <c r="H153" s="14">
        <v>4</v>
      </c>
      <c r="I153" s="29"/>
      <c r="J153" t="str">
        <f t="shared" si="17"/>
        <v>"Coffee, Soluble":{"MATERIAL CLASS CODE":"19A35PUY",</v>
      </c>
      <c r="K153" t="str">
        <f t="shared" si="18"/>
        <v>"CONVEY LOADING":"30A",</v>
      </c>
      <c r="L153" t="str">
        <f t="shared" si="19"/>
        <v>"COMPONENT GROUP":"1B",</v>
      </c>
      <c r="M153" t="str">
        <f t="shared" si="20"/>
        <v>"WEIGHT (LBS/CF)":19,</v>
      </c>
      <c r="N153" t="str">
        <f t="shared" si="21"/>
        <v>"MATERIAL FACTOR":0.4}</v>
      </c>
      <c r="O153" t="str">
        <f t="shared" si="22"/>
        <v>"Coffee, Soluble":{"MATERIAL CLASS CODE":"19A35PUY","CONVEY LOADING":"30A","COMPONENT GROUP":"1B","WEIGHT (LBS/CF)":19,"MATERIAL FACTOR":0.4},</v>
      </c>
    </row>
    <row r="154" spans="1:15" hidden="1" x14ac:dyDescent="0.25">
      <c r="A154" s="15" t="s">
        <v>366</v>
      </c>
      <c r="B154" s="16" t="s">
        <v>367</v>
      </c>
      <c r="C154" s="16" t="s">
        <v>99</v>
      </c>
      <c r="D154" s="16" t="s">
        <v>87</v>
      </c>
      <c r="E154" s="16">
        <v>100</v>
      </c>
      <c r="F154" s="16">
        <v>150</v>
      </c>
      <c r="G154" s="16">
        <f t="shared" si="16"/>
        <v>125</v>
      </c>
      <c r="H154" s="16">
        <v>4</v>
      </c>
      <c r="I154" s="30"/>
      <c r="J154" t="str">
        <f t="shared" si="17"/>
        <v>"Coke, Breeze":{"MATERIAL CLASS CODE":"30C37",</v>
      </c>
      <c r="K154" t="str">
        <f t="shared" si="18"/>
        <v>"CONVEY LOADING":"15",</v>
      </c>
      <c r="L154" t="str">
        <f t="shared" si="19"/>
        <v>"COMPONENT GROUP":"3D",</v>
      </c>
      <c r="M154" t="str">
        <f t="shared" si="20"/>
        <v>"WEIGHT (LBS/CF)":30,</v>
      </c>
      <c r="N154" t="str">
        <f t="shared" si="21"/>
        <v>"MATERIAL FACTOR":1.2}</v>
      </c>
      <c r="O154" t="str">
        <f t="shared" si="22"/>
        <v>"Coke, Breeze":{"MATERIAL CLASS CODE":"30C37","CONVEY LOADING":"15","COMPONENT GROUP":"3D","WEIGHT (LBS/CF)":30,"MATERIAL FACTOR":1.2},</v>
      </c>
    </row>
    <row r="155" spans="1:15" ht="22.5" hidden="1" x14ac:dyDescent="0.25">
      <c r="A155" s="13" t="s">
        <v>368</v>
      </c>
      <c r="B155" s="14" t="s">
        <v>369</v>
      </c>
      <c r="C155" s="14" t="s">
        <v>71</v>
      </c>
      <c r="D155" s="14" t="s">
        <v>155</v>
      </c>
      <c r="E155" s="14">
        <v>75</v>
      </c>
      <c r="F155" s="14">
        <v>95</v>
      </c>
      <c r="G155" s="14">
        <f t="shared" si="16"/>
        <v>85</v>
      </c>
      <c r="H155" s="14">
        <v>1</v>
      </c>
      <c r="I155" s="29"/>
      <c r="J155" t="str">
        <f t="shared" si="17"/>
        <v>"Coke, Loose":{"MATERIAL CLASS CODE":"30D37",</v>
      </c>
      <c r="K155" t="str">
        <f t="shared" si="18"/>
        <v>"CONVEY LOADING":"15",</v>
      </c>
      <c r="L155" t="str">
        <f t="shared" si="19"/>
        <v>"COMPONENT GROUP":"3D",</v>
      </c>
      <c r="M155" t="str">
        <f t="shared" si="20"/>
        <v>"WEIGHT (LBS/CF)":30,</v>
      </c>
      <c r="N155" t="str">
        <f t="shared" si="21"/>
        <v>"MATERIAL FACTOR":1.2}</v>
      </c>
      <c r="O155" t="str">
        <f t="shared" si="22"/>
        <v>"Coke, Loose":{"MATERIAL CLASS CODE":"30D37","CONVEY LOADING":"15","COMPONENT GROUP":"3D","WEIGHT (LBS/CF)":30,"MATERIAL FACTOR":1.2},</v>
      </c>
    </row>
    <row r="156" spans="1:15" hidden="1" x14ac:dyDescent="0.25">
      <c r="A156" s="15" t="s">
        <v>370</v>
      </c>
      <c r="B156" s="16" t="s">
        <v>371</v>
      </c>
      <c r="C156" s="16" t="s">
        <v>71</v>
      </c>
      <c r="D156" s="16" t="s">
        <v>76</v>
      </c>
      <c r="E156" s="16">
        <v>50</v>
      </c>
      <c r="F156" s="16">
        <v>75</v>
      </c>
      <c r="G156" s="16">
        <f t="shared" si="16"/>
        <v>62.5</v>
      </c>
      <c r="H156" s="16">
        <v>1</v>
      </c>
      <c r="I156" s="16" t="s">
        <v>116</v>
      </c>
      <c r="J156" t="str">
        <f t="shared" si="17"/>
        <v>"Coke, Petrol, Calcined":{"MATERIAL CLASS CODE":"40D37",</v>
      </c>
      <c r="K156" t="str">
        <f t="shared" si="18"/>
        <v>"CONVEY LOADING":"15",</v>
      </c>
      <c r="L156" t="str">
        <f t="shared" si="19"/>
        <v>"COMPONENT GROUP":"3D",</v>
      </c>
      <c r="M156" t="str">
        <f t="shared" si="20"/>
        <v>"WEIGHT (LBS/CF)":40,</v>
      </c>
      <c r="N156" t="str">
        <f t="shared" si="21"/>
        <v>"MATERIAL FACTOR":1.3}</v>
      </c>
      <c r="O156" t="str">
        <f t="shared" si="22"/>
        <v>"Coke, Petrol, Calcined":{"MATERIAL CLASS CODE":"40D37","CONVEY LOADING":"15","COMPONENT GROUP":"3D","WEIGHT (LBS/CF)":40,"MATERIAL FACTOR":1.3},</v>
      </c>
    </row>
    <row r="157" spans="1:15" hidden="1" x14ac:dyDescent="0.25">
      <c r="A157" s="13" t="s">
        <v>372</v>
      </c>
      <c r="B157" s="14" t="s">
        <v>373</v>
      </c>
      <c r="C157" s="14" t="s">
        <v>71</v>
      </c>
      <c r="D157" s="14" t="s">
        <v>81</v>
      </c>
      <c r="E157" s="14">
        <v>40</v>
      </c>
      <c r="F157" s="14">
        <v>45</v>
      </c>
      <c r="G157" s="14">
        <f t="shared" si="16"/>
        <v>42.5</v>
      </c>
      <c r="H157" s="14">
        <v>0.7</v>
      </c>
      <c r="I157" s="14" t="s">
        <v>73</v>
      </c>
      <c r="J157" t="str">
        <f t="shared" si="17"/>
        <v>"Compost":{"MATERIAL CLASS CODE":"40D45TV",</v>
      </c>
      <c r="K157" t="str">
        <f t="shared" si="18"/>
        <v>"CONVEY LOADING":"30A",</v>
      </c>
      <c r="L157" t="str">
        <f t="shared" si="19"/>
        <v>"COMPONENT GROUP":"3A,3B",</v>
      </c>
      <c r="M157" t="str">
        <f t="shared" si="20"/>
        <v>"WEIGHT (LBS/CF)":40,</v>
      </c>
      <c r="N157" t="str">
        <f t="shared" si="21"/>
        <v>"MATERIAL FACTOR":1}</v>
      </c>
      <c r="O157" t="str">
        <f t="shared" si="22"/>
        <v>"Compost":{"MATERIAL CLASS CODE":"40D45TV","CONVEY LOADING":"30A","COMPONENT GROUP":"3A,3B","WEIGHT (LBS/CF)":40,"MATERIAL FACTOR":1},</v>
      </c>
    </row>
    <row r="158" spans="1:15" hidden="1" x14ac:dyDescent="0.25">
      <c r="A158" s="15" t="s">
        <v>374</v>
      </c>
      <c r="B158" s="16" t="s">
        <v>375</v>
      </c>
      <c r="C158" s="16" t="s">
        <v>71</v>
      </c>
      <c r="D158" s="16" t="s">
        <v>155</v>
      </c>
      <c r="E158" s="16">
        <v>25</v>
      </c>
      <c r="F158" s="16">
        <v>30</v>
      </c>
      <c r="G158" s="16">
        <f t="shared" si="16"/>
        <v>27.5</v>
      </c>
      <c r="H158" s="16">
        <v>0.8</v>
      </c>
      <c r="I158" s="30"/>
      <c r="J158" t="str">
        <f t="shared" si="17"/>
        <v>"Concrete, Pre-Mix Dry":{"MATERIAL CLASS CODE":"103C36U",</v>
      </c>
      <c r="K158" t="str">
        <f t="shared" si="18"/>
        <v>"CONVEY LOADING":"30B",</v>
      </c>
      <c r="L158" t="str">
        <f t="shared" si="19"/>
        <v>"COMPONENT GROUP":"3D",</v>
      </c>
      <c r="M158" t="str">
        <f t="shared" si="20"/>
        <v>"WEIGHT (LBS/CF)":102.5,</v>
      </c>
      <c r="N158" t="str">
        <f t="shared" si="21"/>
        <v>"MATERIAL FACTOR":3}</v>
      </c>
      <c r="O158" t="str">
        <f t="shared" si="22"/>
        <v>"Concrete, Pre-Mix Dry":{"MATERIAL CLASS CODE":"103C36U","CONVEY LOADING":"30B","COMPONENT GROUP":"3D","WEIGHT (LBS/CF)":102.5,"MATERIAL FACTOR":3},</v>
      </c>
    </row>
    <row r="159" spans="1:15" hidden="1" x14ac:dyDescent="0.25">
      <c r="A159" s="13" t="s">
        <v>376</v>
      </c>
      <c r="B159" s="14" t="s">
        <v>377</v>
      </c>
      <c r="C159" s="14" t="s">
        <v>71</v>
      </c>
      <c r="D159" s="14" t="s">
        <v>155</v>
      </c>
      <c r="E159" s="14">
        <v>22</v>
      </c>
      <c r="F159" s="14">
        <v>22</v>
      </c>
      <c r="G159" s="14">
        <f t="shared" si="16"/>
        <v>22</v>
      </c>
      <c r="H159" s="14">
        <v>1</v>
      </c>
      <c r="I159" s="29"/>
      <c r="J159" t="str">
        <f t="shared" si="17"/>
        <v>"Copper Ore":{"MATERIAL CLASS CODE":"135D36",</v>
      </c>
      <c r="K159" t="str">
        <f t="shared" si="18"/>
        <v>"CONVEY LOADING":"30B",</v>
      </c>
      <c r="L159" t="str">
        <f t="shared" si="19"/>
        <v>"COMPONENT GROUP":"3D",</v>
      </c>
      <c r="M159" t="str">
        <f t="shared" si="20"/>
        <v>"WEIGHT (LBS/CF)":135,</v>
      </c>
      <c r="N159" t="str">
        <f t="shared" si="21"/>
        <v>"MATERIAL FACTOR":4}</v>
      </c>
      <c r="O159" t="str">
        <f t="shared" si="22"/>
        <v>"Copper Ore":{"MATERIAL CLASS CODE":"135D36","CONVEY LOADING":"30B","COMPONENT GROUP":"3D","WEIGHT (LBS/CF)":135,"MATERIAL FACTOR":4},</v>
      </c>
    </row>
    <row r="160" spans="1:15" hidden="1" x14ac:dyDescent="0.25">
      <c r="A160" s="15" t="s">
        <v>378</v>
      </c>
      <c r="B160" s="16" t="s">
        <v>379</v>
      </c>
      <c r="C160" s="16" t="s">
        <v>71</v>
      </c>
      <c r="D160" s="16" t="s">
        <v>76</v>
      </c>
      <c r="E160" s="16">
        <v>40</v>
      </c>
      <c r="F160" s="16">
        <v>45</v>
      </c>
      <c r="G160" s="16">
        <f t="shared" si="16"/>
        <v>42.5</v>
      </c>
      <c r="H160" s="16">
        <v>0.7</v>
      </c>
      <c r="I160" s="16" t="s">
        <v>73</v>
      </c>
      <c r="J160" t="str">
        <f t="shared" si="17"/>
        <v>"Copper Ore, Crushed":{"MATERIAL CLASS CODE":"125D36",</v>
      </c>
      <c r="K160" t="str">
        <f t="shared" si="18"/>
        <v>"CONVEY LOADING":"30B",</v>
      </c>
      <c r="L160" t="str">
        <f t="shared" si="19"/>
        <v>"COMPONENT GROUP":"3D",</v>
      </c>
      <c r="M160" t="str">
        <f t="shared" si="20"/>
        <v>"WEIGHT (LBS/CF)":125,</v>
      </c>
      <c r="N160" t="str">
        <f t="shared" si="21"/>
        <v>"MATERIAL FACTOR":4}</v>
      </c>
      <c r="O160" t="str">
        <f t="shared" si="22"/>
        <v>"Copper Ore, Crushed":{"MATERIAL CLASS CODE":"125D36","CONVEY LOADING":"30B","COMPONENT GROUP":"3D","WEIGHT (LBS/CF)":125,"MATERIAL FACTOR":4},</v>
      </c>
    </row>
    <row r="161" spans="1:15" hidden="1" x14ac:dyDescent="0.25">
      <c r="A161" s="13" t="s">
        <v>380</v>
      </c>
      <c r="B161" s="14" t="s">
        <v>381</v>
      </c>
      <c r="C161" s="14" t="s">
        <v>71</v>
      </c>
      <c r="D161" s="14" t="s">
        <v>81</v>
      </c>
      <c r="E161" s="14">
        <v>5</v>
      </c>
      <c r="F161" s="14">
        <v>15</v>
      </c>
      <c r="G161" s="14">
        <f t="shared" si="16"/>
        <v>10</v>
      </c>
      <c r="H161" s="14">
        <v>0.5</v>
      </c>
      <c r="I161" s="14" t="s">
        <v>73</v>
      </c>
      <c r="J161" t="str">
        <f t="shared" si="17"/>
        <v>"Copper Sulphate, (Bluestone, Cupric Sulphate)":{"MATERIAL CLASS CODE":"85C35S",</v>
      </c>
      <c r="K161" t="str">
        <f t="shared" si="18"/>
        <v>"CONVEY LOADING":"30A",</v>
      </c>
      <c r="L161" t="str">
        <f t="shared" si="19"/>
        <v>"COMPONENT GROUP":"2A,2B,2C",</v>
      </c>
      <c r="M161" t="str">
        <f t="shared" si="20"/>
        <v>"WEIGHT (LBS/CF)":85,</v>
      </c>
      <c r="N161" t="str">
        <f t="shared" si="21"/>
        <v>"MATERIAL FACTOR":1}</v>
      </c>
      <c r="O161" t="str">
        <f t="shared" si="22"/>
        <v>"Copper Sulphate, (Bluestone, Cupric Sulphate)":{"MATERIAL CLASS CODE":"85C35S","CONVEY LOADING":"30A","COMPONENT GROUP":"2A,2B,2C","WEIGHT (LBS/CF)":85,"MATERIAL FACTOR":1},</v>
      </c>
    </row>
    <row r="162" spans="1:15" hidden="1" x14ac:dyDescent="0.25">
      <c r="A162" s="15" t="s">
        <v>382</v>
      </c>
      <c r="B162" s="16" t="s">
        <v>383</v>
      </c>
      <c r="C162" s="16" t="s">
        <v>71</v>
      </c>
      <c r="D162" s="16" t="s">
        <v>81</v>
      </c>
      <c r="E162" s="16">
        <v>12</v>
      </c>
      <c r="F162" s="16">
        <v>15</v>
      </c>
      <c r="G162" s="16">
        <f t="shared" si="16"/>
        <v>13.5</v>
      </c>
      <c r="H162" s="16">
        <v>0.5</v>
      </c>
      <c r="I162" s="16" t="s">
        <v>73</v>
      </c>
      <c r="J162" t="str">
        <f t="shared" si="17"/>
        <v>"Copperas (Ferrous Sulphate)":{"MATERIAL CLASS CODE":"63C35U",</v>
      </c>
      <c r="K162" t="str">
        <f t="shared" si="18"/>
        <v>"CONVEY LOADING":"30A",</v>
      </c>
      <c r="L162" t="str">
        <f t="shared" si="19"/>
        <v>"COMPONENT GROUP":"2D",</v>
      </c>
      <c r="M162" t="str">
        <f t="shared" si="20"/>
        <v>"WEIGHT (LBS/CF)":62.5,</v>
      </c>
      <c r="N162" t="str">
        <f t="shared" si="21"/>
        <v>"MATERIAL FACTOR":1}</v>
      </c>
      <c r="O162" t="str">
        <f t="shared" si="22"/>
        <v>"Copperas (Ferrous Sulphate)":{"MATERIAL CLASS CODE":"63C35U","CONVEY LOADING":"30A","COMPONENT GROUP":"2D","WEIGHT (LBS/CF)":62.5,"MATERIAL FACTOR":1},</v>
      </c>
    </row>
    <row r="163" spans="1:15" hidden="1" x14ac:dyDescent="0.25">
      <c r="A163" s="13" t="s">
        <v>384</v>
      </c>
      <c r="B163" s="14" t="s">
        <v>385</v>
      </c>
      <c r="C163" s="14">
        <v>45</v>
      </c>
      <c r="D163" s="14" t="s">
        <v>81</v>
      </c>
      <c r="E163" s="14">
        <v>17</v>
      </c>
      <c r="F163" s="14">
        <v>17</v>
      </c>
      <c r="G163" s="14">
        <f t="shared" si="16"/>
        <v>17</v>
      </c>
      <c r="H163" s="14">
        <v>0.6</v>
      </c>
      <c r="I163" s="29"/>
      <c r="J163" t="str">
        <f t="shared" si="17"/>
        <v>"Copra, Cake Ground":{"MATERIAL CLASS CODE":"43B45HW",</v>
      </c>
      <c r="K163" t="str">
        <f t="shared" si="18"/>
        <v>"CONVEY LOADING":"30A",</v>
      </c>
      <c r="L163" t="str">
        <f t="shared" si="19"/>
        <v>"COMPONENT GROUP":"1A,1B,1C",</v>
      </c>
      <c r="M163" t="str">
        <f t="shared" si="20"/>
        <v>"WEIGHT (LBS/CF)":42.5,</v>
      </c>
      <c r="N163" t="str">
        <f t="shared" si="21"/>
        <v>"MATERIAL FACTOR":0.7}</v>
      </c>
      <c r="O163" t="str">
        <f t="shared" si="22"/>
        <v>"Copra, Cake Ground":{"MATERIAL CLASS CODE":"43B45HW","CONVEY LOADING":"30A","COMPONENT GROUP":"1A,1B,1C","WEIGHT (LBS/CF)":42.5,"MATERIAL FACTOR":0.7},</v>
      </c>
    </row>
    <row r="164" spans="1:15" hidden="1" x14ac:dyDescent="0.25">
      <c r="A164" s="15" t="s">
        <v>386</v>
      </c>
      <c r="B164" s="16" t="s">
        <v>387</v>
      </c>
      <c r="C164" s="16" t="s">
        <v>71</v>
      </c>
      <c r="D164" s="16" t="s">
        <v>90</v>
      </c>
      <c r="E164" s="16">
        <v>12</v>
      </c>
      <c r="F164" s="16">
        <v>15</v>
      </c>
      <c r="G164" s="16">
        <f t="shared" si="16"/>
        <v>13.5</v>
      </c>
      <c r="H164" s="16">
        <v>0.4</v>
      </c>
      <c r="I164" s="16" t="s">
        <v>73</v>
      </c>
      <c r="J164" t="str">
        <f t="shared" si="17"/>
        <v>"Copra, Cake, Lumpy":{"MATERIAL CLASS CODE":"28D35HW",</v>
      </c>
      <c r="K164" t="str">
        <f t="shared" si="18"/>
        <v>"CONVEY LOADING":"30A",</v>
      </c>
      <c r="L164" t="str">
        <f t="shared" si="19"/>
        <v>"COMPONENT GROUP":"2A,2B,2C",</v>
      </c>
      <c r="M164" t="str">
        <f t="shared" si="20"/>
        <v>"WEIGHT (LBS/CF)":27.5,</v>
      </c>
      <c r="N164" t="str">
        <f t="shared" si="21"/>
        <v>"MATERIAL FACTOR":0.8}</v>
      </c>
      <c r="O164" t="str">
        <f t="shared" si="22"/>
        <v>"Copra, Cake, Lumpy":{"MATERIAL CLASS CODE":"28D35HW","CONVEY LOADING":"30A","COMPONENT GROUP":"2A,2B,2C","WEIGHT (LBS/CF)":27.5,"MATERIAL FACTOR":0.8},</v>
      </c>
    </row>
    <row r="165" spans="1:15" hidden="1" x14ac:dyDescent="0.25">
      <c r="A165" s="13" t="s">
        <v>388</v>
      </c>
      <c r="B165" s="14" t="s">
        <v>389</v>
      </c>
      <c r="C165" s="14" t="s">
        <v>99</v>
      </c>
      <c r="D165" s="14" t="s">
        <v>81</v>
      </c>
      <c r="E165" s="14">
        <v>12</v>
      </c>
      <c r="F165" s="14">
        <v>15</v>
      </c>
      <c r="G165" s="14">
        <f t="shared" si="16"/>
        <v>13.5</v>
      </c>
      <c r="H165" s="14">
        <v>1</v>
      </c>
      <c r="I165" s="14" t="s">
        <v>73</v>
      </c>
      <c r="J165" t="str">
        <f t="shared" si="17"/>
        <v>"Copra, Lumpy":{"MATERIAL CLASS CODE":"22E35HW",</v>
      </c>
      <c r="K165" t="str">
        <f t="shared" si="18"/>
        <v>"CONVEY LOADING":"30A",</v>
      </c>
      <c r="L165" t="str">
        <f t="shared" si="19"/>
        <v>"COMPONENT GROUP":"2A,2B,2C",</v>
      </c>
      <c r="M165" t="str">
        <f t="shared" si="20"/>
        <v>"WEIGHT (LBS/CF)":22,</v>
      </c>
      <c r="N165" t="str">
        <f t="shared" si="21"/>
        <v>"MATERIAL FACTOR":1}</v>
      </c>
      <c r="O165" t="str">
        <f t="shared" si="22"/>
        <v>"Copra, Lumpy":{"MATERIAL CLASS CODE":"22E35HW","CONVEY LOADING":"30A","COMPONENT GROUP":"2A,2B,2C","WEIGHT (LBS/CF)":22,"MATERIAL FACTOR":1},</v>
      </c>
    </row>
    <row r="166" spans="1:15" ht="15.75" hidden="1" thickBot="1" x14ac:dyDescent="0.3">
      <c r="A166" s="19" t="s">
        <v>390</v>
      </c>
      <c r="B166" s="20" t="s">
        <v>391</v>
      </c>
      <c r="C166" s="20" t="s">
        <v>99</v>
      </c>
      <c r="D166" s="20" t="s">
        <v>81</v>
      </c>
      <c r="E166" s="20">
        <v>15</v>
      </c>
      <c r="F166" s="20">
        <v>50</v>
      </c>
      <c r="G166" s="20">
        <f t="shared" si="16"/>
        <v>32.5</v>
      </c>
      <c r="H166" s="20">
        <v>1.5</v>
      </c>
      <c r="I166" s="20" t="s">
        <v>73</v>
      </c>
      <c r="J166" t="str">
        <f t="shared" si="17"/>
        <v>"Copra, Meal":{"MATERIAL CLASS CODE":"43B35HW",</v>
      </c>
      <c r="K166" t="str">
        <f t="shared" si="18"/>
        <v>"CONVEY LOADING":"30A",</v>
      </c>
      <c r="L166" t="str">
        <f t="shared" si="19"/>
        <v>"COMPONENT GROUP":"2D",</v>
      </c>
      <c r="M166" t="str">
        <f t="shared" si="20"/>
        <v>"WEIGHT (LBS/CF)":42.5,</v>
      </c>
      <c r="N166" t="str">
        <f t="shared" si="21"/>
        <v>"MATERIAL FACTOR":0.7}</v>
      </c>
      <c r="O166" t="str">
        <f t="shared" si="22"/>
        <v>"Copra, Meal":{"MATERIAL CLASS CODE":"43B35HW","CONVEY LOADING":"30A","COMPONENT GROUP":"2D","WEIGHT (LBS/CF)":42.5,"MATERIAL FACTOR":0.7},</v>
      </c>
    </row>
    <row r="167" spans="1:15" hidden="1" x14ac:dyDescent="0.25">
      <c r="A167" s="13" t="s">
        <v>392</v>
      </c>
      <c r="B167" s="14" t="s">
        <v>393</v>
      </c>
      <c r="C167" s="14" t="s">
        <v>71</v>
      </c>
      <c r="D167" s="14" t="s">
        <v>207</v>
      </c>
      <c r="E167" s="14">
        <v>25</v>
      </c>
      <c r="F167" s="14">
        <v>25</v>
      </c>
      <c r="G167" s="14">
        <f t="shared" si="16"/>
        <v>25</v>
      </c>
      <c r="H167" s="14">
        <v>0.6</v>
      </c>
      <c r="I167" s="14" t="s">
        <v>73</v>
      </c>
      <c r="J167" t="str">
        <f t="shared" si="17"/>
        <v>"Cork, Fine Ground":{"MATERIAL CLASS CODE":"10B35JNY",</v>
      </c>
      <c r="K167" t="str">
        <f t="shared" si="18"/>
        <v>"CONVEY LOADING":"30A",</v>
      </c>
      <c r="L167" t="str">
        <f t="shared" si="19"/>
        <v>"COMPONENT GROUP":"1A,1B,1C",</v>
      </c>
      <c r="M167" t="str">
        <f t="shared" si="20"/>
        <v>"WEIGHT (LBS/CF)":10,</v>
      </c>
      <c r="N167" t="str">
        <f t="shared" si="21"/>
        <v>"MATERIAL FACTOR":0.5}</v>
      </c>
      <c r="O167" t="str">
        <f t="shared" si="22"/>
        <v>"Cork, Fine Ground":{"MATERIAL CLASS CODE":"10B35JNY","CONVEY LOADING":"30A","COMPONENT GROUP":"1A,1B,1C","WEIGHT (LBS/CF)":10,"MATERIAL FACTOR":0.5},</v>
      </c>
    </row>
    <row r="168" spans="1:15" hidden="1" x14ac:dyDescent="0.25">
      <c r="A168" s="15" t="s">
        <v>394</v>
      </c>
      <c r="B168" s="16" t="s">
        <v>395</v>
      </c>
      <c r="C168" s="16">
        <v>45</v>
      </c>
      <c r="D168" s="16" t="s">
        <v>81</v>
      </c>
      <c r="E168" s="16">
        <v>40</v>
      </c>
      <c r="F168" s="16">
        <v>50</v>
      </c>
      <c r="G168" s="16">
        <f t="shared" si="16"/>
        <v>45</v>
      </c>
      <c r="H168" s="16">
        <v>0.7</v>
      </c>
      <c r="I168" s="16" t="s">
        <v>73</v>
      </c>
      <c r="J168" t="str">
        <f t="shared" si="17"/>
        <v>"Cork, Granulated":{"MATERIAL CLASS CODE":"14C35JY",</v>
      </c>
      <c r="K168" t="str">
        <f t="shared" si="18"/>
        <v>"CONVEY LOADING":"30A",</v>
      </c>
      <c r="L168" t="str">
        <f t="shared" si="19"/>
        <v>"COMPONENT GROUP":"1A,1B,1C",</v>
      </c>
      <c r="M168" t="str">
        <f t="shared" si="20"/>
        <v>"WEIGHT (LBS/CF)":13.5,</v>
      </c>
      <c r="N168" t="str">
        <f t="shared" si="21"/>
        <v>"MATERIAL FACTOR":0.5}</v>
      </c>
      <c r="O168" t="str">
        <f t="shared" si="22"/>
        <v>"Cork, Granulated":{"MATERIAL CLASS CODE":"14C35JY","CONVEY LOADING":"30A","COMPONENT GROUP":"1A,1B,1C","WEIGHT (LBS/CF)":13.5,"MATERIAL FACTOR":0.5},</v>
      </c>
    </row>
    <row r="169" spans="1:15" hidden="1" x14ac:dyDescent="0.25">
      <c r="A169" s="13" t="s">
        <v>396</v>
      </c>
      <c r="B169" s="14" t="s">
        <v>130</v>
      </c>
      <c r="C169" s="14" t="s">
        <v>130</v>
      </c>
      <c r="D169" s="14" t="s">
        <v>90</v>
      </c>
      <c r="E169" s="14">
        <v>56</v>
      </c>
      <c r="F169" s="14">
        <v>56</v>
      </c>
      <c r="G169" s="14">
        <f t="shared" si="16"/>
        <v>56</v>
      </c>
      <c r="H169" s="14">
        <v>1.2</v>
      </c>
      <c r="I169" s="29"/>
      <c r="J169" t="str">
        <f t="shared" si="17"/>
        <v>"Corn Cobs, Ground":{"MATERIAL CLASS CODE":"17C25Y",</v>
      </c>
      <c r="K169" t="str">
        <f t="shared" si="18"/>
        <v>"CONVEY LOADING":"45",</v>
      </c>
      <c r="L169" t="str">
        <f t="shared" si="19"/>
        <v>"COMPONENT GROUP":"1A,1B,1C",</v>
      </c>
      <c r="M169" t="str">
        <f t="shared" si="20"/>
        <v>"WEIGHT (LBS/CF)":17,</v>
      </c>
      <c r="N169" t="str">
        <f t="shared" si="21"/>
        <v>"MATERIAL FACTOR":0.6}</v>
      </c>
      <c r="O169" t="str">
        <f t="shared" si="22"/>
        <v>"Corn Cobs, Ground":{"MATERIAL CLASS CODE":"17C25Y","CONVEY LOADING":"45","COMPONENT GROUP":"1A,1B,1C","WEIGHT (LBS/CF)":17,"MATERIAL FACTOR":0.6},</v>
      </c>
    </row>
    <row r="170" spans="1:15" hidden="1" x14ac:dyDescent="0.25">
      <c r="A170" s="15" t="s">
        <v>397</v>
      </c>
      <c r="B170" s="16" t="s">
        <v>398</v>
      </c>
      <c r="C170" s="16" t="s">
        <v>71</v>
      </c>
      <c r="D170" s="16" t="s">
        <v>81</v>
      </c>
      <c r="E170" s="16">
        <v>21</v>
      </c>
      <c r="F170" s="16">
        <v>21</v>
      </c>
      <c r="G170" s="16">
        <f t="shared" si="16"/>
        <v>21</v>
      </c>
      <c r="H170" s="16">
        <v>0.4</v>
      </c>
      <c r="I170" s="16" t="s">
        <v>73</v>
      </c>
      <c r="J170" t="str">
        <f t="shared" si="17"/>
        <v>"Corn Cobs, Whole*":{"MATERIAL CLASS CODE":"14E45NV",</v>
      </c>
      <c r="K170" t="str">
        <f t="shared" si="18"/>
        <v>"CONVEY LOADING":"30A",</v>
      </c>
      <c r="L170" t="str">
        <f t="shared" si="19"/>
        <v>"COMPONENT GROUP":"2A,2B",</v>
      </c>
      <c r="M170" t="str">
        <f t="shared" si="20"/>
        <v>"WEIGHT (LBS/CF)":13.5,</v>
      </c>
      <c r="N170" t="str">
        <f t="shared" si="21"/>
        <v>"MATERIAL FACTOR":0.4}</v>
      </c>
      <c r="O170" t="str">
        <f t="shared" si="22"/>
        <v>"Corn Cobs, Whole*":{"MATERIAL CLASS CODE":"14E45NV","CONVEY LOADING":"30A","COMPONENT GROUP":"2A,2B","WEIGHT (LBS/CF)":13.5,"MATERIAL FACTOR":0.4},</v>
      </c>
    </row>
    <row r="171" spans="1:15" hidden="1" x14ac:dyDescent="0.25">
      <c r="A171" s="13" t="s">
        <v>399</v>
      </c>
      <c r="B171" s="14" t="s">
        <v>400</v>
      </c>
      <c r="C171" s="14" t="s">
        <v>71</v>
      </c>
      <c r="D171" s="14" t="s">
        <v>81</v>
      </c>
      <c r="E171" s="14">
        <v>30</v>
      </c>
      <c r="F171" s="14">
        <v>30</v>
      </c>
      <c r="G171" s="14">
        <f t="shared" si="16"/>
        <v>30</v>
      </c>
      <c r="H171" s="14">
        <v>0.4</v>
      </c>
      <c r="I171" s="29"/>
      <c r="J171" t="str">
        <f t="shared" si="17"/>
        <v>"Corn Fiber, Dry":{"MATERIAL CLASS CODE":"14B46P",</v>
      </c>
      <c r="K171" t="str">
        <f t="shared" si="18"/>
        <v>"CONVEY LOADING":"30B",</v>
      </c>
      <c r="L171" t="str">
        <f t="shared" si="19"/>
        <v>"COMPONENT GROUP":"1A,1B,1C",</v>
      </c>
      <c r="M171" t="str">
        <f t="shared" si="20"/>
        <v>"WEIGHT (LBS/CF)":13.5,</v>
      </c>
      <c r="N171" t="str">
        <f t="shared" si="21"/>
        <v>"MATERIAL FACTOR":1}</v>
      </c>
      <c r="O171" t="str">
        <f t="shared" si="22"/>
        <v>"Corn Fiber, Dry":{"MATERIAL CLASS CODE":"14B46P","CONVEY LOADING":"30B","COMPONENT GROUP":"1A,1B,1C","WEIGHT (LBS/CF)":13.5,"MATERIAL FACTOR":1},</v>
      </c>
    </row>
    <row r="172" spans="1:15" hidden="1" x14ac:dyDescent="0.25">
      <c r="A172" s="15" t="s">
        <v>401</v>
      </c>
      <c r="B172" s="30"/>
      <c r="C172" s="30"/>
      <c r="D172" s="30"/>
      <c r="E172" s="30"/>
      <c r="F172" s="30"/>
      <c r="G172" s="30">
        <f t="shared" si="16"/>
        <v>0</v>
      </c>
      <c r="H172" s="30">
        <v>0.4</v>
      </c>
      <c r="I172" s="30"/>
      <c r="J172" t="str">
        <f t="shared" si="17"/>
        <v>"Corn Fiber, Wet":{"MATERIAL CLASS CODE":"33B46P",</v>
      </c>
      <c r="K172" t="str">
        <f t="shared" si="18"/>
        <v>"CONVEY LOADING":"30B",</v>
      </c>
      <c r="L172" t="str">
        <f t="shared" si="19"/>
        <v>"COMPONENT GROUP":"1A,1B,1C",</v>
      </c>
      <c r="M172" t="str">
        <f t="shared" si="20"/>
        <v>"WEIGHT (LBS/CF)":32.5,</v>
      </c>
      <c r="N172" t="str">
        <f t="shared" si="21"/>
        <v>"MATERIAL FACTOR":1.5}</v>
      </c>
      <c r="O172" t="str">
        <f t="shared" si="22"/>
        <v>"Corn Fiber, Wet":{"MATERIAL CLASS CODE":"33B46P","CONVEY LOADING":"30B","COMPONENT GROUP":"1A,1B,1C","WEIGHT (LBS/CF)":32.5,"MATERIAL FACTOR":1.5},</v>
      </c>
    </row>
    <row r="173" spans="1:15" hidden="1" x14ac:dyDescent="0.25">
      <c r="A173" s="13" t="s">
        <v>402</v>
      </c>
      <c r="B173" s="14" t="s">
        <v>403</v>
      </c>
      <c r="C173" s="14" t="s">
        <v>71</v>
      </c>
      <c r="D173" s="14" t="s">
        <v>81</v>
      </c>
      <c r="E173" s="14">
        <v>40</v>
      </c>
      <c r="F173" s="14">
        <v>45</v>
      </c>
      <c r="G173" s="14">
        <f t="shared" si="16"/>
        <v>42.5</v>
      </c>
      <c r="H173" s="14">
        <v>0.5</v>
      </c>
      <c r="I173" s="14" t="s">
        <v>73</v>
      </c>
      <c r="J173" t="str">
        <f t="shared" si="17"/>
        <v>"Corn Oil, Cake":{"MATERIAL CLASS CODE":"25D45HW",</v>
      </c>
      <c r="K173" t="str">
        <f t="shared" si="18"/>
        <v>"CONVEY LOADING":"30A",</v>
      </c>
      <c r="L173" t="str">
        <f t="shared" si="19"/>
        <v>"COMPONENT GROUP":"1A,1B",</v>
      </c>
      <c r="M173" t="str">
        <f t="shared" si="20"/>
        <v>"WEIGHT (LBS/CF)":25,</v>
      </c>
      <c r="N173" t="str">
        <f t="shared" si="21"/>
        <v>"MATERIAL FACTOR":0.6}</v>
      </c>
      <c r="O173" t="str">
        <f t="shared" si="22"/>
        <v>"Corn Oil, Cake":{"MATERIAL CLASS CODE":"25D45HW","CONVEY LOADING":"30A","COMPONENT GROUP":"1A,1B","WEIGHT (LBS/CF)":25,"MATERIAL FACTOR":0.6},</v>
      </c>
    </row>
    <row r="174" spans="1:15" hidden="1" x14ac:dyDescent="0.25">
      <c r="A174" s="15" t="s">
        <v>404</v>
      </c>
      <c r="B174" s="16" t="s">
        <v>405</v>
      </c>
      <c r="C174" s="16">
        <v>45</v>
      </c>
      <c r="D174" s="16" t="s">
        <v>81</v>
      </c>
      <c r="E174" s="16">
        <v>45</v>
      </c>
      <c r="F174" s="16">
        <v>45</v>
      </c>
      <c r="G174" s="16">
        <f t="shared" si="16"/>
        <v>45</v>
      </c>
      <c r="H174" s="16">
        <v>0.4</v>
      </c>
      <c r="I174" s="30"/>
      <c r="J174" t="str">
        <f t="shared" si="17"/>
        <v>"Corn, Cracked":{"MATERIAL CLASS CODE":"45B25P",</v>
      </c>
      <c r="K174" t="str">
        <f t="shared" si="18"/>
        <v>"CONVEY LOADING":"45",</v>
      </c>
      <c r="L174" t="str">
        <f t="shared" si="19"/>
        <v>"COMPONENT GROUP":"1A,1B,1C",</v>
      </c>
      <c r="M174" t="str">
        <f t="shared" si="20"/>
        <v>"WEIGHT (LBS/CF)":45,</v>
      </c>
      <c r="N174" t="str">
        <f t="shared" si="21"/>
        <v>"MATERIAL FACTOR":0.7}</v>
      </c>
      <c r="O174" t="str">
        <f t="shared" si="22"/>
        <v>"Corn, Cracked":{"MATERIAL CLASS CODE":"45B25P","CONVEY LOADING":"45","COMPONENT GROUP":"1A,1B,1C","WEIGHT (LBS/CF)":45,"MATERIAL FACTOR":0.7},</v>
      </c>
    </row>
    <row r="175" spans="1:15" hidden="1" x14ac:dyDescent="0.25">
      <c r="A175" s="13" t="s">
        <v>406</v>
      </c>
      <c r="B175" s="14" t="s">
        <v>407</v>
      </c>
      <c r="C175" s="14">
        <v>45</v>
      </c>
      <c r="D175" s="14" t="s">
        <v>81</v>
      </c>
      <c r="E175" s="14">
        <v>45</v>
      </c>
      <c r="F175" s="14">
        <v>45</v>
      </c>
      <c r="G175" s="14">
        <f t="shared" si="16"/>
        <v>45</v>
      </c>
      <c r="H175" s="14">
        <v>0.4</v>
      </c>
      <c r="I175" s="14" t="s">
        <v>73</v>
      </c>
      <c r="J175" t="str">
        <f t="shared" si="17"/>
        <v>"Corn, Ear**":{"MATERIAL CLASS CODE":"-",</v>
      </c>
      <c r="K175" t="str">
        <f t="shared" si="18"/>
        <v>"CONVEY LOADING":"-",</v>
      </c>
      <c r="L175" t="str">
        <f t="shared" si="19"/>
        <v>"COMPONENT GROUP":"2A,2B",</v>
      </c>
      <c r="M175" t="str">
        <f t="shared" si="20"/>
        <v>"WEIGHT (LBS/CF)":56,</v>
      </c>
      <c r="N175" t="str">
        <f t="shared" si="21"/>
        <v>"MATERIAL FACTOR":1.2}</v>
      </c>
      <c r="O175" t="str">
        <f t="shared" si="22"/>
        <v>"Corn, Ear**":{"MATERIAL CLASS CODE":"-","CONVEY LOADING":"-","COMPONENT GROUP":"2A,2B","WEIGHT (LBS/CF)":56,"MATERIAL FACTOR":1.2},</v>
      </c>
    </row>
    <row r="176" spans="1:15" hidden="1" x14ac:dyDescent="0.25">
      <c r="A176" s="15" t="s">
        <v>408</v>
      </c>
      <c r="B176" s="16" t="s">
        <v>409</v>
      </c>
      <c r="C176" s="16">
        <v>45</v>
      </c>
      <c r="D176" s="16" t="s">
        <v>81</v>
      </c>
      <c r="E176" s="16">
        <v>25</v>
      </c>
      <c r="F176" s="16">
        <v>50</v>
      </c>
      <c r="G176" s="16">
        <f t="shared" si="16"/>
        <v>37.5</v>
      </c>
      <c r="H176" s="16">
        <v>1</v>
      </c>
      <c r="I176" s="16" t="s">
        <v>116</v>
      </c>
      <c r="J176" t="str">
        <f t="shared" si="17"/>
        <v>"Corn, Germ, Dry":{"MATERIAL CLASS CODE":"21B35PY",</v>
      </c>
      <c r="K176" t="str">
        <f t="shared" si="18"/>
        <v>"CONVEY LOADING":"30A",</v>
      </c>
      <c r="L176" t="str">
        <f t="shared" si="19"/>
        <v>"COMPONENT GROUP":"1A,1B,1C",</v>
      </c>
      <c r="M176" t="str">
        <f t="shared" si="20"/>
        <v>"WEIGHT (LBS/CF)":21,</v>
      </c>
      <c r="N176" t="str">
        <f t="shared" si="21"/>
        <v>"MATERIAL FACTOR":0.4}</v>
      </c>
      <c r="O176" t="str">
        <f t="shared" si="22"/>
        <v>"Corn, Germ, Dry":{"MATERIAL CLASS CODE":"21B35PY","CONVEY LOADING":"30A","COMPONENT GROUP":"1A,1B,1C","WEIGHT (LBS/CF)":21,"MATERIAL FACTOR":0.4},</v>
      </c>
    </row>
    <row r="177" spans="1:15" hidden="1" x14ac:dyDescent="0.25">
      <c r="A177" s="13" t="s">
        <v>410</v>
      </c>
      <c r="B177" s="14" t="s">
        <v>411</v>
      </c>
      <c r="C177" s="14" t="s">
        <v>71</v>
      </c>
      <c r="D177" s="14" t="s">
        <v>160</v>
      </c>
      <c r="E177" s="14">
        <v>30</v>
      </c>
      <c r="F177" s="14">
        <v>35</v>
      </c>
      <c r="G177" s="14">
        <f t="shared" si="16"/>
        <v>32.5</v>
      </c>
      <c r="H177" s="14">
        <v>1.3</v>
      </c>
      <c r="I177" s="14" t="s">
        <v>73</v>
      </c>
      <c r="J177" t="str">
        <f t="shared" si="17"/>
        <v>"Corn, Germ, Wet (50% moisture)":{"MATERIAL CLASS CODE":"30B35PY",</v>
      </c>
      <c r="K177" t="str">
        <f t="shared" si="18"/>
        <v>"CONVEY LOADING":"30A",</v>
      </c>
      <c r="L177" t="str">
        <f t="shared" si="19"/>
        <v>"COMPONENT GROUP":"1A,1B,1C",</v>
      </c>
      <c r="M177" t="str">
        <f t="shared" si="20"/>
        <v>"WEIGHT (LBS/CF)":30,</v>
      </c>
      <c r="N177" t="str">
        <f t="shared" si="21"/>
        <v>"MATERIAL FACTOR":0.4}</v>
      </c>
      <c r="O177" t="str">
        <f t="shared" si="22"/>
        <v>"Corn, Germ, Wet (50% moisture)":{"MATERIAL CLASS CODE":"30B35PY","CONVEY LOADING":"30A","COMPONENT GROUP":"1A,1B,1C","WEIGHT (LBS/CF)":30,"MATERIAL FACTOR":0.4},</v>
      </c>
    </row>
    <row r="178" spans="1:15" hidden="1" x14ac:dyDescent="0.25">
      <c r="A178" s="15" t="s">
        <v>412</v>
      </c>
      <c r="B178" s="16" t="s">
        <v>413</v>
      </c>
      <c r="C178" s="16" t="s">
        <v>71</v>
      </c>
      <c r="D178" s="16" t="s">
        <v>207</v>
      </c>
      <c r="E178" s="16">
        <v>32</v>
      </c>
      <c r="F178" s="16">
        <v>40</v>
      </c>
      <c r="G178" s="16">
        <f t="shared" si="16"/>
        <v>36</v>
      </c>
      <c r="H178" s="16">
        <v>0.5</v>
      </c>
      <c r="I178" s="16" t="s">
        <v>73</v>
      </c>
      <c r="J178" t="str">
        <f t="shared" si="17"/>
        <v>"Corn, Gluten (see Gluten Meal)":{"MATERIAL CLASS CODE":"",</v>
      </c>
      <c r="K178" t="str">
        <f t="shared" si="18"/>
        <v>"CONVEY LOADING":"",</v>
      </c>
      <c r="L178" t="str">
        <f t="shared" si="19"/>
        <v>"COMPONENT GROUP":"",</v>
      </c>
      <c r="M178" t="str">
        <f t="shared" si="20"/>
        <v>"WEIGHT (LBS/CF)":0,</v>
      </c>
      <c r="N178" t="str">
        <f t="shared" si="21"/>
        <v>"MATERIAL FACTOR":0.4}</v>
      </c>
      <c r="O178" t="str">
        <f t="shared" si="22"/>
        <v>"Corn, Gluten (see Gluten Meal)":{"MATERIAL CLASS CODE":"","CONVEY LOADING":"","COMPONENT GROUP":"","WEIGHT (LBS/CF)":0,"MATERIAL FACTOR":0.4},</v>
      </c>
    </row>
    <row r="179" spans="1:15" hidden="1" x14ac:dyDescent="0.25">
      <c r="A179" s="13" t="s">
        <v>414</v>
      </c>
      <c r="B179" s="14" t="s">
        <v>415</v>
      </c>
      <c r="C179" s="14" t="s">
        <v>71</v>
      </c>
      <c r="D179" s="14" t="s">
        <v>207</v>
      </c>
      <c r="E179" s="14">
        <v>40</v>
      </c>
      <c r="F179" s="14">
        <v>45</v>
      </c>
      <c r="G179" s="14">
        <f t="shared" si="16"/>
        <v>42.5</v>
      </c>
      <c r="H179" s="14">
        <v>1</v>
      </c>
      <c r="I179" s="14" t="s">
        <v>73</v>
      </c>
      <c r="J179" t="str">
        <f t="shared" si="17"/>
        <v>"Corn, Grits":{"MATERIAL CLASS CODE":"43B35P",</v>
      </c>
      <c r="K179" t="str">
        <f t="shared" si="18"/>
        <v>"CONVEY LOADING":"30A",</v>
      </c>
      <c r="L179" t="str">
        <f t="shared" si="19"/>
        <v>"COMPONENT GROUP":"1A,1B,1C",</v>
      </c>
      <c r="M179" t="str">
        <f t="shared" si="20"/>
        <v>"WEIGHT (LBS/CF)":42.5,</v>
      </c>
      <c r="N179" t="str">
        <f t="shared" si="21"/>
        <v>"MATERIAL FACTOR":0.5}</v>
      </c>
      <c r="O179" t="str">
        <f t="shared" si="22"/>
        <v>"Corn, Grits":{"MATERIAL CLASS CODE":"43B35P","CONVEY LOADING":"30A","COMPONENT GROUP":"1A,1B,1C","WEIGHT (LBS/CF)":42.5,"MATERIAL FACTOR":0.5},</v>
      </c>
    </row>
    <row r="180" spans="1:15" hidden="1" x14ac:dyDescent="0.25">
      <c r="A180" s="15" t="s">
        <v>416</v>
      </c>
      <c r="B180" s="16" t="s">
        <v>417</v>
      </c>
      <c r="C180" s="16">
        <v>45</v>
      </c>
      <c r="D180" s="16" t="s">
        <v>207</v>
      </c>
      <c r="E180" s="16">
        <v>22</v>
      </c>
      <c r="F180" s="16">
        <v>40</v>
      </c>
      <c r="G180" s="16">
        <f t="shared" si="16"/>
        <v>31</v>
      </c>
      <c r="H180" s="16">
        <v>0.6</v>
      </c>
      <c r="I180" s="16" t="s">
        <v>73</v>
      </c>
      <c r="J180" t="str">
        <f t="shared" si="17"/>
        <v>"Corn, Seed":{"MATERIAL CLASS CODE":"45C25PQ",</v>
      </c>
      <c r="K180" t="str">
        <f t="shared" si="18"/>
        <v>"CONVEY LOADING":"45",</v>
      </c>
      <c r="L180" t="str">
        <f t="shared" si="19"/>
        <v>"COMPONENT GROUP":"1A,1B,1C",</v>
      </c>
      <c r="M180" t="str">
        <f t="shared" si="20"/>
        <v>"WEIGHT (LBS/CF)":45,</v>
      </c>
      <c r="N180" t="str">
        <f t="shared" si="21"/>
        <v>"MATERIAL FACTOR":0.4}</v>
      </c>
      <c r="O180" t="str">
        <f t="shared" si="22"/>
        <v>"Corn, Seed":{"MATERIAL CLASS CODE":"45C25PQ","CONVEY LOADING":"45","COMPONENT GROUP":"1A,1B,1C","WEIGHT (LBS/CF)":45,"MATERIAL FACTOR":0.4},</v>
      </c>
    </row>
    <row r="181" spans="1:15" hidden="1" x14ac:dyDescent="0.25">
      <c r="A181" s="13" t="s">
        <v>418</v>
      </c>
      <c r="B181" s="14" t="s">
        <v>419</v>
      </c>
      <c r="C181" s="14" t="s">
        <v>71</v>
      </c>
      <c r="D181" s="14" t="s">
        <v>207</v>
      </c>
      <c r="E181" s="14">
        <v>18</v>
      </c>
      <c r="F181" s="14">
        <v>25</v>
      </c>
      <c r="G181" s="14">
        <f t="shared" si="16"/>
        <v>21.5</v>
      </c>
      <c r="H181" s="14">
        <v>0.9</v>
      </c>
      <c r="I181" s="14" t="s">
        <v>73</v>
      </c>
      <c r="J181" t="str">
        <f t="shared" si="17"/>
        <v>"Corn, Shelled":{"MATERIAL CLASS CODE":"45C25",</v>
      </c>
      <c r="K181" t="str">
        <f t="shared" si="18"/>
        <v>"CONVEY LOADING":"45",</v>
      </c>
      <c r="L181" t="str">
        <f t="shared" si="19"/>
        <v>"COMPONENT GROUP":"1A,1B,1C",</v>
      </c>
      <c r="M181" t="str">
        <f t="shared" si="20"/>
        <v>"WEIGHT (LBS/CF)":45,</v>
      </c>
      <c r="N181" t="str">
        <f t="shared" si="21"/>
        <v>"MATERIAL FACTOR":0.4}</v>
      </c>
      <c r="O181" t="str">
        <f t="shared" si="22"/>
        <v>"Corn, Shelled":{"MATERIAL CLASS CODE":"45C25","CONVEY LOADING":"45","COMPONENT GROUP":"1A,1B,1C","WEIGHT (LBS/CF)":45,"MATERIAL FACTOR":0.4},</v>
      </c>
    </row>
    <row r="182" spans="1:15" hidden="1" x14ac:dyDescent="0.25">
      <c r="A182" s="15" t="s">
        <v>420</v>
      </c>
      <c r="B182" s="16" t="s">
        <v>421</v>
      </c>
      <c r="C182" s="16" t="s">
        <v>71</v>
      </c>
      <c r="D182" s="16" t="s">
        <v>207</v>
      </c>
      <c r="E182" s="16">
        <v>20</v>
      </c>
      <c r="F182" s="16">
        <v>25</v>
      </c>
      <c r="G182" s="16">
        <f t="shared" si="16"/>
        <v>22.5</v>
      </c>
      <c r="H182" s="16">
        <v>0.8</v>
      </c>
      <c r="I182" s="16" t="s">
        <v>73</v>
      </c>
      <c r="J182" t="str">
        <f t="shared" si="17"/>
        <v>"Corn, Starch*":{"MATERIAL CLASS CODE":"38A15MN",</v>
      </c>
      <c r="K182" t="str">
        <f t="shared" si="18"/>
        <v>"CONVEY LOADING":"45",</v>
      </c>
      <c r="L182" t="str">
        <f t="shared" si="19"/>
        <v>"COMPONENT GROUP":"1A,1B,1C",</v>
      </c>
      <c r="M182" t="str">
        <f t="shared" si="20"/>
        <v>"WEIGHT (LBS/CF)":37.5,</v>
      </c>
      <c r="N182" t="str">
        <f t="shared" si="21"/>
        <v>"MATERIAL FACTOR":1}</v>
      </c>
      <c r="O182" t="str">
        <f t="shared" si="22"/>
        <v>"Corn, Starch*":{"MATERIAL CLASS CODE":"38A15MN","CONVEY LOADING":"45","COMPONENT GROUP":"1A,1B,1C","WEIGHT (LBS/CF)":37.5,"MATERIAL FACTOR":1},</v>
      </c>
    </row>
    <row r="183" spans="1:15" hidden="1" x14ac:dyDescent="0.25">
      <c r="A183" s="13" t="s">
        <v>422</v>
      </c>
      <c r="B183" s="14" t="s">
        <v>423</v>
      </c>
      <c r="C183" s="14" t="s">
        <v>71</v>
      </c>
      <c r="D183" s="14" t="s">
        <v>207</v>
      </c>
      <c r="E183" s="14">
        <v>12</v>
      </c>
      <c r="F183" s="14">
        <v>12</v>
      </c>
      <c r="G183" s="14">
        <f t="shared" si="16"/>
        <v>12</v>
      </c>
      <c r="H183" s="14">
        <v>0.9</v>
      </c>
      <c r="I183" s="14" t="s">
        <v>73</v>
      </c>
      <c r="J183" t="str">
        <f t="shared" si="17"/>
        <v>"Corn, Sugar":{"MATERIAL CLASS CODE":"33B35PU",</v>
      </c>
      <c r="K183" t="str">
        <f t="shared" si="18"/>
        <v>"CONVEY LOADING":"30A",</v>
      </c>
      <c r="L183" t="str">
        <f t="shared" si="19"/>
        <v>"COMPONENT GROUP":"1B",</v>
      </c>
      <c r="M183" t="str">
        <f t="shared" si="20"/>
        <v>"WEIGHT (LBS/CF)":32.5,</v>
      </c>
      <c r="N183" t="str">
        <f t="shared" si="21"/>
        <v>"MATERIAL FACTOR":1.3}</v>
      </c>
      <c r="O183" t="str">
        <f t="shared" si="22"/>
        <v>"Corn, Sugar":{"MATERIAL CLASS CODE":"33B35PU","CONVEY LOADING":"30A","COMPONENT GROUP":"1B","WEIGHT (LBS/CF)":32.5,"MATERIAL FACTOR":1.3},</v>
      </c>
    </row>
    <row r="184" spans="1:15" hidden="1" x14ac:dyDescent="0.25">
      <c r="A184" s="15" t="s">
        <v>424</v>
      </c>
      <c r="B184" s="16" t="s">
        <v>425</v>
      </c>
      <c r="C184" s="16" t="s">
        <v>71</v>
      </c>
      <c r="D184" s="16" t="s">
        <v>111</v>
      </c>
      <c r="E184" s="16">
        <v>25</v>
      </c>
      <c r="F184" s="16">
        <v>30</v>
      </c>
      <c r="G184" s="16">
        <f t="shared" si="16"/>
        <v>27.5</v>
      </c>
      <c r="H184" s="16">
        <v>0.5</v>
      </c>
      <c r="I184" s="16" t="s">
        <v>73</v>
      </c>
      <c r="J184" t="str">
        <f t="shared" si="17"/>
        <v>"Cornmeal":{"MATERIAL CLASS CODE":"36B35P",</v>
      </c>
      <c r="K184" t="str">
        <f t="shared" si="18"/>
        <v>"CONVEY LOADING":"30A",</v>
      </c>
      <c r="L184" t="str">
        <f t="shared" si="19"/>
        <v>"COMPONENT GROUP":"1A,1B",</v>
      </c>
      <c r="M184" t="str">
        <f t="shared" si="20"/>
        <v>"WEIGHT (LBS/CF)":36,</v>
      </c>
      <c r="N184" t="str">
        <f t="shared" si="21"/>
        <v>"MATERIAL FACTOR":0.5}</v>
      </c>
      <c r="O184" t="str">
        <f t="shared" si="22"/>
        <v>"Cornmeal":{"MATERIAL CLASS CODE":"36B35P","CONVEY LOADING":"30A","COMPONENT GROUP":"1A,1B","WEIGHT (LBS/CF)":36,"MATERIAL FACTOR":0.5},</v>
      </c>
    </row>
    <row r="185" spans="1:15" hidden="1" x14ac:dyDescent="0.25">
      <c r="A185" s="13" t="s">
        <v>426</v>
      </c>
      <c r="B185" s="14" t="s">
        <v>427</v>
      </c>
      <c r="C185" s="14" t="s">
        <v>71</v>
      </c>
      <c r="D185" s="14" t="s">
        <v>207</v>
      </c>
      <c r="E185" s="14">
        <v>35</v>
      </c>
      <c r="F185" s="14">
        <v>40</v>
      </c>
      <c r="G185" s="14">
        <f t="shared" si="16"/>
        <v>37.5</v>
      </c>
      <c r="H185" s="14">
        <v>0.5</v>
      </c>
      <c r="I185" s="14" t="s">
        <v>73</v>
      </c>
      <c r="J185" t="str">
        <f t="shared" si="17"/>
        <v>"Cottonseed, Cake":{"MATERIAL CLASS CODE":"43C45HW",</v>
      </c>
      <c r="K185" t="str">
        <f t="shared" si="18"/>
        <v>"CONVEY LOADING":"30A",</v>
      </c>
      <c r="L185" t="str">
        <f t="shared" si="19"/>
        <v>"COMPONENT GROUP":"1A,1B",</v>
      </c>
      <c r="M185" t="str">
        <f t="shared" si="20"/>
        <v>"WEIGHT (LBS/CF)":42.5,</v>
      </c>
      <c r="N185" t="str">
        <f t="shared" si="21"/>
        <v>"MATERIAL FACTOR":1}</v>
      </c>
      <c r="O185" t="str">
        <f t="shared" si="22"/>
        <v>"Cottonseed, Cake":{"MATERIAL CLASS CODE":"43C45HW","CONVEY LOADING":"30A","COMPONENT GROUP":"1A,1B","WEIGHT (LBS/CF)":42.5,"MATERIAL FACTOR":1},</v>
      </c>
    </row>
    <row r="186" spans="1:15" hidden="1" x14ac:dyDescent="0.25">
      <c r="A186" s="15" t="s">
        <v>428</v>
      </c>
      <c r="B186" s="16" t="s">
        <v>429</v>
      </c>
      <c r="C186" s="16" t="s">
        <v>71</v>
      </c>
      <c r="D186" s="16" t="s">
        <v>207</v>
      </c>
      <c r="E186" s="16">
        <v>40</v>
      </c>
      <c r="F186" s="16">
        <v>40</v>
      </c>
      <c r="G186" s="16">
        <f t="shared" si="16"/>
        <v>40</v>
      </c>
      <c r="H186" s="16">
        <v>0.6</v>
      </c>
      <c r="I186" s="16" t="s">
        <v>73</v>
      </c>
      <c r="J186" t="str">
        <f t="shared" si="17"/>
        <v>"Cottonseed, Dry, Delinted":{"MATERIAL CLASS CODE":"31C25X",</v>
      </c>
      <c r="K186" t="str">
        <f t="shared" si="18"/>
        <v>"CONVEY LOADING":"45",</v>
      </c>
      <c r="L186" t="str">
        <f t="shared" si="19"/>
        <v>"COMPONENT GROUP":"1A,1B",</v>
      </c>
      <c r="M186" t="str">
        <f t="shared" si="20"/>
        <v>"WEIGHT (LBS/CF)":31,</v>
      </c>
      <c r="N186" t="str">
        <f t="shared" si="21"/>
        <v>"MATERIAL FACTOR":0.6}</v>
      </c>
      <c r="O186" t="str">
        <f t="shared" si="22"/>
        <v>"Cottonseed, Dry, Delinted":{"MATERIAL CLASS CODE":"31C25X","CONVEY LOADING":"45","COMPONENT GROUP":"1A,1B","WEIGHT (LBS/CF)":31,"MATERIAL FACTOR":0.6},</v>
      </c>
    </row>
    <row r="187" spans="1:15" hidden="1" x14ac:dyDescent="0.25">
      <c r="A187" s="13" t="s">
        <v>430</v>
      </c>
      <c r="B187" s="14" t="s">
        <v>431</v>
      </c>
      <c r="C187" s="14" t="s">
        <v>71</v>
      </c>
      <c r="D187" s="14" t="s">
        <v>207</v>
      </c>
      <c r="E187" s="14">
        <v>35</v>
      </c>
      <c r="F187" s="14">
        <v>40</v>
      </c>
      <c r="G187" s="14">
        <f t="shared" si="16"/>
        <v>37.5</v>
      </c>
      <c r="H187" s="14">
        <v>0.6</v>
      </c>
      <c r="I187" s="14" t="s">
        <v>73</v>
      </c>
      <c r="J187" t="str">
        <f t="shared" si="17"/>
        <v>"Cottonseed, Dry, Not Delinted":{"MATERIAL CLASS CODE":"22C45XY",</v>
      </c>
      <c r="K187" t="str">
        <f t="shared" si="18"/>
        <v>"CONVEY LOADING":"30A",</v>
      </c>
      <c r="L187" t="str">
        <f t="shared" si="19"/>
        <v>"COMPONENT GROUP":"1A,1B",</v>
      </c>
      <c r="M187" t="str">
        <f t="shared" si="20"/>
        <v>"WEIGHT (LBS/CF)":21.5,</v>
      </c>
      <c r="N187" t="str">
        <f t="shared" si="21"/>
        <v>"MATERIAL FACTOR":0.9}</v>
      </c>
      <c r="O187" t="str">
        <f t="shared" si="22"/>
        <v>"Cottonseed, Dry, Not Delinted":{"MATERIAL CLASS CODE":"22C45XY","CONVEY LOADING":"30A","COMPONENT GROUP":"1A,1B","WEIGHT (LBS/CF)":21.5,"MATERIAL FACTOR":0.9},</v>
      </c>
    </row>
    <row r="188" spans="1:15" hidden="1" x14ac:dyDescent="0.25">
      <c r="A188" s="15" t="s">
        <v>432</v>
      </c>
      <c r="B188" s="16" t="s">
        <v>433</v>
      </c>
      <c r="C188" s="16" t="s">
        <v>71</v>
      </c>
      <c r="D188" s="16" t="s">
        <v>155</v>
      </c>
      <c r="E188" s="16">
        <v>40</v>
      </c>
      <c r="F188" s="16">
        <v>50</v>
      </c>
      <c r="G188" s="16">
        <f t="shared" si="16"/>
        <v>45</v>
      </c>
      <c r="H188" s="16">
        <v>1.3</v>
      </c>
      <c r="I188" s="16" t="s">
        <v>73</v>
      </c>
      <c r="J188" t="str">
        <f t="shared" si="17"/>
        <v>"Cottonseed, Flakes":{"MATERIAL CLASS CODE":"23C35HWY",</v>
      </c>
      <c r="K188" t="str">
        <f t="shared" si="18"/>
        <v>"CONVEY LOADING":"30A",</v>
      </c>
      <c r="L188" t="str">
        <f t="shared" si="19"/>
        <v>"COMPONENT GROUP":"1A,1B",</v>
      </c>
      <c r="M188" t="str">
        <f t="shared" si="20"/>
        <v>"WEIGHT (LBS/CF)":22.5,</v>
      </c>
      <c r="N188" t="str">
        <f t="shared" si="21"/>
        <v>"MATERIAL FACTOR":0.8}</v>
      </c>
      <c r="O188" t="str">
        <f t="shared" si="22"/>
        <v>"Cottonseed, Flakes":{"MATERIAL CLASS CODE":"23C35HWY","CONVEY LOADING":"30A","COMPONENT GROUP":"1A,1B","WEIGHT (LBS/CF)":22.5,"MATERIAL FACTOR":0.8},</v>
      </c>
    </row>
    <row r="189" spans="1:15" hidden="1" x14ac:dyDescent="0.25">
      <c r="A189" s="13" t="s">
        <v>434</v>
      </c>
      <c r="B189" s="14" t="s">
        <v>435</v>
      </c>
      <c r="C189" s="14" t="s">
        <v>99</v>
      </c>
      <c r="D189" s="14" t="s">
        <v>76</v>
      </c>
      <c r="E189" s="14">
        <v>75</v>
      </c>
      <c r="F189" s="14">
        <v>90</v>
      </c>
      <c r="G189" s="14">
        <f t="shared" si="16"/>
        <v>82.5</v>
      </c>
      <c r="H189" s="14">
        <v>2</v>
      </c>
      <c r="I189" s="14" t="s">
        <v>73</v>
      </c>
      <c r="J189" t="str">
        <f t="shared" si="17"/>
        <v>"Cottonseed, Hulls":{"MATERIAL CLASS CODE":"12B35Y",</v>
      </c>
      <c r="K189" t="str">
        <f t="shared" si="18"/>
        <v>"CONVEY LOADING":"30A",</v>
      </c>
      <c r="L189" t="str">
        <f t="shared" si="19"/>
        <v>"COMPONENT GROUP":"1A,1B",</v>
      </c>
      <c r="M189" t="str">
        <f t="shared" si="20"/>
        <v>"WEIGHT (LBS/CF)":12,</v>
      </c>
      <c r="N189" t="str">
        <f t="shared" si="21"/>
        <v>"MATERIAL FACTOR":0.9}</v>
      </c>
      <c r="O189" t="str">
        <f t="shared" si="22"/>
        <v>"Cottonseed, Hulls":{"MATERIAL CLASS CODE":"12B35Y","CONVEY LOADING":"30A","COMPONENT GROUP":"1A,1B","WEIGHT (LBS/CF)":12,"MATERIAL FACTOR":0.9},</v>
      </c>
    </row>
    <row r="190" spans="1:15" hidden="1" x14ac:dyDescent="0.25">
      <c r="A190" s="15" t="s">
        <v>436</v>
      </c>
      <c r="B190" s="16" t="s">
        <v>437</v>
      </c>
      <c r="C190" s="16" t="s">
        <v>99</v>
      </c>
      <c r="D190" s="16" t="s">
        <v>76</v>
      </c>
      <c r="E190" s="16">
        <v>90</v>
      </c>
      <c r="F190" s="16">
        <v>110</v>
      </c>
      <c r="G190" s="16">
        <f t="shared" si="16"/>
        <v>100</v>
      </c>
      <c r="H190" s="16">
        <v>2.1</v>
      </c>
      <c r="I190" s="16" t="s">
        <v>73</v>
      </c>
      <c r="J190" t="str">
        <f t="shared" si="17"/>
        <v>"Cottonseed, Meal, Expeller":{"MATERIAL CLASS CODE":"28B45HW",</v>
      </c>
      <c r="K190" t="str">
        <f t="shared" si="18"/>
        <v>"CONVEY LOADING":"30A",</v>
      </c>
      <c r="L190" t="str">
        <f t="shared" si="19"/>
        <v>"COMPONENT GROUP":"3A,3B",</v>
      </c>
      <c r="M190" t="str">
        <f t="shared" si="20"/>
        <v>"WEIGHT (LBS/CF)":27.5,</v>
      </c>
      <c r="N190" t="str">
        <f t="shared" si="21"/>
        <v>"MATERIAL FACTOR":0.5}</v>
      </c>
      <c r="O190" t="str">
        <f t="shared" si="22"/>
        <v>"Cottonseed, Meal, Expeller":{"MATERIAL CLASS CODE":"28B45HW","CONVEY LOADING":"30A","COMPONENT GROUP":"3A,3B","WEIGHT (LBS/CF)":27.5,"MATERIAL FACTOR":0.5},</v>
      </c>
    </row>
    <row r="191" spans="1:15" hidden="1" x14ac:dyDescent="0.25">
      <c r="A191" s="13" t="s">
        <v>438</v>
      </c>
      <c r="B191" s="14" t="s">
        <v>439</v>
      </c>
      <c r="C191" s="14">
        <v>15</v>
      </c>
      <c r="D191" s="14" t="s">
        <v>87</v>
      </c>
      <c r="E191" s="14">
        <v>80</v>
      </c>
      <c r="F191" s="14">
        <v>120</v>
      </c>
      <c r="G191" s="14">
        <f t="shared" si="16"/>
        <v>100</v>
      </c>
      <c r="H191" s="14">
        <v>2</v>
      </c>
      <c r="I191" s="29"/>
      <c r="J191" t="str">
        <f t="shared" si="17"/>
        <v>"Cottonseed, Meal, Extracted":{"MATERIAL CLASS CODE":"38B45HW",</v>
      </c>
      <c r="K191" t="str">
        <f t="shared" si="18"/>
        <v>"CONVEY LOADING":"30A",</v>
      </c>
      <c r="L191" t="str">
        <f t="shared" si="19"/>
        <v>"COMPONENT GROUP":"1A,1B",</v>
      </c>
      <c r="M191" t="str">
        <f t="shared" si="20"/>
        <v>"WEIGHT (LBS/CF)":37.5,</v>
      </c>
      <c r="N191" t="str">
        <f t="shared" si="21"/>
        <v>"MATERIAL FACTOR":0.5}</v>
      </c>
      <c r="O191" t="str">
        <f t="shared" si="22"/>
        <v>"Cottonseed, Meal, Extracted":{"MATERIAL CLASS CODE":"38B45HW","CONVEY LOADING":"30A","COMPONENT GROUP":"1A,1B","WEIGHT (LBS/CF)":37.5,"MATERIAL FACTOR":0.5},</v>
      </c>
    </row>
    <row r="192" spans="1:15" hidden="1" x14ac:dyDescent="0.25">
      <c r="A192" s="15" t="s">
        <v>440</v>
      </c>
      <c r="B192" s="16" t="s">
        <v>441</v>
      </c>
      <c r="C192" s="16">
        <v>15</v>
      </c>
      <c r="D192" s="16" t="s">
        <v>87</v>
      </c>
      <c r="E192" s="16">
        <v>80</v>
      </c>
      <c r="F192" s="16">
        <v>120</v>
      </c>
      <c r="G192" s="16">
        <f t="shared" si="16"/>
        <v>100</v>
      </c>
      <c r="H192" s="16">
        <v>2.5</v>
      </c>
      <c r="I192" s="30"/>
      <c r="J192" t="str">
        <f t="shared" si="17"/>
        <v>"Cottonseed, Meats, Dry":{"MATERIAL CLASS CODE":"40B35HW",</v>
      </c>
      <c r="K192" t="str">
        <f t="shared" si="18"/>
        <v>"CONVEY LOADING":"30A",</v>
      </c>
      <c r="L192" t="str">
        <f t="shared" si="19"/>
        <v>"COMPONENT GROUP":"1A,1B",</v>
      </c>
      <c r="M192" t="str">
        <f t="shared" si="20"/>
        <v>"WEIGHT (LBS/CF)":40,</v>
      </c>
      <c r="N192" t="str">
        <f t="shared" si="21"/>
        <v>"MATERIAL FACTOR":0.6}</v>
      </c>
      <c r="O192" t="str">
        <f t="shared" si="22"/>
        <v>"Cottonseed, Meats, Dry":{"MATERIAL CLASS CODE":"40B35HW","CONVEY LOADING":"30A","COMPONENT GROUP":"1A,1B","WEIGHT (LBS/CF)":40,"MATERIAL FACTOR":0.6},</v>
      </c>
    </row>
    <row r="193" spans="1:15" hidden="1" x14ac:dyDescent="0.25">
      <c r="A193" s="13" t="s">
        <v>442</v>
      </c>
      <c r="B193" s="14" t="s">
        <v>324</v>
      </c>
      <c r="C193" s="14" t="s">
        <v>71</v>
      </c>
      <c r="D193" s="14" t="s">
        <v>90</v>
      </c>
      <c r="E193" s="14">
        <v>55</v>
      </c>
      <c r="F193" s="14">
        <v>61</v>
      </c>
      <c r="G193" s="14">
        <f t="shared" si="16"/>
        <v>58</v>
      </c>
      <c r="H193" s="14">
        <v>1</v>
      </c>
      <c r="I193" s="14" t="s">
        <v>116</v>
      </c>
      <c r="J193" t="str">
        <f t="shared" si="17"/>
        <v>"Cottonseed, Meats, Rolled":{"MATERIAL CLASS CODE":"38C45HW",</v>
      </c>
      <c r="K193" t="str">
        <f t="shared" si="18"/>
        <v>"CONVEY LOADING":"30A",</v>
      </c>
      <c r="L193" t="str">
        <f t="shared" si="19"/>
        <v>"COMPONENT GROUP":"1A,1B",</v>
      </c>
      <c r="M193" t="str">
        <f t="shared" si="20"/>
        <v>"WEIGHT (LBS/CF)":37.5,</v>
      </c>
      <c r="N193" t="str">
        <f t="shared" si="21"/>
        <v>"MATERIAL FACTOR":0.6}</v>
      </c>
      <c r="O193" t="str">
        <f t="shared" si="22"/>
        <v>"Cottonseed, Meats, Rolled":{"MATERIAL CLASS CODE":"38C45HW","CONVEY LOADING":"30A","COMPONENT GROUP":"1A,1B","WEIGHT (LBS/CF)":37.5,"MATERIAL FACTOR":0.6},</v>
      </c>
    </row>
    <row r="194" spans="1:15" hidden="1" x14ac:dyDescent="0.25">
      <c r="A194" s="15" t="s">
        <v>443</v>
      </c>
      <c r="B194" s="16" t="s">
        <v>369</v>
      </c>
      <c r="C194" s="16" t="s">
        <v>71</v>
      </c>
      <c r="D194" s="16" t="s">
        <v>155</v>
      </c>
      <c r="E194" s="16">
        <v>75</v>
      </c>
      <c r="F194" s="16">
        <v>95</v>
      </c>
      <c r="G194" s="16">
        <f t="shared" si="16"/>
        <v>85</v>
      </c>
      <c r="H194" s="16">
        <v>1</v>
      </c>
      <c r="I194" s="16" t="s">
        <v>116</v>
      </c>
      <c r="J194" t="str">
        <f t="shared" si="17"/>
        <v>"Cracklings, Crushed":{"MATERIAL CLASS CODE":"45D45HW",</v>
      </c>
      <c r="K194" t="str">
        <f t="shared" si="18"/>
        <v>"CONVEY LOADING":"30A",</v>
      </c>
      <c r="L194" t="str">
        <f t="shared" si="19"/>
        <v>"COMPONENT GROUP":"2A,2B,2C",</v>
      </c>
      <c r="M194" t="str">
        <f t="shared" si="20"/>
        <v>"WEIGHT (LBS/CF)":45,</v>
      </c>
      <c r="N194" t="str">
        <f t="shared" si="21"/>
        <v>"MATERIAL FACTOR":1.3}</v>
      </c>
      <c r="O194" t="str">
        <f t="shared" si="22"/>
        <v>"Cracklings, Crushed":{"MATERIAL CLASS CODE":"45D45HW","CONVEY LOADING":"30A","COMPONENT GROUP":"2A,2B,2C","WEIGHT (LBS/CF)":45,"MATERIAL FACTOR":1.3},</v>
      </c>
    </row>
    <row r="195" spans="1:15" hidden="1" x14ac:dyDescent="0.25">
      <c r="A195" s="13" t="s">
        <v>444</v>
      </c>
      <c r="B195" s="14" t="s">
        <v>282</v>
      </c>
      <c r="C195" s="14" t="s">
        <v>99</v>
      </c>
      <c r="D195" s="14" t="s">
        <v>87</v>
      </c>
      <c r="E195" s="14">
        <v>11</v>
      </c>
      <c r="F195" s="14">
        <v>17</v>
      </c>
      <c r="G195" s="14">
        <f t="shared" si="16"/>
        <v>14</v>
      </c>
      <c r="H195" s="14">
        <v>1.6</v>
      </c>
      <c r="I195" s="14" t="s">
        <v>116</v>
      </c>
      <c r="J195" t="str">
        <f t="shared" si="17"/>
        <v>"Cryolite, Dust (Sodium Aluminum Fluoride)":{"MATERIAL CLASS CODE":"83A36V",</v>
      </c>
      <c r="K195" t="str">
        <f t="shared" si="18"/>
        <v>"CONVEY LOADING":"30B",</v>
      </c>
      <c r="L195" t="str">
        <f t="shared" si="19"/>
        <v>"COMPONENT GROUP":"2D",</v>
      </c>
      <c r="M195" t="str">
        <f t="shared" si="20"/>
        <v>"WEIGHT (LBS/CF)":82.5,</v>
      </c>
      <c r="N195" t="str">
        <f t="shared" si="21"/>
        <v>"MATERIAL FACTOR":2}</v>
      </c>
      <c r="O195" t="str">
        <f t="shared" si="22"/>
        <v>"Cryolite, Dust (Sodium Aluminum Fluoride)":{"MATERIAL CLASS CODE":"83A36V","CONVEY LOADING":"30B","COMPONENT GROUP":"2D","WEIGHT (LBS/CF)":82.5,"MATERIAL FACTOR":2},</v>
      </c>
    </row>
    <row r="196" spans="1:15" hidden="1" x14ac:dyDescent="0.25">
      <c r="A196" s="15" t="s">
        <v>445</v>
      </c>
      <c r="B196" s="16" t="s">
        <v>70</v>
      </c>
      <c r="C196" s="16" t="s">
        <v>71</v>
      </c>
      <c r="D196" s="16" t="s">
        <v>81</v>
      </c>
      <c r="E196" s="16">
        <v>40</v>
      </c>
      <c r="F196" s="16">
        <v>50</v>
      </c>
      <c r="G196" s="16">
        <f t="shared" si="16"/>
        <v>45</v>
      </c>
      <c r="H196" s="16">
        <v>1.6</v>
      </c>
      <c r="I196" s="16" t="s">
        <v>73</v>
      </c>
      <c r="J196" t="str">
        <f t="shared" si="17"/>
        <v>"Cryolite, Lumpy (Kryalith)":{"MATERIAL CLASS CODE":"100D36",</v>
      </c>
      <c r="K196" t="str">
        <f t="shared" si="18"/>
        <v>"CONVEY LOADING":"30B",</v>
      </c>
      <c r="L196" t="str">
        <f t="shared" si="19"/>
        <v>"COMPONENT GROUP":"2D",</v>
      </c>
      <c r="M196" t="str">
        <f t="shared" si="20"/>
        <v>"WEIGHT (LBS/CF)":100,</v>
      </c>
      <c r="N196" t="str">
        <f t="shared" si="21"/>
        <v>"MATERIAL FACTOR":2.1}</v>
      </c>
      <c r="O196" t="str">
        <f t="shared" si="22"/>
        <v>"Cryolite, Lumpy (Kryalith)":{"MATERIAL CLASS CODE":"100D36","CONVEY LOADING":"30B","COMPONENT GROUP":"2D","WEIGHT (LBS/CF)":100,"MATERIAL FACTOR":2.1},</v>
      </c>
    </row>
    <row r="197" spans="1:15" hidden="1" x14ac:dyDescent="0.25">
      <c r="A197" s="13" t="s">
        <v>446</v>
      </c>
      <c r="B197" s="14" t="s">
        <v>447</v>
      </c>
      <c r="C197" s="14" t="s">
        <v>71</v>
      </c>
      <c r="D197" s="14" t="s">
        <v>87</v>
      </c>
      <c r="E197" s="14">
        <v>25</v>
      </c>
      <c r="F197" s="14">
        <v>31</v>
      </c>
      <c r="G197" s="14">
        <f t="shared" ref="G197:G260" si="23">IFERROR((F197+E197)/2,0)</f>
        <v>28</v>
      </c>
      <c r="H197" s="14">
        <v>0.5</v>
      </c>
      <c r="I197" s="29"/>
      <c r="J197" t="str">
        <f t="shared" si="17"/>
        <v>"Cullet, Fine":{"MATERIAL CLASS CODE":"100C37",</v>
      </c>
      <c r="K197" t="str">
        <f t="shared" si="18"/>
        <v>"CONVEY LOADING":"15",</v>
      </c>
      <c r="L197" t="str">
        <f t="shared" si="19"/>
        <v>"COMPONENT GROUP":"3D",</v>
      </c>
      <c r="M197" t="str">
        <f t="shared" si="20"/>
        <v>"WEIGHT (LBS/CF)":100,</v>
      </c>
      <c r="N197" t="str">
        <f t="shared" si="21"/>
        <v>"MATERIAL FACTOR":2}</v>
      </c>
      <c r="O197" t="str">
        <f t="shared" si="22"/>
        <v>"Cullet, Fine":{"MATERIAL CLASS CODE":"100C37","CONVEY LOADING":"15","COMPONENT GROUP":"3D","WEIGHT (LBS/CF)":100,"MATERIAL FACTOR":2},</v>
      </c>
    </row>
    <row r="198" spans="1:15" hidden="1" x14ac:dyDescent="0.25">
      <c r="A198" s="15" t="s">
        <v>448</v>
      </c>
      <c r="B198" s="16" t="s">
        <v>449</v>
      </c>
      <c r="C198" s="16" t="s">
        <v>71</v>
      </c>
      <c r="D198" s="16" t="s">
        <v>111</v>
      </c>
      <c r="E198" s="16">
        <v>40</v>
      </c>
      <c r="F198" s="16">
        <v>60</v>
      </c>
      <c r="G198" s="16">
        <f t="shared" si="23"/>
        <v>50</v>
      </c>
      <c r="H198" s="16">
        <v>0.8</v>
      </c>
      <c r="I198" s="30"/>
      <c r="J198" t="str">
        <f t="shared" si="17"/>
        <v>"Cullet, Lump":{"MATERIAL CLASS CODE":"100D37",</v>
      </c>
      <c r="K198" t="str">
        <f t="shared" si="18"/>
        <v>"CONVEY LOADING":"15",</v>
      </c>
      <c r="L198" t="str">
        <f t="shared" si="19"/>
        <v>"COMPONENT GROUP":"3D",</v>
      </c>
      <c r="M198" t="str">
        <f t="shared" si="20"/>
        <v>"WEIGHT (LBS/CF)":100,</v>
      </c>
      <c r="N198" t="str">
        <f t="shared" si="21"/>
        <v>"MATERIAL FACTOR":2.5}</v>
      </c>
      <c r="O198" t="str">
        <f t="shared" si="22"/>
        <v>"Cullet, Lump":{"MATERIAL CLASS CODE":"100D37","CONVEY LOADING":"15","COMPONENT GROUP":"3D","WEIGHT (LBS/CF)":100,"MATERIAL FACTOR":2.5},</v>
      </c>
    </row>
    <row r="199" spans="1:15" hidden="1" x14ac:dyDescent="0.25">
      <c r="A199" s="13" t="s">
        <v>450</v>
      </c>
      <c r="B199" s="14" t="s">
        <v>451</v>
      </c>
      <c r="C199" s="14" t="s">
        <v>71</v>
      </c>
      <c r="D199" s="14" t="s">
        <v>111</v>
      </c>
      <c r="E199" s="14">
        <v>43</v>
      </c>
      <c r="F199" s="14">
        <v>68</v>
      </c>
      <c r="G199" s="14">
        <f t="shared" si="23"/>
        <v>55.5</v>
      </c>
      <c r="H199" s="14">
        <v>1.2</v>
      </c>
      <c r="I199" s="29"/>
      <c r="J199" t="str">
        <f t="shared" si="17"/>
        <v>"Culm, (Coal, Anthracite)":{"MATERIAL CLASS CODE":"58B35TY",</v>
      </c>
      <c r="K199" t="str">
        <f t="shared" si="18"/>
        <v>"CONVEY LOADING":"30A",</v>
      </c>
      <c r="L199" t="str">
        <f t="shared" si="19"/>
        <v>"COMPONENT GROUP":"2A,2B",</v>
      </c>
      <c r="M199" t="str">
        <f t="shared" si="20"/>
        <v>"WEIGHT (LBS/CF)":58,</v>
      </c>
      <c r="N199" t="str">
        <f t="shared" si="21"/>
        <v>"MATERIAL FACTOR":1}</v>
      </c>
      <c r="O199" t="str">
        <f t="shared" si="22"/>
        <v>"Culm, (Coal, Anthracite)":{"MATERIAL CLASS CODE":"58B35TY","CONVEY LOADING":"30A","COMPONENT GROUP":"2A,2B","WEIGHT (LBS/CF)":58,"MATERIAL FACTOR":1},</v>
      </c>
    </row>
    <row r="200" spans="1:15" hidden="1" x14ac:dyDescent="0.25">
      <c r="A200" s="15" t="s">
        <v>452</v>
      </c>
      <c r="B200" s="16" t="s">
        <v>453</v>
      </c>
      <c r="C200" s="16" t="s">
        <v>71</v>
      </c>
      <c r="D200" s="16" t="s">
        <v>76</v>
      </c>
      <c r="E200" s="16">
        <v>30</v>
      </c>
      <c r="F200" s="16">
        <v>30</v>
      </c>
      <c r="G200" s="16">
        <f t="shared" si="23"/>
        <v>30</v>
      </c>
      <c r="H200" s="16">
        <v>0.5</v>
      </c>
      <c r="I200" s="30"/>
      <c r="J200" t="str">
        <f t="shared" si="17"/>
        <v>"Cupric Sulphate (Copper Sulfate)":{"MATERIAL CLASS CODE":"85C35S",</v>
      </c>
      <c r="K200" t="str">
        <f t="shared" si="18"/>
        <v>"CONVEY LOADING":"30A",</v>
      </c>
      <c r="L200" t="str">
        <f t="shared" si="19"/>
        <v>"COMPONENT GROUP":"2A,2B,2C",</v>
      </c>
      <c r="M200" t="str">
        <f t="shared" si="20"/>
        <v>"WEIGHT (LBS/CF)":85,</v>
      </c>
      <c r="N200" t="str">
        <f t="shared" si="21"/>
        <v>"MATERIAL FACTOR":1}</v>
      </c>
      <c r="O200" t="str">
        <f t="shared" si="22"/>
        <v>"Cupric Sulphate (Copper Sulfate)":{"MATERIAL CLASS CODE":"85C35S","CONVEY LOADING":"30A","COMPONENT GROUP":"2A,2B,2C","WEIGHT (LBS/CF)":85,"MATERIAL FACTOR":1},</v>
      </c>
    </row>
    <row r="201" spans="1:15" hidden="1" x14ac:dyDescent="0.25">
      <c r="A201" s="13" t="s">
        <v>454</v>
      </c>
      <c r="B201" s="14" t="s">
        <v>455</v>
      </c>
      <c r="C201" s="14" t="s">
        <v>99</v>
      </c>
      <c r="D201" s="14" t="s">
        <v>76</v>
      </c>
      <c r="E201" s="14">
        <v>80</v>
      </c>
      <c r="F201" s="14">
        <v>100</v>
      </c>
      <c r="G201" s="14">
        <f t="shared" si="23"/>
        <v>90</v>
      </c>
      <c r="H201" s="14">
        <v>2</v>
      </c>
      <c r="I201" s="29"/>
      <c r="J201" t="str">
        <f t="shared" si="17"/>
        <v>"Diatomaceous Earth (Filter Aid, Precoat)":{"MATERIAL CLASS CODE":"14A36Y",</v>
      </c>
      <c r="K201" t="str">
        <f t="shared" si="18"/>
        <v>"CONVEY LOADING":"30B",</v>
      </c>
      <c r="L201" t="str">
        <f t="shared" si="19"/>
        <v>"COMPONENT GROUP":"3D",</v>
      </c>
      <c r="M201" t="str">
        <f t="shared" si="20"/>
        <v>"WEIGHT (LBS/CF)":14,</v>
      </c>
      <c r="N201" t="str">
        <f t="shared" si="21"/>
        <v>"MATERIAL FACTOR":1.6}</v>
      </c>
      <c r="O201" t="str">
        <f t="shared" si="22"/>
        <v>"Diatomaceous Earth (Filter Aid, Precoat)":{"MATERIAL CLASS CODE":"14A36Y","CONVEY LOADING":"30B","COMPONENT GROUP":"3D","WEIGHT (LBS/CF)":14,"MATERIAL FACTOR":1.6},</v>
      </c>
    </row>
    <row r="202" spans="1:15" hidden="1" x14ac:dyDescent="0.25">
      <c r="A202" s="15" t="s">
        <v>456</v>
      </c>
      <c r="B202" s="16" t="s">
        <v>457</v>
      </c>
      <c r="C202" s="16" t="s">
        <v>99</v>
      </c>
      <c r="D202" s="16" t="s">
        <v>76</v>
      </c>
      <c r="E202" s="16">
        <v>90</v>
      </c>
      <c r="F202" s="16">
        <v>100</v>
      </c>
      <c r="G202" s="16">
        <f t="shared" si="23"/>
        <v>95</v>
      </c>
      <c r="H202" s="16">
        <v>2</v>
      </c>
      <c r="I202" s="30"/>
      <c r="J202" t="str">
        <f t="shared" si="17"/>
        <v>"Dicalcium Phosphate":{"MATERIAL CLASS CODE":"45A35",</v>
      </c>
      <c r="K202" t="str">
        <f t="shared" si="18"/>
        <v>"CONVEY LOADING":"30A",</v>
      </c>
      <c r="L202" t="str">
        <f t="shared" si="19"/>
        <v>"COMPONENT GROUP":"1A,1B,1C",</v>
      </c>
      <c r="M202" t="str">
        <f t="shared" si="20"/>
        <v>"WEIGHT (LBS/CF)":45,</v>
      </c>
      <c r="N202" t="str">
        <f t="shared" si="21"/>
        <v>"MATERIAL FACTOR":1.6}</v>
      </c>
      <c r="O202" t="str">
        <f t="shared" si="22"/>
        <v>"Dicalcium Phosphate":{"MATERIAL CLASS CODE":"45A35","CONVEY LOADING":"30A","COMPONENT GROUP":"1A,1B,1C","WEIGHT (LBS/CF)":45,"MATERIAL FACTOR":1.6},</v>
      </c>
    </row>
    <row r="203" spans="1:15" hidden="1" x14ac:dyDescent="0.25">
      <c r="A203" s="13" t="s">
        <v>458</v>
      </c>
      <c r="B203" s="14" t="s">
        <v>459</v>
      </c>
      <c r="C203" s="14" t="s">
        <v>99</v>
      </c>
      <c r="D203" s="14" t="s">
        <v>76</v>
      </c>
      <c r="E203" s="14">
        <v>76</v>
      </c>
      <c r="F203" s="14">
        <v>76</v>
      </c>
      <c r="G203" s="14">
        <f t="shared" si="23"/>
        <v>76</v>
      </c>
      <c r="H203" s="14">
        <v>1.2</v>
      </c>
      <c r="I203" s="29"/>
      <c r="J203" t="str">
        <f t="shared" si="17"/>
        <v>"Disodium Phosphate":{"MATERIAL CLASS CODE":"28A35",</v>
      </c>
      <c r="K203" t="str">
        <f t="shared" si="18"/>
        <v>"CONVEY LOADING":"30A",</v>
      </c>
      <c r="L203" t="str">
        <f t="shared" si="19"/>
        <v>"COMPONENT GROUP":"3D",</v>
      </c>
      <c r="M203" t="str">
        <f t="shared" si="20"/>
        <v>"WEIGHT (LBS/CF)":28,</v>
      </c>
      <c r="N203" t="str">
        <f t="shared" si="21"/>
        <v>"MATERIAL FACTOR":0.5}</v>
      </c>
      <c r="O203" t="str">
        <f t="shared" si="22"/>
        <v>"Disodium Phosphate":{"MATERIAL CLASS CODE":"28A35","CONVEY LOADING":"30A","COMPONENT GROUP":"3D","WEIGHT (LBS/CF)":28,"MATERIAL FACTOR":0.5},</v>
      </c>
    </row>
    <row r="204" spans="1:15" hidden="1" x14ac:dyDescent="0.25">
      <c r="A204" s="15" t="s">
        <v>460</v>
      </c>
      <c r="B204" s="16" t="s">
        <v>461</v>
      </c>
      <c r="C204" s="16" t="s">
        <v>71</v>
      </c>
      <c r="D204" s="16" t="s">
        <v>81</v>
      </c>
      <c r="E204" s="16">
        <v>63</v>
      </c>
      <c r="F204" s="16">
        <v>70</v>
      </c>
      <c r="G204" s="16">
        <f t="shared" si="23"/>
        <v>66.5</v>
      </c>
      <c r="H204" s="16">
        <v>0.8</v>
      </c>
      <c r="I204" s="16" t="s">
        <v>73</v>
      </c>
      <c r="J204" t="str">
        <f t="shared" ref="J204:J267" si="24">CHAR(34)&amp;A198&amp;CHAR(34)&amp;":{"&amp;CHAR(34)&amp;$B$4&amp;CHAR(34)&amp;":"&amp;CHAR(34)&amp;B198&amp;CHAR(34)&amp;","</f>
        <v>"Distiller’s Grain, Spent Wet":{"MATERIAL CLASS CODE":"50C45V",</v>
      </c>
      <c r="K204" t="str">
        <f t="shared" ref="K204:K267" si="25">CHAR(34)&amp;$C$4&amp;CHAR(34)&amp;":"&amp;CHAR(34)&amp;C198&amp;CHAR(34)&amp;","</f>
        <v>"CONVEY LOADING":"30A",</v>
      </c>
      <c r="L204" t="str">
        <f t="shared" ref="L204:L267" si="26">CHAR(34)&amp;$D$4&amp;CHAR(34)&amp;":"&amp;CHAR(34)&amp;D198&amp;CHAR(34)&amp;","</f>
        <v>"COMPONENT GROUP":"3A,3B",</v>
      </c>
      <c r="M204" t="str">
        <f t="shared" ref="M204:M267" si="27">CHAR(34)&amp;$E$1&amp;CHAR(34)&amp;":"&amp;G198&amp;","</f>
        <v>"WEIGHT (LBS/CF)":50,</v>
      </c>
      <c r="N204" t="str">
        <f t="shared" ref="N204:N267" si="28">CHAR(34)&amp;$H$4&amp;CHAR(34)&amp;":"&amp;H198&amp;"}"</f>
        <v>"MATERIAL FACTOR":0.8}</v>
      </c>
      <c r="O204" t="str">
        <f t="shared" ref="O204:O267" si="29">J204&amp;K204&amp;L204&amp;M204&amp;N204&amp;","</f>
        <v>"Distiller’s Grain, Spent Wet":{"MATERIAL CLASS CODE":"50C45V","CONVEY LOADING":"30A","COMPONENT GROUP":"3A,3B","WEIGHT (LBS/CF)":50,"MATERIAL FACTOR":0.8},</v>
      </c>
    </row>
    <row r="205" spans="1:15" hidden="1" x14ac:dyDescent="0.25">
      <c r="A205" s="13" t="s">
        <v>462</v>
      </c>
      <c r="B205" s="14" t="s">
        <v>463</v>
      </c>
      <c r="C205" s="14" t="s">
        <v>71</v>
      </c>
      <c r="D205" s="14" t="s">
        <v>160</v>
      </c>
      <c r="E205" s="14">
        <v>16</v>
      </c>
      <c r="F205" s="14">
        <v>16</v>
      </c>
      <c r="G205" s="14">
        <f t="shared" si="23"/>
        <v>16</v>
      </c>
      <c r="H205" s="14">
        <v>1</v>
      </c>
      <c r="I205" s="29"/>
      <c r="J205" t="str">
        <f t="shared" si="24"/>
        <v>"Distiller’s Grain, Spent Wet w/Syrup":{"MATERIAL CLASS CODE":"56C45VXOH",</v>
      </c>
      <c r="K205" t="str">
        <f t="shared" si="25"/>
        <v>"CONVEY LOADING":"30A",</v>
      </c>
      <c r="L205" t="str">
        <f t="shared" si="26"/>
        <v>"COMPONENT GROUP":"3A,3B",</v>
      </c>
      <c r="M205" t="str">
        <f t="shared" si="27"/>
        <v>"WEIGHT (LBS/CF)":55.5,</v>
      </c>
      <c r="N205" t="str">
        <f t="shared" si="28"/>
        <v>"MATERIAL FACTOR":1.2}</v>
      </c>
      <c r="O205" t="str">
        <f t="shared" si="29"/>
        <v>"Distiller’s Grain, Spent Wet w/Syrup":{"MATERIAL CLASS CODE":"56C45VXOH","CONVEY LOADING":"30A","COMPONENT GROUP":"3A,3B","WEIGHT (LBS/CF)":55.5,"MATERIAL FACTOR":1.2},</v>
      </c>
    </row>
    <row r="206" spans="1:15" hidden="1" x14ac:dyDescent="0.25">
      <c r="A206" s="15" t="s">
        <v>464</v>
      </c>
      <c r="B206" s="16" t="s">
        <v>465</v>
      </c>
      <c r="C206" s="16" t="s">
        <v>71</v>
      </c>
      <c r="D206" s="16" t="s">
        <v>81</v>
      </c>
      <c r="E206" s="16">
        <v>40</v>
      </c>
      <c r="F206" s="16">
        <v>50</v>
      </c>
      <c r="G206" s="16">
        <f t="shared" si="23"/>
        <v>45</v>
      </c>
      <c r="H206" s="16">
        <v>0.8</v>
      </c>
      <c r="I206" s="16" t="s">
        <v>73</v>
      </c>
      <c r="J206" t="str">
        <f t="shared" si="24"/>
        <v>"Distiller’s Grain-Spent Dry":{"MATERIAL CLASS CODE":"30B35",</v>
      </c>
      <c r="K206" t="str">
        <f t="shared" si="25"/>
        <v>"CONVEY LOADING":"30A",</v>
      </c>
      <c r="L206" t="str">
        <f t="shared" si="26"/>
        <v>"COMPONENT GROUP":"2D",</v>
      </c>
      <c r="M206" t="str">
        <f t="shared" si="27"/>
        <v>"WEIGHT (LBS/CF)":30,</v>
      </c>
      <c r="N206" t="str">
        <f t="shared" si="28"/>
        <v>"MATERIAL FACTOR":0.5}</v>
      </c>
      <c r="O206" t="str">
        <f t="shared" si="29"/>
        <v>"Distiller’s Grain-Spent Dry":{"MATERIAL CLASS CODE":"30B35","CONVEY LOADING":"30A","COMPONENT GROUP":"2D","WEIGHT (LBS/CF)":30,"MATERIAL FACTOR":0.5},</v>
      </c>
    </row>
    <row r="207" spans="1:15" hidden="1" x14ac:dyDescent="0.25">
      <c r="A207" s="13" t="s">
        <v>466</v>
      </c>
      <c r="B207" s="14" t="s">
        <v>467</v>
      </c>
      <c r="C207" s="14">
        <v>15</v>
      </c>
      <c r="D207" s="14" t="s">
        <v>76</v>
      </c>
      <c r="E207" s="14">
        <v>65</v>
      </c>
      <c r="F207" s="14">
        <v>80</v>
      </c>
      <c r="G207" s="14">
        <f t="shared" si="23"/>
        <v>72.5</v>
      </c>
      <c r="H207" s="14">
        <v>2</v>
      </c>
      <c r="I207" s="29"/>
      <c r="J207" t="str">
        <f t="shared" si="24"/>
        <v>"Dolomite, Crushed":{"MATERIAL CLASS CODE":"90C36",</v>
      </c>
      <c r="K207" t="str">
        <f t="shared" si="25"/>
        <v>"CONVEY LOADING":"30B",</v>
      </c>
      <c r="L207" t="str">
        <f t="shared" si="26"/>
        <v>"COMPONENT GROUP":"2D",</v>
      </c>
      <c r="M207" t="str">
        <f t="shared" si="27"/>
        <v>"WEIGHT (LBS/CF)":90,</v>
      </c>
      <c r="N207" t="str">
        <f t="shared" si="28"/>
        <v>"MATERIAL FACTOR":2}</v>
      </c>
      <c r="O207" t="str">
        <f t="shared" si="29"/>
        <v>"Dolomite, Crushed":{"MATERIAL CLASS CODE":"90C36","CONVEY LOADING":"30B","COMPONENT GROUP":"2D","WEIGHT (LBS/CF)":90,"MATERIAL FACTOR":2},</v>
      </c>
    </row>
    <row r="208" spans="1:15" hidden="1" x14ac:dyDescent="0.25">
      <c r="A208" s="15" t="s">
        <v>468</v>
      </c>
      <c r="B208" s="16" t="s">
        <v>469</v>
      </c>
      <c r="C208" s="16">
        <v>15</v>
      </c>
      <c r="D208" s="16" t="s">
        <v>76</v>
      </c>
      <c r="E208" s="16">
        <v>90</v>
      </c>
      <c r="F208" s="16">
        <v>100</v>
      </c>
      <c r="G208" s="16">
        <f t="shared" si="23"/>
        <v>95</v>
      </c>
      <c r="H208" s="16">
        <v>2</v>
      </c>
      <c r="I208" s="30"/>
      <c r="J208" t="str">
        <f t="shared" si="24"/>
        <v>"Dolomite, Lumpy":{"MATERIAL CLASS CODE":"95D36",</v>
      </c>
      <c r="K208" t="str">
        <f t="shared" si="25"/>
        <v>"CONVEY LOADING":"30B",</v>
      </c>
      <c r="L208" t="str">
        <f t="shared" si="26"/>
        <v>"COMPONENT GROUP":"2D",</v>
      </c>
      <c r="M208" t="str">
        <f t="shared" si="27"/>
        <v>"WEIGHT (LBS/CF)":95,</v>
      </c>
      <c r="N208" t="str">
        <f t="shared" si="28"/>
        <v>"MATERIAL FACTOR":2}</v>
      </c>
      <c r="O208" t="str">
        <f t="shared" si="29"/>
        <v>"Dolomite, Lumpy":{"MATERIAL CLASS CODE":"95D36","CONVEY LOADING":"30B","COMPONENT GROUP":"2D","WEIGHT (LBS/CF)":95,"MATERIAL FACTOR":2},</v>
      </c>
    </row>
    <row r="209" spans="1:15" hidden="1" x14ac:dyDescent="0.25">
      <c r="A209" s="13" t="s">
        <v>470</v>
      </c>
      <c r="B209" s="14" t="s">
        <v>471</v>
      </c>
      <c r="C209" s="14" t="s">
        <v>99</v>
      </c>
      <c r="D209" s="14" t="s">
        <v>76</v>
      </c>
      <c r="E209" s="14">
        <v>100</v>
      </c>
      <c r="F209" s="14">
        <v>100</v>
      </c>
      <c r="G209" s="14">
        <f t="shared" si="23"/>
        <v>100</v>
      </c>
      <c r="H209" s="14">
        <v>2</v>
      </c>
      <c r="I209" s="29"/>
      <c r="J209" t="str">
        <f t="shared" si="24"/>
        <v>"Earth, Loam, Dry, Loose":{"MATERIAL CLASS CODE":"76C36",</v>
      </c>
      <c r="K209" t="str">
        <f t="shared" si="25"/>
        <v>"CONVEY LOADING":"30B",</v>
      </c>
      <c r="L209" t="str">
        <f t="shared" si="26"/>
        <v>"COMPONENT GROUP":"2D",</v>
      </c>
      <c r="M209" t="str">
        <f t="shared" si="27"/>
        <v>"WEIGHT (LBS/CF)":76,</v>
      </c>
      <c r="N209" t="str">
        <f t="shared" si="28"/>
        <v>"MATERIAL FACTOR":1.2}</v>
      </c>
      <c r="O209" t="str">
        <f t="shared" si="29"/>
        <v>"Earth, Loam, Dry, Loose":{"MATERIAL CLASS CODE":"76C36","CONVEY LOADING":"30B","COMPONENT GROUP":"2D","WEIGHT (LBS/CF)":76,"MATERIAL FACTOR":1.2},</v>
      </c>
    </row>
    <row r="210" spans="1:15" hidden="1" x14ac:dyDescent="0.25">
      <c r="A210" s="15" t="s">
        <v>472</v>
      </c>
      <c r="B210" s="16" t="s">
        <v>473</v>
      </c>
      <c r="C210" s="16">
        <v>15</v>
      </c>
      <c r="D210" s="16" t="s">
        <v>76</v>
      </c>
      <c r="E210" s="16">
        <v>75</v>
      </c>
      <c r="F210" s="16">
        <v>80</v>
      </c>
      <c r="G210" s="16">
        <f t="shared" si="23"/>
        <v>77.5</v>
      </c>
      <c r="H210" s="16">
        <v>2</v>
      </c>
      <c r="I210" s="30"/>
      <c r="J210" t="str">
        <f t="shared" si="24"/>
        <v>"Ebonite, Crushed":{"MATERIAL CLASS CODE":"67C35",</v>
      </c>
      <c r="K210" t="str">
        <f t="shared" si="25"/>
        <v>"CONVEY LOADING":"30A",</v>
      </c>
      <c r="L210" t="str">
        <f t="shared" si="26"/>
        <v>"COMPONENT GROUP":"1A,1B,1C",</v>
      </c>
      <c r="M210" t="str">
        <f t="shared" si="27"/>
        <v>"WEIGHT (LBS/CF)":66.5,</v>
      </c>
      <c r="N210" t="str">
        <f t="shared" si="28"/>
        <v>"MATERIAL FACTOR":0.8}</v>
      </c>
      <c r="O210" t="str">
        <f t="shared" si="29"/>
        <v>"Ebonite, Crushed":{"MATERIAL CLASS CODE":"67C35","CONVEY LOADING":"30A","COMPONENT GROUP":"1A,1B,1C","WEIGHT (LBS/CF)":66.5,"MATERIAL FACTOR":0.8},</v>
      </c>
    </row>
    <row r="211" spans="1:15" hidden="1" x14ac:dyDescent="0.25">
      <c r="A211" s="13" t="s">
        <v>474</v>
      </c>
      <c r="B211" s="14" t="s">
        <v>475</v>
      </c>
      <c r="C211" s="14" t="s">
        <v>99</v>
      </c>
      <c r="D211" s="14" t="s">
        <v>81</v>
      </c>
      <c r="E211" s="14">
        <v>120</v>
      </c>
      <c r="F211" s="14">
        <v>135</v>
      </c>
      <c r="G211" s="14">
        <f t="shared" si="23"/>
        <v>127.5</v>
      </c>
      <c r="H211" s="14">
        <v>2</v>
      </c>
      <c r="I211" s="14" t="s">
        <v>73</v>
      </c>
      <c r="J211" t="str">
        <f t="shared" si="24"/>
        <v>"Egg Powder":{"MATERIAL CLASS CODE":"16A35MPY",</v>
      </c>
      <c r="K211" t="str">
        <f t="shared" si="25"/>
        <v>"CONVEY LOADING":"30A",</v>
      </c>
      <c r="L211" t="str">
        <f t="shared" si="26"/>
        <v>"COMPONENT GROUP":"1B",</v>
      </c>
      <c r="M211" t="str">
        <f t="shared" si="27"/>
        <v>"WEIGHT (LBS/CF)":16,</v>
      </c>
      <c r="N211" t="str">
        <f t="shared" si="28"/>
        <v>"MATERIAL FACTOR":1}</v>
      </c>
      <c r="O211" t="str">
        <f t="shared" si="29"/>
        <v>"Egg Powder":{"MATERIAL CLASS CODE":"16A35MPY","CONVEY LOADING":"30A","COMPONENT GROUP":"1B","WEIGHT (LBS/CF)":16,"MATERIAL FACTOR":1},</v>
      </c>
    </row>
    <row r="212" spans="1:15" hidden="1" x14ac:dyDescent="0.25">
      <c r="A212" s="15" t="s">
        <v>476</v>
      </c>
      <c r="B212" s="16" t="s">
        <v>477</v>
      </c>
      <c r="C212" s="16" t="s">
        <v>99</v>
      </c>
      <c r="D212" s="16" t="s">
        <v>81</v>
      </c>
      <c r="E212" s="16">
        <v>105</v>
      </c>
      <c r="F212" s="16">
        <v>120</v>
      </c>
      <c r="G212" s="16">
        <f t="shared" si="23"/>
        <v>112.5</v>
      </c>
      <c r="H212" s="16">
        <v>2</v>
      </c>
      <c r="I212" s="16" t="s">
        <v>73</v>
      </c>
      <c r="J212" t="str">
        <f t="shared" si="24"/>
        <v>"Epsom Salts (Magnesium Sulfate)":{"MATERIAL CLASS CODE":"45A35U",</v>
      </c>
      <c r="K212" t="str">
        <f t="shared" si="25"/>
        <v>"CONVEY LOADING":"30A",</v>
      </c>
      <c r="L212" t="str">
        <f t="shared" si="26"/>
        <v>"COMPONENT GROUP":"1A,1B,1C",</v>
      </c>
      <c r="M212" t="str">
        <f t="shared" si="27"/>
        <v>"WEIGHT (LBS/CF)":45,</v>
      </c>
      <c r="N212" t="str">
        <f t="shared" si="28"/>
        <v>"MATERIAL FACTOR":0.8}</v>
      </c>
      <c r="O212" t="str">
        <f t="shared" si="29"/>
        <v>"Epsom Salts (Magnesium Sulfate)":{"MATERIAL CLASS CODE":"45A35U","CONVEY LOADING":"30A","COMPONENT GROUP":"1A,1B,1C","WEIGHT (LBS/CF)":45,"MATERIAL FACTOR":0.8},</v>
      </c>
    </row>
    <row r="213" spans="1:15" hidden="1" x14ac:dyDescent="0.25">
      <c r="A213" s="13" t="s">
        <v>478</v>
      </c>
      <c r="B213" s="14" t="s">
        <v>371</v>
      </c>
      <c r="C213" s="14" t="s">
        <v>71</v>
      </c>
      <c r="D213" s="14" t="s">
        <v>76</v>
      </c>
      <c r="E213" s="14">
        <v>50</v>
      </c>
      <c r="F213" s="14">
        <v>75</v>
      </c>
      <c r="G213" s="14">
        <f t="shared" si="23"/>
        <v>62.5</v>
      </c>
      <c r="H213" s="14">
        <v>1</v>
      </c>
      <c r="I213" s="29"/>
      <c r="J213" t="str">
        <f t="shared" si="24"/>
        <v>"Feldspar, Ground":{"MATERIAL CLASS CODE":"73A37",</v>
      </c>
      <c r="K213" t="str">
        <f t="shared" si="25"/>
        <v>"CONVEY LOADING":"15",</v>
      </c>
      <c r="L213" t="str">
        <f t="shared" si="26"/>
        <v>"COMPONENT GROUP":"2D",</v>
      </c>
      <c r="M213" t="str">
        <f t="shared" si="27"/>
        <v>"WEIGHT (LBS/CF)":72.5,</v>
      </c>
      <c r="N213" t="str">
        <f t="shared" si="28"/>
        <v>"MATERIAL FACTOR":2}</v>
      </c>
      <c r="O213" t="str">
        <f t="shared" si="29"/>
        <v>"Feldspar, Ground":{"MATERIAL CLASS CODE":"73A37","CONVEY LOADING":"15","COMPONENT GROUP":"2D","WEIGHT (LBS/CF)":72.5,"MATERIAL FACTOR":2},</v>
      </c>
    </row>
    <row r="214" spans="1:15" hidden="1" x14ac:dyDescent="0.25">
      <c r="A214" s="15" t="s">
        <v>479</v>
      </c>
      <c r="B214" s="16" t="s">
        <v>282</v>
      </c>
      <c r="C214" s="16" t="s">
        <v>99</v>
      </c>
      <c r="D214" s="16" t="s">
        <v>87</v>
      </c>
      <c r="E214" s="16">
        <v>11</v>
      </c>
      <c r="F214" s="16">
        <v>17</v>
      </c>
      <c r="G214" s="16">
        <f t="shared" si="23"/>
        <v>14</v>
      </c>
      <c r="H214" s="16">
        <v>1.6</v>
      </c>
      <c r="I214" s="16" t="s">
        <v>116</v>
      </c>
      <c r="J214" t="str">
        <f t="shared" si="24"/>
        <v>"Feldspar, Lumps":{"MATERIAL CLASS CODE":"95D37",</v>
      </c>
      <c r="K214" t="str">
        <f t="shared" si="25"/>
        <v>"CONVEY LOADING":"15",</v>
      </c>
      <c r="L214" t="str">
        <f t="shared" si="26"/>
        <v>"COMPONENT GROUP":"2D",</v>
      </c>
      <c r="M214" t="str">
        <f t="shared" si="27"/>
        <v>"WEIGHT (LBS/CF)":95,</v>
      </c>
      <c r="N214" t="str">
        <f t="shared" si="28"/>
        <v>"MATERIAL FACTOR":2}</v>
      </c>
      <c r="O214" t="str">
        <f t="shared" si="29"/>
        <v>"Feldspar, Lumps":{"MATERIAL CLASS CODE":"95D37","CONVEY LOADING":"15","COMPONENT GROUP":"2D","WEIGHT (LBS/CF)":95,"MATERIAL FACTOR":2},</v>
      </c>
    </row>
    <row r="215" spans="1:15" hidden="1" x14ac:dyDescent="0.25">
      <c r="A215" s="13" t="s">
        <v>480</v>
      </c>
      <c r="B215" s="14" t="s">
        <v>481</v>
      </c>
      <c r="C215" s="14" t="s">
        <v>71</v>
      </c>
      <c r="D215" s="14" t="s">
        <v>81</v>
      </c>
      <c r="E215" s="14">
        <v>35</v>
      </c>
      <c r="F215" s="14">
        <v>40</v>
      </c>
      <c r="G215" s="14">
        <f t="shared" si="23"/>
        <v>37.5</v>
      </c>
      <c r="H215" s="14">
        <v>1</v>
      </c>
      <c r="I215" s="14" t="s">
        <v>73</v>
      </c>
      <c r="J215" t="str">
        <f t="shared" si="24"/>
        <v>"Feldspar, Powder":{"MATERIAL CLASS CODE":"100A36",</v>
      </c>
      <c r="K215" t="str">
        <f t="shared" si="25"/>
        <v>"CONVEY LOADING":"30B",</v>
      </c>
      <c r="L215" t="str">
        <f t="shared" si="26"/>
        <v>"COMPONENT GROUP":"2D",</v>
      </c>
      <c r="M215" t="str">
        <f t="shared" si="27"/>
        <v>"WEIGHT (LBS/CF)":100,</v>
      </c>
      <c r="N215" t="str">
        <f t="shared" si="28"/>
        <v>"MATERIAL FACTOR":2}</v>
      </c>
      <c r="O215" t="str">
        <f t="shared" si="29"/>
        <v>"Feldspar, Powder":{"MATERIAL CLASS CODE":"100A36","CONVEY LOADING":"30B","COMPONENT GROUP":"2D","WEIGHT (LBS/CF)":100,"MATERIAL FACTOR":2},</v>
      </c>
    </row>
    <row r="216" spans="1:15" hidden="1" x14ac:dyDescent="0.25">
      <c r="A216" s="15" t="s">
        <v>482</v>
      </c>
      <c r="B216" s="16" t="s">
        <v>483</v>
      </c>
      <c r="C216" s="16" t="s">
        <v>71</v>
      </c>
      <c r="D216" s="16" t="s">
        <v>155</v>
      </c>
      <c r="E216" s="16">
        <v>40</v>
      </c>
      <c r="F216" s="16">
        <v>50</v>
      </c>
      <c r="G216" s="16">
        <f t="shared" si="23"/>
        <v>45</v>
      </c>
      <c r="H216" s="16">
        <v>1.5</v>
      </c>
      <c r="I216" s="30"/>
      <c r="J216" t="str">
        <f t="shared" si="24"/>
        <v>"Felspar, Screenings":{"MATERIAL CLASS CODE":"78C37",</v>
      </c>
      <c r="K216" t="str">
        <f t="shared" si="25"/>
        <v>"CONVEY LOADING":"15",</v>
      </c>
      <c r="L216" t="str">
        <f t="shared" si="26"/>
        <v>"COMPONENT GROUP":"2D",</v>
      </c>
      <c r="M216" t="str">
        <f t="shared" si="27"/>
        <v>"WEIGHT (LBS/CF)":77.5,</v>
      </c>
      <c r="N216" t="str">
        <f t="shared" si="28"/>
        <v>"MATERIAL FACTOR":2}</v>
      </c>
      <c r="O216" t="str">
        <f t="shared" si="29"/>
        <v>"Felspar, Screenings":{"MATERIAL CLASS CODE":"78C37","CONVEY LOADING":"15","COMPONENT GROUP":"2D","WEIGHT (LBS/CF)":77.5,"MATERIAL FACTOR":2},</v>
      </c>
    </row>
    <row r="217" spans="1:15" hidden="1" x14ac:dyDescent="0.25">
      <c r="A217" s="13" t="s">
        <v>484</v>
      </c>
      <c r="B217" s="14" t="s">
        <v>485</v>
      </c>
      <c r="C217" s="14" t="s">
        <v>71</v>
      </c>
      <c r="D217" s="14" t="s">
        <v>81</v>
      </c>
      <c r="E217" s="14">
        <v>43</v>
      </c>
      <c r="F217" s="14">
        <v>45</v>
      </c>
      <c r="G217" s="14">
        <f t="shared" si="23"/>
        <v>44</v>
      </c>
      <c r="H217" s="14">
        <v>0.4</v>
      </c>
      <c r="I217" s="14" t="s">
        <v>73</v>
      </c>
      <c r="J217" t="str">
        <f t="shared" si="24"/>
        <v>"Ferrous Sulfide, 1⁄2” (Iron Sulfide, Pyrites)":{"MATERIAL CLASS CODE":"128C26",</v>
      </c>
      <c r="K217" t="str">
        <f t="shared" si="25"/>
        <v>"CONVEY LOADING":"30B",</v>
      </c>
      <c r="L217" t="str">
        <f t="shared" si="26"/>
        <v>"COMPONENT GROUP":"1A,1B,1C",</v>
      </c>
      <c r="M217" t="str">
        <f t="shared" si="27"/>
        <v>"WEIGHT (LBS/CF)":127.5,</v>
      </c>
      <c r="N217" t="str">
        <f t="shared" si="28"/>
        <v>"MATERIAL FACTOR":2}</v>
      </c>
      <c r="O217" t="str">
        <f t="shared" si="29"/>
        <v>"Ferrous Sulfide, 1⁄2” (Iron Sulfide, Pyrites)":{"MATERIAL CLASS CODE":"128C26","CONVEY LOADING":"30B","COMPONENT GROUP":"1A,1B,1C","WEIGHT (LBS/CF)":127.5,"MATERIAL FACTOR":2},</v>
      </c>
    </row>
    <row r="218" spans="1:15" hidden="1" x14ac:dyDescent="0.25">
      <c r="A218" s="15" t="s">
        <v>486</v>
      </c>
      <c r="B218" s="16" t="s">
        <v>487</v>
      </c>
      <c r="C218" s="16" t="s">
        <v>71</v>
      </c>
      <c r="D218" s="16" t="s">
        <v>90</v>
      </c>
      <c r="E218" s="16">
        <v>48</v>
      </c>
      <c r="F218" s="16">
        <v>50</v>
      </c>
      <c r="G218" s="16">
        <f t="shared" si="23"/>
        <v>49</v>
      </c>
      <c r="H218" s="16">
        <v>0.7</v>
      </c>
      <c r="I218" s="30"/>
      <c r="J218" t="str">
        <f t="shared" si="24"/>
        <v>"Ferrous Sulfide, 100M (Iron Sulfide, Pyrites)":{"MATERIAL CLASS CODE":"113A36",</v>
      </c>
      <c r="K218" t="str">
        <f t="shared" si="25"/>
        <v>"CONVEY LOADING":"30B",</v>
      </c>
      <c r="L218" t="str">
        <f t="shared" si="26"/>
        <v>"COMPONENT GROUP":"1A,1B,1C",</v>
      </c>
      <c r="M218" t="str">
        <f t="shared" si="27"/>
        <v>"WEIGHT (LBS/CF)":112.5,</v>
      </c>
      <c r="N218" t="str">
        <f t="shared" si="28"/>
        <v>"MATERIAL FACTOR":2}</v>
      </c>
      <c r="O218" t="str">
        <f t="shared" si="29"/>
        <v>"Ferrous Sulfide, 100M (Iron Sulfide, Pyrites)":{"MATERIAL CLASS CODE":"113A36","CONVEY LOADING":"30B","COMPONENT GROUP":"1A,1B,1C","WEIGHT (LBS/CF)":112.5,"MATERIAL FACTOR":2},</v>
      </c>
    </row>
    <row r="219" spans="1:15" hidden="1" x14ac:dyDescent="0.25">
      <c r="A219" s="13" t="s">
        <v>488</v>
      </c>
      <c r="B219" s="14" t="s">
        <v>489</v>
      </c>
      <c r="C219" s="14" t="s">
        <v>71</v>
      </c>
      <c r="D219" s="14" t="s">
        <v>207</v>
      </c>
      <c r="E219" s="14">
        <v>25</v>
      </c>
      <c r="F219" s="14">
        <v>45</v>
      </c>
      <c r="G219" s="14">
        <f t="shared" si="23"/>
        <v>35</v>
      </c>
      <c r="H219" s="14">
        <v>0.4</v>
      </c>
      <c r="I219" s="14" t="s">
        <v>73</v>
      </c>
      <c r="J219" t="str">
        <f t="shared" si="24"/>
        <v>"Ferrous Sulphate (Iron Sulphate, Copperas)":{"MATERIAL CLASS CODE":"63C35U",</v>
      </c>
      <c r="K219" t="str">
        <f t="shared" si="25"/>
        <v>"CONVEY LOADING":"30A",</v>
      </c>
      <c r="L219" t="str">
        <f t="shared" si="26"/>
        <v>"COMPONENT GROUP":"2D",</v>
      </c>
      <c r="M219" t="str">
        <f t="shared" si="27"/>
        <v>"WEIGHT (LBS/CF)":62.5,</v>
      </c>
      <c r="N219" t="str">
        <f t="shared" si="28"/>
        <v>"MATERIAL FACTOR":1}</v>
      </c>
      <c r="O219" t="str">
        <f t="shared" si="29"/>
        <v>"Ferrous Sulphate (Iron Sulphate, Copperas)":{"MATERIAL CLASS CODE":"63C35U","CONVEY LOADING":"30A","COMPONENT GROUP":"2D","WEIGHT (LBS/CF)":62.5,"MATERIAL FACTOR":1},</v>
      </c>
    </row>
    <row r="220" spans="1:15" ht="15.75" hidden="1" thickBot="1" x14ac:dyDescent="0.3">
      <c r="A220" s="19" t="s">
        <v>490</v>
      </c>
      <c r="B220" s="20" t="s">
        <v>491</v>
      </c>
      <c r="C220" s="20" t="s">
        <v>71</v>
      </c>
      <c r="D220" s="20" t="s">
        <v>160</v>
      </c>
      <c r="E220" s="20">
        <v>33</v>
      </c>
      <c r="F220" s="20">
        <v>40</v>
      </c>
      <c r="G220" s="20">
        <f t="shared" si="23"/>
        <v>36.5</v>
      </c>
      <c r="H220" s="20">
        <v>0.6</v>
      </c>
      <c r="I220" s="20" t="s">
        <v>116</v>
      </c>
      <c r="J220" t="str">
        <f t="shared" si="24"/>
        <v>"Filter-Aid (Diatomaceous Earth, Precoat)":{"MATERIAL CLASS CODE":"14A36Y",</v>
      </c>
      <c r="K220" t="str">
        <f t="shared" si="25"/>
        <v>"CONVEY LOADING":"30B",</v>
      </c>
      <c r="L220" t="str">
        <f t="shared" si="26"/>
        <v>"COMPONENT GROUP":"3D",</v>
      </c>
      <c r="M220" t="str">
        <f t="shared" si="27"/>
        <v>"WEIGHT (LBS/CF)":14,</v>
      </c>
      <c r="N220" t="str">
        <f t="shared" si="28"/>
        <v>"MATERIAL FACTOR":1.6}</v>
      </c>
      <c r="O220" t="str">
        <f t="shared" si="29"/>
        <v>"Filter-Aid (Diatomaceous Earth, Precoat)":{"MATERIAL CLASS CODE":"14A36Y","CONVEY LOADING":"30B","COMPONENT GROUP":"3D","WEIGHT (LBS/CF)":14,"MATERIAL FACTOR":1.6},</v>
      </c>
    </row>
    <row r="221" spans="1:15" hidden="1" x14ac:dyDescent="0.25">
      <c r="A221" s="13" t="s">
        <v>492</v>
      </c>
      <c r="B221" s="14" t="s">
        <v>493</v>
      </c>
      <c r="C221" s="14" t="s">
        <v>99</v>
      </c>
      <c r="D221" s="14" t="s">
        <v>87</v>
      </c>
      <c r="E221" s="14">
        <v>45</v>
      </c>
      <c r="F221" s="14">
        <v>60</v>
      </c>
      <c r="G221" s="14">
        <f t="shared" si="23"/>
        <v>52.5</v>
      </c>
      <c r="H221" s="14">
        <v>3.5</v>
      </c>
      <c r="I221" s="29"/>
      <c r="J221" t="str">
        <f t="shared" si="24"/>
        <v>"Fish Meal":{"MATERIAL CLASS CODE":"38C45HP",</v>
      </c>
      <c r="K221" t="str">
        <f t="shared" si="25"/>
        <v>"CONVEY LOADING":"30A",</v>
      </c>
      <c r="L221" t="str">
        <f t="shared" si="26"/>
        <v>"COMPONENT GROUP":"1A,1B,1C",</v>
      </c>
      <c r="M221" t="str">
        <f t="shared" si="27"/>
        <v>"WEIGHT (LBS/CF)":37.5,</v>
      </c>
      <c r="N221" t="str">
        <f t="shared" si="28"/>
        <v>"MATERIAL FACTOR":1}</v>
      </c>
      <c r="O221" t="str">
        <f t="shared" si="29"/>
        <v>"Fish Meal":{"MATERIAL CLASS CODE":"38C45HP","CONVEY LOADING":"30A","COMPONENT GROUP":"1A,1B,1C","WEIGHT (LBS/CF)":37.5,"MATERIAL FACTOR":1},</v>
      </c>
    </row>
    <row r="222" spans="1:15" hidden="1" x14ac:dyDescent="0.25">
      <c r="A222" s="15" t="s">
        <v>494</v>
      </c>
      <c r="B222" s="16" t="s">
        <v>495</v>
      </c>
      <c r="C222" s="16" t="s">
        <v>99</v>
      </c>
      <c r="D222" s="16" t="s">
        <v>87</v>
      </c>
      <c r="E222" s="16">
        <v>110</v>
      </c>
      <c r="F222" s="16">
        <v>125</v>
      </c>
      <c r="G222" s="16">
        <f t="shared" si="23"/>
        <v>117.5</v>
      </c>
      <c r="H222" s="16">
        <v>3.5</v>
      </c>
      <c r="I222" s="30"/>
      <c r="J222" t="str">
        <f t="shared" si="24"/>
        <v>"Fish Scrap":{"MATERIAL CLASS CODE":"45D45H",</v>
      </c>
      <c r="K222" t="str">
        <f t="shared" si="25"/>
        <v>"CONVEY LOADING":"30A",</v>
      </c>
      <c r="L222" t="str">
        <f t="shared" si="26"/>
        <v>"COMPONENT GROUP":"2A,2B,2C",</v>
      </c>
      <c r="M222" t="str">
        <f t="shared" si="27"/>
        <v>"WEIGHT (LBS/CF)":45,</v>
      </c>
      <c r="N222" t="str">
        <f t="shared" si="28"/>
        <v>"MATERIAL FACTOR":1.5}</v>
      </c>
      <c r="O222" t="str">
        <f t="shared" si="29"/>
        <v>"Fish Scrap":{"MATERIAL CLASS CODE":"45D45H","CONVEY LOADING":"30A","COMPONENT GROUP":"2A,2B,2C","WEIGHT (LBS/CF)":45,"MATERIAL FACTOR":1.5},</v>
      </c>
    </row>
    <row r="223" spans="1:15" hidden="1" x14ac:dyDescent="0.25">
      <c r="A223" s="13" t="s">
        <v>496</v>
      </c>
      <c r="B223" s="14" t="s">
        <v>497</v>
      </c>
      <c r="C223" s="14" t="s">
        <v>99</v>
      </c>
      <c r="D223" s="14" t="s">
        <v>87</v>
      </c>
      <c r="E223" s="14">
        <v>30</v>
      </c>
      <c r="F223" s="14">
        <v>45</v>
      </c>
      <c r="G223" s="14">
        <f t="shared" si="23"/>
        <v>37.5</v>
      </c>
      <c r="H223" s="14">
        <v>2</v>
      </c>
      <c r="I223" s="29"/>
      <c r="J223" t="str">
        <f t="shared" si="24"/>
        <v>"Flaxseed":{"MATERIAL CLASS CODE":"44B35X",</v>
      </c>
      <c r="K223" t="str">
        <f t="shared" si="25"/>
        <v>"CONVEY LOADING":"30A",</v>
      </c>
      <c r="L223" t="str">
        <f t="shared" si="26"/>
        <v>"COMPONENT GROUP":"1A,1B,1C",</v>
      </c>
      <c r="M223" t="str">
        <f t="shared" si="27"/>
        <v>"WEIGHT (LBS/CF)":44,</v>
      </c>
      <c r="N223" t="str">
        <f t="shared" si="28"/>
        <v>"MATERIAL FACTOR":0.4}</v>
      </c>
      <c r="O223" t="str">
        <f t="shared" si="29"/>
        <v>"Flaxseed":{"MATERIAL CLASS CODE":"44B35X","CONVEY LOADING":"30A","COMPONENT GROUP":"1A,1B,1C","WEIGHT (LBS/CF)":44,"MATERIAL FACTOR":0.4},</v>
      </c>
    </row>
    <row r="224" spans="1:15" hidden="1" x14ac:dyDescent="0.25">
      <c r="A224" s="15" t="s">
        <v>498</v>
      </c>
      <c r="B224" s="16" t="s">
        <v>315</v>
      </c>
      <c r="C224" s="16" t="s">
        <v>99</v>
      </c>
      <c r="D224" s="16" t="s">
        <v>76</v>
      </c>
      <c r="E224" s="16">
        <v>80</v>
      </c>
      <c r="F224" s="16">
        <v>100</v>
      </c>
      <c r="G224" s="16">
        <f t="shared" si="23"/>
        <v>90</v>
      </c>
      <c r="H224" s="16">
        <v>2</v>
      </c>
      <c r="I224" s="30"/>
      <c r="J224" t="str">
        <f t="shared" si="24"/>
        <v>"Flaxseed Cake (Linseed Cake)":{"MATERIAL CLASS CODE":"49D45W",</v>
      </c>
      <c r="K224" t="str">
        <f t="shared" si="25"/>
        <v>"CONVEY LOADING":"30A",</v>
      </c>
      <c r="L224" t="str">
        <f t="shared" si="26"/>
        <v>"COMPONENT GROUP":"2A,2B",</v>
      </c>
      <c r="M224" t="str">
        <f t="shared" si="27"/>
        <v>"WEIGHT (LBS/CF)":49,</v>
      </c>
      <c r="N224" t="str">
        <f t="shared" si="28"/>
        <v>"MATERIAL FACTOR":0.7}</v>
      </c>
      <c r="O224" t="str">
        <f t="shared" si="29"/>
        <v>"Flaxseed Cake (Linseed Cake)":{"MATERIAL CLASS CODE":"49D45W","CONVEY LOADING":"30A","COMPONENT GROUP":"2A,2B","WEIGHT (LBS/CF)":49,"MATERIAL FACTOR":0.7},</v>
      </c>
    </row>
    <row r="225" spans="1:15" hidden="1" x14ac:dyDescent="0.25">
      <c r="A225" s="13" t="s">
        <v>499</v>
      </c>
      <c r="B225" s="14" t="s">
        <v>437</v>
      </c>
      <c r="C225" s="14" t="s">
        <v>99</v>
      </c>
      <c r="D225" s="14" t="s">
        <v>76</v>
      </c>
      <c r="E225" s="14">
        <v>90</v>
      </c>
      <c r="F225" s="14">
        <v>110</v>
      </c>
      <c r="G225" s="14">
        <f t="shared" si="23"/>
        <v>100</v>
      </c>
      <c r="H225" s="14">
        <v>2</v>
      </c>
      <c r="I225" s="29"/>
      <c r="J225" t="str">
        <f t="shared" si="24"/>
        <v>"Flaxseed Meal (Linseed Meal)":{"MATERIAL CLASS CODE":"35B45W",</v>
      </c>
      <c r="K225" t="str">
        <f t="shared" si="25"/>
        <v>"CONVEY LOADING":"30A",</v>
      </c>
      <c r="L225" t="str">
        <f t="shared" si="26"/>
        <v>"COMPONENT GROUP":"1A,1B",</v>
      </c>
      <c r="M225" t="str">
        <f t="shared" si="27"/>
        <v>"WEIGHT (LBS/CF)":35,</v>
      </c>
      <c r="N225" t="str">
        <f t="shared" si="28"/>
        <v>"MATERIAL FACTOR":0.4}</v>
      </c>
      <c r="O225" t="str">
        <f t="shared" si="29"/>
        <v>"Flaxseed Meal (Linseed Meal)":{"MATERIAL CLASS CODE":"35B45W","CONVEY LOADING":"30A","COMPONENT GROUP":"1A,1B","WEIGHT (LBS/CF)":35,"MATERIAL FACTOR":0.4},</v>
      </c>
    </row>
    <row r="226" spans="1:15" hidden="1" x14ac:dyDescent="0.25">
      <c r="A226" s="15" t="s">
        <v>500</v>
      </c>
      <c r="B226" s="16" t="s">
        <v>148</v>
      </c>
      <c r="C226" s="16" t="s">
        <v>99</v>
      </c>
      <c r="D226" s="16" t="s">
        <v>87</v>
      </c>
      <c r="E226" s="16">
        <v>30</v>
      </c>
      <c r="F226" s="16">
        <v>45</v>
      </c>
      <c r="G226" s="16">
        <f t="shared" si="23"/>
        <v>37.5</v>
      </c>
      <c r="H226" s="16">
        <v>2</v>
      </c>
      <c r="I226" s="16" t="s">
        <v>116</v>
      </c>
      <c r="J226" t="str">
        <f t="shared" si="24"/>
        <v>"Flour Wheat":{"MATERIAL CLASS CODE":"37A45LP",</v>
      </c>
      <c r="K226" t="str">
        <f t="shared" si="25"/>
        <v>"CONVEY LOADING":"30A",</v>
      </c>
      <c r="L226" t="str">
        <f t="shared" si="26"/>
        <v>"COMPONENT GROUP":"1B",</v>
      </c>
      <c r="M226" t="str">
        <f t="shared" si="27"/>
        <v>"WEIGHT (LBS/CF)":36.5,</v>
      </c>
      <c r="N226" t="str">
        <f t="shared" si="28"/>
        <v>"MATERIAL FACTOR":0.6}</v>
      </c>
      <c r="O226" t="str">
        <f t="shared" si="29"/>
        <v>"Flour Wheat":{"MATERIAL CLASS CODE":"37A45LP","CONVEY LOADING":"30A","COMPONENT GROUP":"1B","WEIGHT (LBS/CF)":36.5,"MATERIAL FACTOR":0.6},</v>
      </c>
    </row>
    <row r="227" spans="1:15" hidden="1" x14ac:dyDescent="0.25">
      <c r="A227" s="13" t="s">
        <v>501</v>
      </c>
      <c r="B227" s="14" t="s">
        <v>502</v>
      </c>
      <c r="C227" s="14">
        <v>15</v>
      </c>
      <c r="D227" s="14" t="s">
        <v>87</v>
      </c>
      <c r="E227" s="14">
        <v>90</v>
      </c>
      <c r="F227" s="14">
        <v>100</v>
      </c>
      <c r="G227" s="14">
        <f t="shared" si="23"/>
        <v>95</v>
      </c>
      <c r="H227" s="14">
        <v>2.6</v>
      </c>
      <c r="I227" s="14" t="s">
        <v>116</v>
      </c>
      <c r="J227" t="str">
        <f t="shared" si="24"/>
        <v>"Flue Dust, Basic Oxygen Furnace":{"MATERIAL CLASS CODE":"53A36LM",</v>
      </c>
      <c r="K227" t="str">
        <f t="shared" si="25"/>
        <v>"CONVEY LOADING":"30B",</v>
      </c>
      <c r="L227" t="str">
        <f t="shared" si="26"/>
        <v>"COMPONENT GROUP":"3D",</v>
      </c>
      <c r="M227" t="str">
        <f t="shared" si="27"/>
        <v>"WEIGHT (LBS/CF)":52.5,</v>
      </c>
      <c r="N227" t="str">
        <f t="shared" si="28"/>
        <v>"MATERIAL FACTOR":3.5}</v>
      </c>
      <c r="O227" t="str">
        <f t="shared" si="29"/>
        <v>"Flue Dust, Basic Oxygen Furnace":{"MATERIAL CLASS CODE":"53A36LM","CONVEY LOADING":"30B","COMPONENT GROUP":"3D","WEIGHT (LBS/CF)":52.5,"MATERIAL FACTOR":3.5},</v>
      </c>
    </row>
    <row r="228" spans="1:15" hidden="1" x14ac:dyDescent="0.25">
      <c r="A228" s="15" t="s">
        <v>503</v>
      </c>
      <c r="B228" s="16" t="s">
        <v>504</v>
      </c>
      <c r="C228" s="16">
        <v>45</v>
      </c>
      <c r="D228" s="16" t="s">
        <v>87</v>
      </c>
      <c r="E228" s="16">
        <v>40</v>
      </c>
      <c r="F228" s="16">
        <v>40</v>
      </c>
      <c r="G228" s="16">
        <f t="shared" si="23"/>
        <v>40</v>
      </c>
      <c r="H228" s="16">
        <v>2</v>
      </c>
      <c r="I228" s="30"/>
      <c r="J228" t="str">
        <f t="shared" si="24"/>
        <v>"Flue Dust, Blast Furnace":{"MATERIAL CLASS CODE":"118A36",</v>
      </c>
      <c r="K228" t="str">
        <f t="shared" si="25"/>
        <v>"CONVEY LOADING":"30B",</v>
      </c>
      <c r="L228" t="str">
        <f t="shared" si="26"/>
        <v>"COMPONENT GROUP":"3D",</v>
      </c>
      <c r="M228" t="str">
        <f t="shared" si="27"/>
        <v>"WEIGHT (LBS/CF)":117.5,</v>
      </c>
      <c r="N228" t="str">
        <f t="shared" si="28"/>
        <v>"MATERIAL FACTOR":3.5}</v>
      </c>
      <c r="O228" t="str">
        <f t="shared" si="29"/>
        <v>"Flue Dust, Blast Furnace":{"MATERIAL CLASS CODE":"118A36","CONVEY LOADING":"30B","COMPONENT GROUP":"3D","WEIGHT (LBS/CF)":117.5,"MATERIAL FACTOR":3.5},</v>
      </c>
    </row>
    <row r="229" spans="1:15" hidden="1" x14ac:dyDescent="0.25">
      <c r="A229" s="13" t="s">
        <v>505</v>
      </c>
      <c r="B229" s="14" t="s">
        <v>506</v>
      </c>
      <c r="C229" s="14">
        <v>45</v>
      </c>
      <c r="D229" s="14" t="s">
        <v>76</v>
      </c>
      <c r="E229" s="14">
        <v>30</v>
      </c>
      <c r="F229" s="14">
        <v>40</v>
      </c>
      <c r="G229" s="14">
        <f t="shared" si="23"/>
        <v>35</v>
      </c>
      <c r="H229" s="14">
        <v>2</v>
      </c>
      <c r="I229" s="29"/>
      <c r="J229" t="str">
        <f t="shared" si="24"/>
        <v>"Flue Dust, Boiler H. Dry":{"MATERIAL CLASS CODE":"38A36LM",</v>
      </c>
      <c r="K229" t="str">
        <f t="shared" si="25"/>
        <v>"CONVEY LOADING":"30B",</v>
      </c>
      <c r="L229" t="str">
        <f t="shared" si="26"/>
        <v>"COMPONENT GROUP":"3D",</v>
      </c>
      <c r="M229" t="str">
        <f t="shared" si="27"/>
        <v>"WEIGHT (LBS/CF)":37.5,</v>
      </c>
      <c r="N229" t="str">
        <f t="shared" si="28"/>
        <v>"MATERIAL FACTOR":2}</v>
      </c>
      <c r="O229" t="str">
        <f t="shared" si="29"/>
        <v>"Flue Dust, Boiler H. Dry":{"MATERIAL CLASS CODE":"38A36LM","CONVEY LOADING":"30B","COMPONENT GROUP":"3D","WEIGHT (LBS/CF)":37.5,"MATERIAL FACTOR":2},</v>
      </c>
    </row>
    <row r="230" spans="1:15" ht="22.5" hidden="1" x14ac:dyDescent="0.25">
      <c r="A230" s="15" t="s">
        <v>507</v>
      </c>
      <c r="B230" s="16" t="s">
        <v>508</v>
      </c>
      <c r="C230" s="16" t="s">
        <v>71</v>
      </c>
      <c r="D230" s="16" t="s">
        <v>87</v>
      </c>
      <c r="E230" s="16">
        <v>60</v>
      </c>
      <c r="F230" s="16">
        <v>65</v>
      </c>
      <c r="G230" s="16">
        <f t="shared" si="23"/>
        <v>62.5</v>
      </c>
      <c r="H230" s="16">
        <v>2</v>
      </c>
      <c r="I230" s="30"/>
      <c r="J230" t="str">
        <f t="shared" si="24"/>
        <v>"Fluorspar, Fine (Calcium Floride)":{"MATERIAL CLASS CODE":"90B36",</v>
      </c>
      <c r="K230" t="str">
        <f t="shared" si="25"/>
        <v>"CONVEY LOADING":"30B",</v>
      </c>
      <c r="L230" t="str">
        <f t="shared" si="26"/>
        <v>"COMPONENT GROUP":"2D",</v>
      </c>
      <c r="M230" t="str">
        <f t="shared" si="27"/>
        <v>"WEIGHT (LBS/CF)":90,</v>
      </c>
      <c r="N230" t="str">
        <f t="shared" si="28"/>
        <v>"MATERIAL FACTOR":2}</v>
      </c>
      <c r="O230" t="str">
        <f t="shared" si="29"/>
        <v>"Fluorspar, Fine (Calcium Floride)":{"MATERIAL CLASS CODE":"90B36","CONVEY LOADING":"30B","COMPONENT GROUP":"2D","WEIGHT (LBS/CF)":90,"MATERIAL FACTOR":2},</v>
      </c>
    </row>
    <row r="231" spans="1:15" hidden="1" x14ac:dyDescent="0.25">
      <c r="A231" s="13" t="s">
        <v>509</v>
      </c>
      <c r="B231" s="14" t="s">
        <v>292</v>
      </c>
      <c r="C231" s="14" t="s">
        <v>71</v>
      </c>
      <c r="D231" s="14" t="s">
        <v>76</v>
      </c>
      <c r="E231" s="14">
        <v>240</v>
      </c>
      <c r="F231" s="14">
        <v>260</v>
      </c>
      <c r="G231" s="14">
        <f t="shared" si="23"/>
        <v>250</v>
      </c>
      <c r="H231" s="14">
        <v>1.2</v>
      </c>
      <c r="I231" s="14" t="s">
        <v>116</v>
      </c>
      <c r="J231" t="str">
        <f t="shared" si="24"/>
        <v>"Fluorspar, Lumps":{"MATERIAL CLASS CODE":"100D36",</v>
      </c>
      <c r="K231" t="str">
        <f t="shared" si="25"/>
        <v>"CONVEY LOADING":"30B",</v>
      </c>
      <c r="L231" t="str">
        <f t="shared" si="26"/>
        <v>"COMPONENT GROUP":"2D",</v>
      </c>
      <c r="M231" t="str">
        <f t="shared" si="27"/>
        <v>"WEIGHT (LBS/CF)":100,</v>
      </c>
      <c r="N231" t="str">
        <f t="shared" si="28"/>
        <v>"MATERIAL FACTOR":2}</v>
      </c>
      <c r="O231" t="str">
        <f t="shared" si="29"/>
        <v>"Fluorspar, Lumps":{"MATERIAL CLASS CODE":"100D36","CONVEY LOADING":"30B","COMPONENT GROUP":"2D","WEIGHT (LBS/CF)":100,"MATERIAL FACTOR":2},</v>
      </c>
    </row>
    <row r="232" spans="1:15" hidden="1" x14ac:dyDescent="0.25">
      <c r="A232" s="15" t="s">
        <v>510</v>
      </c>
      <c r="B232" s="16" t="s">
        <v>511</v>
      </c>
      <c r="C232" s="16" t="s">
        <v>71</v>
      </c>
      <c r="D232" s="16" t="s">
        <v>160</v>
      </c>
      <c r="E232" s="16">
        <v>32</v>
      </c>
      <c r="F232" s="16">
        <v>32</v>
      </c>
      <c r="G232" s="16">
        <f t="shared" si="23"/>
        <v>32</v>
      </c>
      <c r="H232" s="16">
        <v>0.8</v>
      </c>
      <c r="I232" s="16" t="s">
        <v>73</v>
      </c>
      <c r="J232" t="str">
        <f t="shared" si="24"/>
        <v>"Flyash":{"MATERIAL CLASS CODE":"38A36M",</v>
      </c>
      <c r="K232" t="str">
        <f t="shared" si="25"/>
        <v>"CONVEY LOADING":"30B",</v>
      </c>
      <c r="L232" t="str">
        <f t="shared" si="26"/>
        <v>"COMPONENT GROUP":"3D",</v>
      </c>
      <c r="M232" t="str">
        <f t="shared" si="27"/>
        <v>"WEIGHT (LBS/CF)":37.5,</v>
      </c>
      <c r="N232" t="str">
        <f t="shared" si="28"/>
        <v>"MATERIAL FACTOR":2}</v>
      </c>
      <c r="O232" t="str">
        <f t="shared" si="29"/>
        <v>"Flyash":{"MATERIAL CLASS CODE":"38A36M","CONVEY LOADING":"30B","COMPONENT GROUP":"3D","WEIGHT (LBS/CF)":37.5,"MATERIAL FACTOR":2},</v>
      </c>
    </row>
    <row r="233" spans="1:15" hidden="1" x14ac:dyDescent="0.25">
      <c r="A233" s="13" t="s">
        <v>512</v>
      </c>
      <c r="B233" s="14" t="s">
        <v>513</v>
      </c>
      <c r="C233" s="14" t="s">
        <v>71</v>
      </c>
      <c r="D233" s="14" t="s">
        <v>87</v>
      </c>
      <c r="E233" s="14">
        <v>37</v>
      </c>
      <c r="F233" s="14">
        <v>37</v>
      </c>
      <c r="G233" s="14">
        <f t="shared" si="23"/>
        <v>37</v>
      </c>
      <c r="H233" s="14">
        <v>1.5</v>
      </c>
      <c r="I233" s="29"/>
      <c r="J233" t="str">
        <f t="shared" si="24"/>
        <v>"Foundry Sand, Dry (Sand)":{"MATERIAL CLASS CODE":"95D37Z",</v>
      </c>
      <c r="K233" t="str">
        <f t="shared" si="25"/>
        <v>"CONVEY LOADING":"15",</v>
      </c>
      <c r="L233" t="str">
        <f t="shared" si="26"/>
        <v>"COMPONENT GROUP":"3D",</v>
      </c>
      <c r="M233" t="str">
        <f t="shared" si="27"/>
        <v>"WEIGHT (LBS/CF)":95,</v>
      </c>
      <c r="N233" t="str">
        <f t="shared" si="28"/>
        <v>"MATERIAL FACTOR":2.6}</v>
      </c>
      <c r="O233" t="str">
        <f t="shared" si="29"/>
        <v>"Foundry Sand, Dry (Sand)":{"MATERIAL CLASS CODE":"95D37Z","CONVEY LOADING":"15","COMPONENT GROUP":"3D","WEIGHT (LBS/CF)":95,"MATERIAL FACTOR":2.6},</v>
      </c>
    </row>
    <row r="234" spans="1:15" hidden="1" x14ac:dyDescent="0.25">
      <c r="A234" s="15" t="s">
        <v>514</v>
      </c>
      <c r="B234" s="16" t="s">
        <v>515</v>
      </c>
      <c r="C234" s="16">
        <v>15</v>
      </c>
      <c r="D234" s="16" t="s">
        <v>87</v>
      </c>
      <c r="E234" s="16">
        <v>80</v>
      </c>
      <c r="F234" s="16">
        <v>100</v>
      </c>
      <c r="G234" s="16">
        <f t="shared" si="23"/>
        <v>90</v>
      </c>
      <c r="H234" s="16">
        <v>2.5</v>
      </c>
      <c r="I234" s="30"/>
      <c r="J234" t="str">
        <f t="shared" si="24"/>
        <v>"Fuller’s Earth, Calcined":{"MATERIAL CLASS CODE":"40A25",</v>
      </c>
      <c r="K234" t="str">
        <f t="shared" si="25"/>
        <v>"CONVEY LOADING":"45",</v>
      </c>
      <c r="L234" t="str">
        <f t="shared" si="26"/>
        <v>"COMPONENT GROUP":"3D",</v>
      </c>
      <c r="M234" t="str">
        <f t="shared" si="27"/>
        <v>"WEIGHT (LBS/CF)":40,</v>
      </c>
      <c r="N234" t="str">
        <f t="shared" si="28"/>
        <v>"MATERIAL FACTOR":2}</v>
      </c>
      <c r="O234" t="str">
        <f t="shared" si="29"/>
        <v>"Fuller’s Earth, Calcined":{"MATERIAL CLASS CODE":"40A25","CONVEY LOADING":"45","COMPONENT GROUP":"3D","WEIGHT (LBS/CF)":40,"MATERIAL FACTOR":2},</v>
      </c>
    </row>
    <row r="235" spans="1:15" hidden="1" x14ac:dyDescent="0.25">
      <c r="A235" s="13" t="s">
        <v>516</v>
      </c>
      <c r="B235" s="14" t="s">
        <v>517</v>
      </c>
      <c r="C235" s="14" t="s">
        <v>71</v>
      </c>
      <c r="D235" s="14" t="s">
        <v>76</v>
      </c>
      <c r="E235" s="14">
        <v>40</v>
      </c>
      <c r="F235" s="14">
        <v>40</v>
      </c>
      <c r="G235" s="14">
        <f t="shared" si="23"/>
        <v>40</v>
      </c>
      <c r="H235" s="14">
        <v>1.7</v>
      </c>
      <c r="I235" s="29"/>
      <c r="J235" t="str">
        <f t="shared" si="24"/>
        <v>"Fuller’s Earth, Dry, Raw (Bleach Clay)":{"MATERIAL CLASS CODE":"35A25",</v>
      </c>
      <c r="K235" t="str">
        <f t="shared" si="25"/>
        <v>"CONVEY LOADING":"45",</v>
      </c>
      <c r="L235" t="str">
        <f t="shared" si="26"/>
        <v>"COMPONENT GROUP":"2D",</v>
      </c>
      <c r="M235" t="str">
        <f t="shared" si="27"/>
        <v>"WEIGHT (LBS/CF)":35,</v>
      </c>
      <c r="N235" t="str">
        <f t="shared" si="28"/>
        <v>"MATERIAL FACTOR":2}</v>
      </c>
      <c r="O235" t="str">
        <f t="shared" si="29"/>
        <v>"Fuller’s Earth, Dry, Raw (Bleach Clay)":{"MATERIAL CLASS CODE":"35A25","CONVEY LOADING":"45","COMPONENT GROUP":"2D","WEIGHT (LBS/CF)":35,"MATERIAL FACTOR":2},</v>
      </c>
    </row>
    <row r="236" spans="1:15" hidden="1" x14ac:dyDescent="0.25">
      <c r="A236" s="15" t="s">
        <v>518</v>
      </c>
      <c r="B236" s="16" t="s">
        <v>519</v>
      </c>
      <c r="C236" s="16" t="s">
        <v>71</v>
      </c>
      <c r="D236" s="16" t="s">
        <v>81</v>
      </c>
      <c r="E236" s="16">
        <v>40</v>
      </c>
      <c r="F236" s="16">
        <v>40</v>
      </c>
      <c r="G236" s="16">
        <f t="shared" si="23"/>
        <v>40</v>
      </c>
      <c r="H236" s="16">
        <v>0.5</v>
      </c>
      <c r="I236" s="30"/>
      <c r="J236" t="str">
        <f t="shared" si="24"/>
        <v>"Fuller’s Earth, Oily, Spent (Spent Bleach Clay)":{"MATERIAL CLASS CODE":"63C45OW",</v>
      </c>
      <c r="K236" t="str">
        <f t="shared" si="25"/>
        <v>"CONVEY LOADING":"30A",</v>
      </c>
      <c r="L236" t="str">
        <f t="shared" si="26"/>
        <v>"COMPONENT GROUP":"3D",</v>
      </c>
      <c r="M236" t="str">
        <f t="shared" si="27"/>
        <v>"WEIGHT (LBS/CF)":62.5,</v>
      </c>
      <c r="N236" t="str">
        <f t="shared" si="28"/>
        <v>"MATERIAL FACTOR":2}</v>
      </c>
      <c r="O236" t="str">
        <f t="shared" si="29"/>
        <v>"Fuller’s Earth, Oily, Spent (Spent Bleach Clay)":{"MATERIAL CLASS CODE":"63C45OW","CONVEY LOADING":"30A","COMPONENT GROUP":"3D","WEIGHT (LBS/CF)":62.5,"MATERIAL FACTOR":2},</v>
      </c>
    </row>
    <row r="237" spans="1:15" hidden="1" x14ac:dyDescent="0.25">
      <c r="A237" s="13" t="s">
        <v>520</v>
      </c>
      <c r="B237" s="14" t="s">
        <v>521</v>
      </c>
      <c r="C237" s="14" t="s">
        <v>71</v>
      </c>
      <c r="D237" s="14" t="s">
        <v>81</v>
      </c>
      <c r="E237" s="14">
        <v>40</v>
      </c>
      <c r="F237" s="14">
        <v>40</v>
      </c>
      <c r="G237" s="14">
        <f t="shared" si="23"/>
        <v>40</v>
      </c>
      <c r="H237" s="14">
        <v>0.6</v>
      </c>
      <c r="I237" s="29"/>
      <c r="J237" t="str">
        <f t="shared" si="24"/>
        <v>"Galena (Lead Sulfide)":{"MATERIAL CLASS CODE":"250A35R",</v>
      </c>
      <c r="K237" t="str">
        <f t="shared" si="25"/>
        <v>"CONVEY LOADING":"30A",</v>
      </c>
      <c r="L237" t="str">
        <f t="shared" si="26"/>
        <v>"COMPONENT GROUP":"2D",</v>
      </c>
      <c r="M237" t="str">
        <f t="shared" si="27"/>
        <v>"WEIGHT (LBS/CF)":250,</v>
      </c>
      <c r="N237" t="str">
        <f t="shared" si="28"/>
        <v>"MATERIAL FACTOR":1.2}</v>
      </c>
      <c r="O237" t="str">
        <f t="shared" si="29"/>
        <v>"Galena (Lead Sulfide)":{"MATERIAL CLASS CODE":"250A35R","CONVEY LOADING":"30A","COMPONENT GROUP":"2D","WEIGHT (LBS/CF)":250,"MATERIAL FACTOR":1.2},</v>
      </c>
    </row>
    <row r="238" spans="1:15" hidden="1" x14ac:dyDescent="0.25">
      <c r="A238" s="15" t="s">
        <v>522</v>
      </c>
      <c r="B238" s="16" t="s">
        <v>523</v>
      </c>
      <c r="C238" s="16" t="s">
        <v>71</v>
      </c>
      <c r="D238" s="16" t="s">
        <v>160</v>
      </c>
      <c r="E238" s="16">
        <v>40</v>
      </c>
      <c r="F238" s="16">
        <v>40</v>
      </c>
      <c r="G238" s="16">
        <f t="shared" si="23"/>
        <v>40</v>
      </c>
      <c r="H238" s="16">
        <v>0.6</v>
      </c>
      <c r="I238" s="30"/>
      <c r="J238" t="str">
        <f t="shared" si="24"/>
        <v>"Gelatine, Granulated":{"MATERIAL CLASS CODE":"32B35PU",</v>
      </c>
      <c r="K238" t="str">
        <f t="shared" si="25"/>
        <v>"CONVEY LOADING":"30A",</v>
      </c>
      <c r="L238" t="str">
        <f t="shared" si="26"/>
        <v>"COMPONENT GROUP":"1B",</v>
      </c>
      <c r="M238" t="str">
        <f t="shared" si="27"/>
        <v>"WEIGHT (LBS/CF)":32,</v>
      </c>
      <c r="N238" t="str">
        <f t="shared" si="28"/>
        <v>"MATERIAL FACTOR":0.8}</v>
      </c>
      <c r="O238" t="str">
        <f t="shared" si="29"/>
        <v>"Gelatine, Granulated":{"MATERIAL CLASS CODE":"32B35PU","CONVEY LOADING":"30A","COMPONENT GROUP":"1B","WEIGHT (LBS/CF)":32,"MATERIAL FACTOR":0.8},</v>
      </c>
    </row>
    <row r="239" spans="1:15" hidden="1" x14ac:dyDescent="0.25">
      <c r="A239" s="13" t="s">
        <v>524</v>
      </c>
      <c r="B239" s="14" t="s">
        <v>525</v>
      </c>
      <c r="C239" s="14" t="s">
        <v>71</v>
      </c>
      <c r="D239" s="14" t="s">
        <v>160</v>
      </c>
      <c r="E239" s="14">
        <v>43</v>
      </c>
      <c r="F239" s="14">
        <v>43</v>
      </c>
      <c r="G239" s="14">
        <f t="shared" si="23"/>
        <v>43</v>
      </c>
      <c r="H239" s="14">
        <v>2.2000000000000002</v>
      </c>
      <c r="I239" s="29"/>
      <c r="J239" t="str">
        <f t="shared" si="24"/>
        <v>"Gilsonite":{"MATERIAL CLASS CODE":"37C35",</v>
      </c>
      <c r="K239" t="str">
        <f t="shared" si="25"/>
        <v>"CONVEY LOADING":"30A",</v>
      </c>
      <c r="L239" t="str">
        <f t="shared" si="26"/>
        <v>"COMPONENT GROUP":"3D",</v>
      </c>
      <c r="M239" t="str">
        <f t="shared" si="27"/>
        <v>"WEIGHT (LBS/CF)":37,</v>
      </c>
      <c r="N239" t="str">
        <f t="shared" si="28"/>
        <v>"MATERIAL FACTOR":1.5}</v>
      </c>
      <c r="O239" t="str">
        <f t="shared" si="29"/>
        <v>"Gilsonite":{"MATERIAL CLASS CODE":"37C35","CONVEY LOADING":"30A","COMPONENT GROUP":"3D","WEIGHT (LBS/CF)":37,"MATERIAL FACTOR":1.5},</v>
      </c>
    </row>
    <row r="240" spans="1:15" hidden="1" x14ac:dyDescent="0.25">
      <c r="A240" s="15" t="s">
        <v>526</v>
      </c>
      <c r="B240" s="16" t="s">
        <v>527</v>
      </c>
      <c r="C240" s="16">
        <v>15</v>
      </c>
      <c r="D240" s="16" t="s">
        <v>87</v>
      </c>
      <c r="E240" s="16">
        <v>80</v>
      </c>
      <c r="F240" s="16">
        <v>90</v>
      </c>
      <c r="G240" s="16">
        <f t="shared" si="23"/>
        <v>85</v>
      </c>
      <c r="H240" s="16">
        <v>2.5</v>
      </c>
      <c r="I240" s="30"/>
      <c r="J240" t="str">
        <f t="shared" si="24"/>
        <v>"Glass, Batch":{"MATERIAL CLASS CODE":"90C37",</v>
      </c>
      <c r="K240" t="str">
        <f t="shared" si="25"/>
        <v>"CONVEY LOADING":"15",</v>
      </c>
      <c r="L240" t="str">
        <f t="shared" si="26"/>
        <v>"COMPONENT GROUP":"3D",</v>
      </c>
      <c r="M240" t="str">
        <f t="shared" si="27"/>
        <v>"WEIGHT (LBS/CF)":90,</v>
      </c>
      <c r="N240" t="str">
        <f t="shared" si="28"/>
        <v>"MATERIAL FACTOR":2.5}</v>
      </c>
      <c r="O240" t="str">
        <f t="shared" si="29"/>
        <v>"Glass, Batch":{"MATERIAL CLASS CODE":"90C37","CONVEY LOADING":"15","COMPONENT GROUP":"3D","WEIGHT (LBS/CF)":90,"MATERIAL FACTOR":2.5},</v>
      </c>
    </row>
    <row r="241" spans="1:15" hidden="1" x14ac:dyDescent="0.25">
      <c r="A241" s="13" t="s">
        <v>528</v>
      </c>
      <c r="B241" s="14" t="s">
        <v>529</v>
      </c>
      <c r="C241" s="14" t="s">
        <v>71</v>
      </c>
      <c r="D241" s="14" t="s">
        <v>76</v>
      </c>
      <c r="E241" s="14">
        <v>15</v>
      </c>
      <c r="F241" s="14">
        <v>20</v>
      </c>
      <c r="G241" s="14">
        <f t="shared" si="23"/>
        <v>17.5</v>
      </c>
      <c r="H241" s="14">
        <v>1.4</v>
      </c>
      <c r="I241" s="14" t="s">
        <v>73</v>
      </c>
      <c r="J241" t="str">
        <f t="shared" si="24"/>
        <v>"Glue, Ground":{"MATERIAL CLASS CODE":"40B45U",</v>
      </c>
      <c r="K241" t="str">
        <f t="shared" si="25"/>
        <v>"CONVEY LOADING":"30A",</v>
      </c>
      <c r="L241" t="str">
        <f t="shared" si="26"/>
        <v>"COMPONENT GROUP":"2D",</v>
      </c>
      <c r="M241" t="str">
        <f t="shared" si="27"/>
        <v>"WEIGHT (LBS/CF)":40,</v>
      </c>
      <c r="N241" t="str">
        <f t="shared" si="28"/>
        <v>"MATERIAL FACTOR":1.7}</v>
      </c>
      <c r="O241" t="str">
        <f t="shared" si="29"/>
        <v>"Glue, Ground":{"MATERIAL CLASS CODE":"40B45U","CONVEY LOADING":"30A","COMPONENT GROUP":"2D","WEIGHT (LBS/CF)":40,"MATERIAL FACTOR":1.7},</v>
      </c>
    </row>
    <row r="242" spans="1:15" hidden="1" x14ac:dyDescent="0.25">
      <c r="A242" s="15" t="s">
        <v>530</v>
      </c>
      <c r="B242" s="16" t="s">
        <v>531</v>
      </c>
      <c r="C242" s="16">
        <v>45</v>
      </c>
      <c r="D242" s="16" t="s">
        <v>81</v>
      </c>
      <c r="E242" s="16">
        <v>40</v>
      </c>
      <c r="F242" s="16">
        <v>40</v>
      </c>
      <c r="G242" s="16">
        <f t="shared" si="23"/>
        <v>40</v>
      </c>
      <c r="H242" s="16">
        <v>0.5</v>
      </c>
      <c r="I242" s="16" t="s">
        <v>73</v>
      </c>
      <c r="J242" t="str">
        <f t="shared" si="24"/>
        <v>"Glue, Pearl":{"MATERIAL CLASS CODE":"40C35U",</v>
      </c>
      <c r="K242" t="str">
        <f t="shared" si="25"/>
        <v>"CONVEY LOADING":"30A",</v>
      </c>
      <c r="L242" t="str">
        <f t="shared" si="26"/>
        <v>"COMPONENT GROUP":"1A,1B,1C",</v>
      </c>
      <c r="M242" t="str">
        <f t="shared" si="27"/>
        <v>"WEIGHT (LBS/CF)":40,</v>
      </c>
      <c r="N242" t="str">
        <f t="shared" si="28"/>
        <v>"MATERIAL FACTOR":0.5}</v>
      </c>
      <c r="O242" t="str">
        <f t="shared" si="29"/>
        <v>"Glue, Pearl":{"MATERIAL CLASS CODE":"40C35U","CONVEY LOADING":"30A","COMPONENT GROUP":"1A,1B,1C","WEIGHT (LBS/CF)":40,"MATERIAL FACTOR":0.5},</v>
      </c>
    </row>
    <row r="243" spans="1:15" hidden="1" x14ac:dyDescent="0.25">
      <c r="A243" s="13" t="s">
        <v>532</v>
      </c>
      <c r="B243" s="14" t="s">
        <v>533</v>
      </c>
      <c r="C243" s="14" t="s">
        <v>71</v>
      </c>
      <c r="D243" s="14" t="s">
        <v>81</v>
      </c>
      <c r="E243" s="14">
        <v>28</v>
      </c>
      <c r="F243" s="14">
        <v>28</v>
      </c>
      <c r="G243" s="14">
        <f t="shared" si="23"/>
        <v>28</v>
      </c>
      <c r="H243" s="14">
        <v>0.5</v>
      </c>
      <c r="I243" s="29"/>
      <c r="J243" t="str">
        <f t="shared" si="24"/>
        <v>"Glue, Veg. Powdered":{"MATERIAL CLASS CODE":"40A45U",</v>
      </c>
      <c r="K243" t="str">
        <f t="shared" si="25"/>
        <v>"CONVEY LOADING":"30A",</v>
      </c>
      <c r="L243" t="str">
        <f t="shared" si="26"/>
        <v>"COMPONENT GROUP":"1A,1B,1C",</v>
      </c>
      <c r="M243" t="str">
        <f t="shared" si="27"/>
        <v>"WEIGHT (LBS/CF)":40,</v>
      </c>
      <c r="N243" t="str">
        <f t="shared" si="28"/>
        <v>"MATERIAL FACTOR":0.6}</v>
      </c>
      <c r="O243" t="str">
        <f t="shared" si="29"/>
        <v>"Glue, Veg. Powdered":{"MATERIAL CLASS CODE":"40A45U","CONVEY LOADING":"30A","COMPONENT GROUP":"1A,1B,1C","WEIGHT (LBS/CF)":40,"MATERIAL FACTOR":0.6},</v>
      </c>
    </row>
    <row r="244" spans="1:15" hidden="1" x14ac:dyDescent="0.25">
      <c r="A244" s="15" t="s">
        <v>534</v>
      </c>
      <c r="B244" s="16" t="s">
        <v>535</v>
      </c>
      <c r="C244" s="16" t="s">
        <v>71</v>
      </c>
      <c r="D244" s="16" t="s">
        <v>76</v>
      </c>
      <c r="E244" s="16">
        <v>65</v>
      </c>
      <c r="F244" s="16">
        <v>75</v>
      </c>
      <c r="G244" s="16">
        <f t="shared" si="23"/>
        <v>70</v>
      </c>
      <c r="H244" s="16">
        <v>1</v>
      </c>
      <c r="I244" s="16" t="s">
        <v>116</v>
      </c>
      <c r="J244" t="str">
        <f t="shared" si="24"/>
        <v>"Gluten, Meal (Dry Corn Gluten)":{"MATERIAL CLASS CODE":"40B35P",</v>
      </c>
      <c r="K244" t="str">
        <f t="shared" si="25"/>
        <v>"CONVEY LOADING":"30A",</v>
      </c>
      <c r="L244" t="str">
        <f t="shared" si="26"/>
        <v>"COMPONENT GROUP":"1B",</v>
      </c>
      <c r="M244" t="str">
        <f t="shared" si="27"/>
        <v>"WEIGHT (LBS/CF)":40,</v>
      </c>
      <c r="N244" t="str">
        <f t="shared" si="28"/>
        <v>"MATERIAL FACTOR":0.6}</v>
      </c>
      <c r="O244" t="str">
        <f t="shared" si="29"/>
        <v>"Gluten, Meal (Dry Corn Gluten)":{"MATERIAL CLASS CODE":"40B35P","CONVEY LOADING":"30A","COMPONENT GROUP":"1B","WEIGHT (LBS/CF)":40,"MATERIAL FACTOR":0.6},</v>
      </c>
    </row>
    <row r="245" spans="1:15" hidden="1" x14ac:dyDescent="0.25">
      <c r="A245" s="13" t="s">
        <v>536</v>
      </c>
      <c r="B245" s="14" t="s">
        <v>537</v>
      </c>
      <c r="C245" s="14" t="s">
        <v>71</v>
      </c>
      <c r="D245" s="14" t="s">
        <v>111</v>
      </c>
      <c r="E245" s="14">
        <v>70</v>
      </c>
      <c r="F245" s="14">
        <v>70</v>
      </c>
      <c r="G245" s="14">
        <f t="shared" si="23"/>
        <v>70</v>
      </c>
      <c r="H245" s="14">
        <v>2</v>
      </c>
      <c r="I245" s="29"/>
      <c r="J245" t="str">
        <f t="shared" si="24"/>
        <v>"Gluten, Meal (Wet Corn Gluten)":{"MATERIAL CLASS CODE":"43B35OPH",</v>
      </c>
      <c r="K245" t="str">
        <f t="shared" si="25"/>
        <v>"CONVEY LOADING":"30A",</v>
      </c>
      <c r="L245" t="str">
        <f t="shared" si="26"/>
        <v>"COMPONENT GROUP":"1B",</v>
      </c>
      <c r="M245" t="str">
        <f t="shared" si="27"/>
        <v>"WEIGHT (LBS/CF)":43,</v>
      </c>
      <c r="N245" t="str">
        <f t="shared" si="28"/>
        <v>"MATERIAL FACTOR":2.2}</v>
      </c>
      <c r="O245" t="str">
        <f t="shared" si="29"/>
        <v>"Gluten, Meal (Wet Corn Gluten)":{"MATERIAL CLASS CODE":"43B35OPH","CONVEY LOADING":"30A","COMPONENT GROUP":"1B","WEIGHT (LBS/CF)":43,"MATERIAL FACTOR":2.2},</v>
      </c>
    </row>
    <row r="246" spans="1:15" hidden="1" x14ac:dyDescent="0.25">
      <c r="A246" s="15" t="s">
        <v>538</v>
      </c>
      <c r="B246" s="16" t="s">
        <v>539</v>
      </c>
      <c r="C246" s="16" t="s">
        <v>71</v>
      </c>
      <c r="D246" s="16" t="s">
        <v>76</v>
      </c>
      <c r="E246" s="16">
        <v>55</v>
      </c>
      <c r="F246" s="16">
        <v>60</v>
      </c>
      <c r="G246" s="16">
        <f t="shared" si="23"/>
        <v>57.5</v>
      </c>
      <c r="H246" s="16">
        <v>1.6</v>
      </c>
      <c r="I246" s="30"/>
      <c r="J246" t="str">
        <f t="shared" si="24"/>
        <v>"Granite, Fine":{"MATERIAL CLASS CODE":"85C27",</v>
      </c>
      <c r="K246" t="str">
        <f t="shared" si="25"/>
        <v>"CONVEY LOADING":"15",</v>
      </c>
      <c r="L246" t="str">
        <f t="shared" si="26"/>
        <v>"COMPONENT GROUP":"3D",</v>
      </c>
      <c r="M246" t="str">
        <f t="shared" si="27"/>
        <v>"WEIGHT (LBS/CF)":85,</v>
      </c>
      <c r="N246" t="str">
        <f t="shared" si="28"/>
        <v>"MATERIAL FACTOR":2.5}</v>
      </c>
      <c r="O246" t="str">
        <f t="shared" si="29"/>
        <v>"Granite, Fine":{"MATERIAL CLASS CODE":"85C27","CONVEY LOADING":"15","COMPONENT GROUP":"3D","WEIGHT (LBS/CF)":85,"MATERIAL FACTOR":2.5},</v>
      </c>
    </row>
    <row r="247" spans="1:15" ht="22.5" hidden="1" x14ac:dyDescent="0.25">
      <c r="A247" s="13" t="s">
        <v>540</v>
      </c>
      <c r="B247" s="14" t="s">
        <v>541</v>
      </c>
      <c r="C247" s="14" t="s">
        <v>71</v>
      </c>
      <c r="D247" s="14" t="s">
        <v>76</v>
      </c>
      <c r="E247" s="14">
        <v>60</v>
      </c>
      <c r="F247" s="14">
        <v>80</v>
      </c>
      <c r="G247" s="14">
        <f t="shared" si="23"/>
        <v>70</v>
      </c>
      <c r="H247" s="14">
        <v>2</v>
      </c>
      <c r="I247" s="29"/>
      <c r="J247" t="str">
        <f t="shared" si="24"/>
        <v>"Grape, Pomace":{"MATERIAL CLASS CODE":"18D45U",</v>
      </c>
      <c r="K247" t="str">
        <f t="shared" si="25"/>
        <v>"CONVEY LOADING":"30A",</v>
      </c>
      <c r="L247" t="str">
        <f t="shared" si="26"/>
        <v>"COMPONENT GROUP":"2D",</v>
      </c>
      <c r="M247" t="str">
        <f t="shared" si="27"/>
        <v>"WEIGHT (LBS/CF)":17.5,</v>
      </c>
      <c r="N247" t="str">
        <f t="shared" si="28"/>
        <v>"MATERIAL FACTOR":1.4}</v>
      </c>
      <c r="O247" t="str">
        <f t="shared" si="29"/>
        <v>"Grape, Pomace":{"MATERIAL CLASS CODE":"18D45U","CONVEY LOADING":"30A","COMPONENT GROUP":"2D","WEIGHT (LBS/CF)":17.5,"MATERIAL FACTOR":1.4},</v>
      </c>
    </row>
    <row r="248" spans="1:15" ht="22.5" hidden="1" x14ac:dyDescent="0.25">
      <c r="A248" s="15" t="s">
        <v>542</v>
      </c>
      <c r="B248" s="16" t="s">
        <v>543</v>
      </c>
      <c r="C248" s="16" t="s">
        <v>71</v>
      </c>
      <c r="D248" s="16" t="s">
        <v>76</v>
      </c>
      <c r="E248" s="16">
        <v>70</v>
      </c>
      <c r="F248" s="16">
        <v>80</v>
      </c>
      <c r="G248" s="16">
        <f t="shared" si="23"/>
        <v>75</v>
      </c>
      <c r="H248" s="16">
        <v>2</v>
      </c>
      <c r="I248" s="30"/>
      <c r="J248" t="str">
        <f t="shared" si="24"/>
        <v>"Graphite Flake (Plumago)":{"MATERIAL CLASS CODE":"40B25LP",</v>
      </c>
      <c r="K248" t="str">
        <f t="shared" si="25"/>
        <v>"CONVEY LOADING":"45",</v>
      </c>
      <c r="L248" t="str">
        <f t="shared" si="26"/>
        <v>"COMPONENT GROUP":"1A,1B,1C",</v>
      </c>
      <c r="M248" t="str">
        <f t="shared" si="27"/>
        <v>"WEIGHT (LBS/CF)":40,</v>
      </c>
      <c r="N248" t="str">
        <f t="shared" si="28"/>
        <v>"MATERIAL FACTOR":0.5}</v>
      </c>
      <c r="O248" t="str">
        <f t="shared" si="29"/>
        <v>"Graphite Flake (Plumago)":{"MATERIAL CLASS CODE":"40B25LP","CONVEY LOADING":"45","COMPONENT GROUP":"1A,1B,1C","WEIGHT (LBS/CF)":40,"MATERIAL FACTOR":0.5},</v>
      </c>
    </row>
    <row r="249" spans="1:15" hidden="1" x14ac:dyDescent="0.25">
      <c r="A249" s="13" t="s">
        <v>544</v>
      </c>
      <c r="B249" s="14" t="s">
        <v>545</v>
      </c>
      <c r="C249" s="14" t="s">
        <v>71</v>
      </c>
      <c r="D249" s="14" t="s">
        <v>90</v>
      </c>
      <c r="E249" s="14">
        <v>8</v>
      </c>
      <c r="F249" s="14">
        <v>12</v>
      </c>
      <c r="G249" s="14">
        <f t="shared" si="23"/>
        <v>10</v>
      </c>
      <c r="H249" s="14">
        <v>1.6</v>
      </c>
      <c r="I249" s="29"/>
      <c r="J249" t="str">
        <f t="shared" si="24"/>
        <v>"Graphite Flour":{"MATERIAL CLASS CODE":"28A35LMP",</v>
      </c>
      <c r="K249" t="str">
        <f t="shared" si="25"/>
        <v>"CONVEY LOADING":"30A",</v>
      </c>
      <c r="L249" t="str">
        <f t="shared" si="26"/>
        <v>"COMPONENT GROUP":"1A,1B,1C",</v>
      </c>
      <c r="M249" t="str">
        <f t="shared" si="27"/>
        <v>"WEIGHT (LBS/CF)":28,</v>
      </c>
      <c r="N249" t="str">
        <f t="shared" si="28"/>
        <v>"MATERIAL FACTOR":0.5}</v>
      </c>
      <c r="O249" t="str">
        <f t="shared" si="29"/>
        <v>"Graphite Flour":{"MATERIAL CLASS CODE":"28A35LMP","CONVEY LOADING":"30A","COMPONENT GROUP":"1A,1B,1C","WEIGHT (LBS/CF)":28,"MATERIAL FACTOR":0.5},</v>
      </c>
    </row>
    <row r="250" spans="1:15" hidden="1" x14ac:dyDescent="0.25">
      <c r="A250" s="15" t="s">
        <v>546</v>
      </c>
      <c r="B250" s="16" t="s">
        <v>70</v>
      </c>
      <c r="C250" s="16" t="s">
        <v>71</v>
      </c>
      <c r="D250" s="16" t="s">
        <v>72</v>
      </c>
      <c r="E250" s="16">
        <v>45</v>
      </c>
      <c r="F250" s="16">
        <v>45</v>
      </c>
      <c r="G250" s="16">
        <f t="shared" si="23"/>
        <v>45</v>
      </c>
      <c r="H250" s="16">
        <v>0.5</v>
      </c>
      <c r="I250" s="16" t="s">
        <v>116</v>
      </c>
      <c r="J250" t="str">
        <f t="shared" si="24"/>
        <v>"Graphite Ore":{"MATERIAL CLASS CODE":"70D35L",</v>
      </c>
      <c r="K250" t="str">
        <f t="shared" si="25"/>
        <v>"CONVEY LOADING":"30A",</v>
      </c>
      <c r="L250" t="str">
        <f t="shared" si="26"/>
        <v>"COMPONENT GROUP":"2D",</v>
      </c>
      <c r="M250" t="str">
        <f t="shared" si="27"/>
        <v>"WEIGHT (LBS/CF)":70,</v>
      </c>
      <c r="N250" t="str">
        <f t="shared" si="28"/>
        <v>"MATERIAL FACTOR":1}</v>
      </c>
      <c r="O250" t="str">
        <f t="shared" si="29"/>
        <v>"Graphite Ore":{"MATERIAL CLASS CODE":"70D35L","CONVEY LOADING":"30A","COMPONENT GROUP":"2D","WEIGHT (LBS/CF)":70,"MATERIAL FACTOR":1},</v>
      </c>
    </row>
    <row r="251" spans="1:15" hidden="1" x14ac:dyDescent="0.25">
      <c r="A251" s="13" t="s">
        <v>547</v>
      </c>
      <c r="B251" s="14" t="s">
        <v>548</v>
      </c>
      <c r="C251" s="14" t="s">
        <v>71</v>
      </c>
      <c r="D251" s="14" t="s">
        <v>81</v>
      </c>
      <c r="E251" s="14">
        <v>35</v>
      </c>
      <c r="F251" s="14">
        <v>50</v>
      </c>
      <c r="G251" s="14">
        <f t="shared" si="23"/>
        <v>42.5</v>
      </c>
      <c r="H251" s="14">
        <v>0.4</v>
      </c>
      <c r="I251" s="14" t="s">
        <v>73</v>
      </c>
      <c r="J251" t="str">
        <f t="shared" si="24"/>
        <v>"Guano Dry**":{"MATERIAL CLASS CODE":"70C35",</v>
      </c>
      <c r="K251" t="str">
        <f t="shared" si="25"/>
        <v>"CONVEY LOADING":"30A",</v>
      </c>
      <c r="L251" t="str">
        <f t="shared" si="26"/>
        <v>"COMPONENT GROUP":"3A,3B",</v>
      </c>
      <c r="M251" t="str">
        <f t="shared" si="27"/>
        <v>"WEIGHT (LBS/CF)":70,</v>
      </c>
      <c r="N251" t="str">
        <f t="shared" si="28"/>
        <v>"MATERIAL FACTOR":2}</v>
      </c>
      <c r="O251" t="str">
        <f t="shared" si="29"/>
        <v>"Guano Dry**":{"MATERIAL CLASS CODE":"70C35","CONVEY LOADING":"30A","COMPONENT GROUP":"3A,3B","WEIGHT (LBS/CF)":70,"MATERIAL FACTOR":2},</v>
      </c>
    </row>
    <row r="252" spans="1:15" hidden="1" x14ac:dyDescent="0.25">
      <c r="A252" s="15" t="s">
        <v>549</v>
      </c>
      <c r="B252" s="16" t="s">
        <v>550</v>
      </c>
      <c r="C252" s="16" t="s">
        <v>71</v>
      </c>
      <c r="D252" s="16" t="s">
        <v>155</v>
      </c>
      <c r="E252" s="16">
        <v>35</v>
      </c>
      <c r="F252" s="16">
        <v>35</v>
      </c>
      <c r="G252" s="16">
        <f t="shared" si="23"/>
        <v>35</v>
      </c>
      <c r="H252" s="16">
        <v>1</v>
      </c>
      <c r="I252" s="16" t="s">
        <v>73</v>
      </c>
      <c r="J252" t="str">
        <f t="shared" si="24"/>
        <v>"Gypsum, Calcined (Plaster of Paris)":{"MATERIAL CLASS CODE":"58B35U",</v>
      </c>
      <c r="K252" t="str">
        <f t="shared" si="25"/>
        <v>"CONVEY LOADING":"30A",</v>
      </c>
      <c r="L252" t="str">
        <f t="shared" si="26"/>
        <v>"COMPONENT GROUP":"2D",</v>
      </c>
      <c r="M252" t="str">
        <f t="shared" si="27"/>
        <v>"WEIGHT (LBS/CF)":57.5,</v>
      </c>
      <c r="N252" t="str">
        <f t="shared" si="28"/>
        <v>"MATERIAL FACTOR":1.6}</v>
      </c>
      <c r="O252" t="str">
        <f t="shared" si="29"/>
        <v>"Gypsum, Calcined (Plaster of Paris)":{"MATERIAL CLASS CODE":"58B35U","CONVEY LOADING":"30A","COMPONENT GROUP":"2D","WEIGHT (LBS/CF)":57.5,"MATERIAL FACTOR":1.6},</v>
      </c>
    </row>
    <row r="253" spans="1:15" hidden="1" x14ac:dyDescent="0.25">
      <c r="A253" s="13" t="s">
        <v>551</v>
      </c>
      <c r="B253" s="14" t="s">
        <v>552</v>
      </c>
      <c r="C253" s="14" t="s">
        <v>71</v>
      </c>
      <c r="D253" s="14" t="s">
        <v>90</v>
      </c>
      <c r="E253" s="14">
        <v>50</v>
      </c>
      <c r="F253" s="14">
        <v>55</v>
      </c>
      <c r="G253" s="14">
        <f t="shared" si="23"/>
        <v>52.5</v>
      </c>
      <c r="H253" s="14">
        <v>1.5</v>
      </c>
      <c r="I253" s="29"/>
      <c r="J253" t="str">
        <f t="shared" si="24"/>
        <v>"Gypsum, Calcined, Powdered (Plaster of Paris)":{"MATERIAL CLASS CODE":"70A35U",</v>
      </c>
      <c r="K253" t="str">
        <f t="shared" si="25"/>
        <v>"CONVEY LOADING":"30A",</v>
      </c>
      <c r="L253" t="str">
        <f t="shared" si="26"/>
        <v>"COMPONENT GROUP":"2D",</v>
      </c>
      <c r="M253" t="str">
        <f t="shared" si="27"/>
        <v>"WEIGHT (LBS/CF)":70,</v>
      </c>
      <c r="N253" t="str">
        <f t="shared" si="28"/>
        <v>"MATERIAL FACTOR":2}</v>
      </c>
      <c r="O253" t="str">
        <f t="shared" si="29"/>
        <v>"Gypsum, Calcined, Powdered (Plaster of Paris)":{"MATERIAL CLASS CODE":"70A35U","CONVEY LOADING":"30A","COMPONENT GROUP":"2D","WEIGHT (LBS/CF)":70,"MATERIAL FACTOR":2},</v>
      </c>
    </row>
    <row r="254" spans="1:15" hidden="1" x14ac:dyDescent="0.25">
      <c r="A254" s="15" t="s">
        <v>553</v>
      </c>
      <c r="B254" s="16" t="s">
        <v>554</v>
      </c>
      <c r="C254" s="16" t="s">
        <v>71</v>
      </c>
      <c r="D254" s="16" t="s">
        <v>90</v>
      </c>
      <c r="E254" s="16">
        <v>35</v>
      </c>
      <c r="F254" s="16">
        <v>45</v>
      </c>
      <c r="G254" s="16">
        <f t="shared" si="23"/>
        <v>40</v>
      </c>
      <c r="H254" s="16">
        <v>0.4</v>
      </c>
      <c r="I254" s="16" t="s">
        <v>73</v>
      </c>
      <c r="J254" t="str">
        <f t="shared" si="24"/>
        <v>"Gypsum, Raw 1” (Calc. Sulfate, Plast. of Paris)":{"MATERIAL CLASS CODE":"75D25",</v>
      </c>
      <c r="K254" t="str">
        <f t="shared" si="25"/>
        <v>"CONVEY LOADING":"30A",</v>
      </c>
      <c r="L254" t="str">
        <f t="shared" si="26"/>
        <v>"COMPONENT GROUP":"2D",</v>
      </c>
      <c r="M254" t="str">
        <f t="shared" si="27"/>
        <v>"WEIGHT (LBS/CF)":75,</v>
      </c>
      <c r="N254" t="str">
        <f t="shared" si="28"/>
        <v>"MATERIAL FACTOR":2}</v>
      </c>
      <c r="O254" t="str">
        <f t="shared" si="29"/>
        <v>"Gypsum, Raw 1” (Calc. Sulfate, Plast. of Paris)":{"MATERIAL CLASS CODE":"75D25","CONVEY LOADING":"30A","COMPONENT GROUP":"2D","WEIGHT (LBS/CF)":75,"MATERIAL FACTOR":2},</v>
      </c>
    </row>
    <row r="255" spans="1:15" hidden="1" x14ac:dyDescent="0.25">
      <c r="A255" s="13" t="s">
        <v>555</v>
      </c>
      <c r="B255" s="14" t="s">
        <v>556</v>
      </c>
      <c r="C255" s="14" t="s">
        <v>71</v>
      </c>
      <c r="D255" s="14" t="s">
        <v>160</v>
      </c>
      <c r="E255" s="14">
        <v>33</v>
      </c>
      <c r="F255" s="14">
        <v>35</v>
      </c>
      <c r="G255" s="14">
        <f t="shared" si="23"/>
        <v>34</v>
      </c>
      <c r="H255" s="14">
        <v>0.4</v>
      </c>
      <c r="I255" s="14" t="s">
        <v>73</v>
      </c>
      <c r="J255" t="str">
        <f t="shared" si="24"/>
        <v>"Hay, Chopped**":{"MATERIAL CLASS CODE":"10C35JY",</v>
      </c>
      <c r="K255" t="str">
        <f t="shared" si="25"/>
        <v>"CONVEY LOADING":"30A",</v>
      </c>
      <c r="L255" t="str">
        <f t="shared" si="26"/>
        <v>"COMPONENT GROUP":"2A,2B",</v>
      </c>
      <c r="M255" t="str">
        <f t="shared" si="27"/>
        <v>"WEIGHT (LBS/CF)":10,</v>
      </c>
      <c r="N255" t="str">
        <f t="shared" si="28"/>
        <v>"MATERIAL FACTOR":1.6}</v>
      </c>
      <c r="O255" t="str">
        <f t="shared" si="29"/>
        <v>"Hay, Chopped**":{"MATERIAL CLASS CODE":"10C35JY","CONVEY LOADING":"30A","COMPONENT GROUP":"2A,2B","WEIGHT (LBS/CF)":10,"MATERIAL FACTOR":1.6},</v>
      </c>
    </row>
    <row r="256" spans="1:15" hidden="1" x14ac:dyDescent="0.25">
      <c r="A256" s="15" t="s">
        <v>557</v>
      </c>
      <c r="B256" s="16" t="s">
        <v>558</v>
      </c>
      <c r="C256" s="16" t="s">
        <v>71</v>
      </c>
      <c r="D256" s="16" t="s">
        <v>160</v>
      </c>
      <c r="E256" s="16">
        <v>40</v>
      </c>
      <c r="F256" s="16">
        <v>45</v>
      </c>
      <c r="G256" s="16">
        <f t="shared" si="23"/>
        <v>42.5</v>
      </c>
      <c r="H256" s="16">
        <v>0.6</v>
      </c>
      <c r="I256" s="16" t="s">
        <v>73</v>
      </c>
      <c r="J256" t="str">
        <f t="shared" si="24"/>
        <v>"Hexanedioic Acid (Adipic Acid)":{"MATERIAL CLASS CODE":"45A35",</v>
      </c>
      <c r="K256" t="str">
        <f t="shared" si="25"/>
        <v>"CONVEY LOADING":"30A",</v>
      </c>
      <c r="L256" t="str">
        <f t="shared" si="26"/>
        <v>"COMPONENT GROUP":"2B",</v>
      </c>
      <c r="M256" t="str">
        <f t="shared" si="27"/>
        <v>"WEIGHT (LBS/CF)":45,</v>
      </c>
      <c r="N256" t="str">
        <f t="shared" si="28"/>
        <v>"MATERIAL FACTOR":0.5}</v>
      </c>
      <c r="O256" t="str">
        <f t="shared" si="29"/>
        <v>"Hexanedioic Acid (Adipic Acid)":{"MATERIAL CLASS CODE":"45A35","CONVEY LOADING":"30A","COMPONENT GROUP":"2B","WEIGHT (LBS/CF)":45,"MATERIAL FACTOR":0.5},</v>
      </c>
    </row>
    <row r="257" spans="1:15" hidden="1" x14ac:dyDescent="0.25">
      <c r="A257" s="13" t="s">
        <v>559</v>
      </c>
      <c r="B257" s="14" t="s">
        <v>560</v>
      </c>
      <c r="C257" s="14" t="s">
        <v>71</v>
      </c>
      <c r="D257" s="14" t="s">
        <v>160</v>
      </c>
      <c r="E257" s="14">
        <v>33</v>
      </c>
      <c r="F257" s="14">
        <v>35</v>
      </c>
      <c r="G257" s="14">
        <f t="shared" si="23"/>
        <v>34</v>
      </c>
      <c r="H257" s="14">
        <v>0.4</v>
      </c>
      <c r="I257" s="14" t="s">
        <v>73</v>
      </c>
      <c r="J257" t="str">
        <f t="shared" si="24"/>
        <v>"Hominy, Dry":{"MATERIAL CLASS CODE":"43C25D",</v>
      </c>
      <c r="K257" t="str">
        <f t="shared" si="25"/>
        <v>"CONVEY LOADING":"30A",</v>
      </c>
      <c r="L257" t="str">
        <f t="shared" si="26"/>
        <v>"COMPONENT GROUP":"1A,1B,1C",</v>
      </c>
      <c r="M257" t="str">
        <f t="shared" si="27"/>
        <v>"WEIGHT (LBS/CF)":42.5,</v>
      </c>
      <c r="N257" t="str">
        <f t="shared" si="28"/>
        <v>"MATERIAL FACTOR":0.4}</v>
      </c>
      <c r="O257" t="str">
        <f t="shared" si="29"/>
        <v>"Hominy, Dry":{"MATERIAL CLASS CODE":"43C25D","CONVEY LOADING":"30A","COMPONENT GROUP":"1A,1B,1C","WEIGHT (LBS/CF)":42.5,"MATERIAL FACTOR":0.4},</v>
      </c>
    </row>
    <row r="258" spans="1:15" hidden="1" x14ac:dyDescent="0.25">
      <c r="A258" s="15" t="s">
        <v>561</v>
      </c>
      <c r="B258" s="16" t="s">
        <v>562</v>
      </c>
      <c r="C258" s="16">
        <v>15</v>
      </c>
      <c r="D258" s="16" t="s">
        <v>87</v>
      </c>
      <c r="E258" s="16">
        <v>140</v>
      </c>
      <c r="F258" s="16">
        <v>160</v>
      </c>
      <c r="G258" s="16">
        <f t="shared" si="23"/>
        <v>150</v>
      </c>
      <c r="H258" s="16">
        <v>2</v>
      </c>
      <c r="I258" s="30"/>
      <c r="J258" t="str">
        <f t="shared" si="24"/>
        <v>"Hops, Spend, Dry":{"MATERIAL CLASS CODE":"35D35",</v>
      </c>
      <c r="K258" t="str">
        <f t="shared" si="25"/>
        <v>"CONVEY LOADING":"30A",</v>
      </c>
      <c r="L258" t="str">
        <f t="shared" si="26"/>
        <v>"COMPONENT GROUP":"2A,2B,2C",</v>
      </c>
      <c r="M258" t="str">
        <f t="shared" si="27"/>
        <v>"WEIGHT (LBS/CF)":35,</v>
      </c>
      <c r="N258" t="str">
        <f t="shared" si="28"/>
        <v>"MATERIAL FACTOR":1}</v>
      </c>
      <c r="O258" t="str">
        <f t="shared" si="29"/>
        <v>"Hops, Spend, Dry":{"MATERIAL CLASS CODE":"35D35","CONVEY LOADING":"30A","COMPONENT GROUP":"2A,2B,2C","WEIGHT (LBS/CF)":35,"MATERIAL FACTOR":1},</v>
      </c>
    </row>
    <row r="259" spans="1:15" hidden="1" x14ac:dyDescent="0.25">
      <c r="A259" s="13" t="s">
        <v>563</v>
      </c>
      <c r="B259" s="14" t="s">
        <v>564</v>
      </c>
      <c r="C259" s="14">
        <v>15</v>
      </c>
      <c r="D259" s="14" t="s">
        <v>87</v>
      </c>
      <c r="E259" s="14">
        <v>120</v>
      </c>
      <c r="F259" s="14">
        <v>180</v>
      </c>
      <c r="G259" s="14">
        <f t="shared" si="23"/>
        <v>150</v>
      </c>
      <c r="H259" s="14">
        <v>2.2000000000000002</v>
      </c>
      <c r="I259" s="29"/>
      <c r="J259" t="str">
        <f t="shared" si="24"/>
        <v>"Hops, Spent, Wet":{"MATERIAL CLASS CODE":"53D45V",</v>
      </c>
      <c r="K259" t="str">
        <f t="shared" si="25"/>
        <v>"CONVEY LOADING":"30A",</v>
      </c>
      <c r="L259" t="str">
        <f t="shared" si="26"/>
        <v>"COMPONENT GROUP":"2A,2B",</v>
      </c>
      <c r="M259" t="str">
        <f t="shared" si="27"/>
        <v>"WEIGHT (LBS/CF)":52.5,</v>
      </c>
      <c r="N259" t="str">
        <f t="shared" si="28"/>
        <v>"MATERIAL FACTOR":1.5}</v>
      </c>
      <c r="O259" t="str">
        <f t="shared" si="29"/>
        <v>"Hops, Spent, Wet":{"MATERIAL CLASS CODE":"53D45V","CONVEY LOADING":"30A","COMPONENT GROUP":"2A,2B","WEIGHT (LBS/CF)":52.5,"MATERIAL FACTOR":1.5},</v>
      </c>
    </row>
    <row r="260" spans="1:15" hidden="1" x14ac:dyDescent="0.25">
      <c r="A260" s="15" t="s">
        <v>565</v>
      </c>
      <c r="B260" s="16" t="s">
        <v>566</v>
      </c>
      <c r="C260" s="16" t="s">
        <v>99</v>
      </c>
      <c r="D260" s="16" t="s">
        <v>81</v>
      </c>
      <c r="E260" s="16">
        <v>25</v>
      </c>
      <c r="F260" s="16">
        <v>25</v>
      </c>
      <c r="G260" s="16">
        <f t="shared" si="23"/>
        <v>25</v>
      </c>
      <c r="H260" s="16">
        <v>1</v>
      </c>
      <c r="I260" s="30"/>
      <c r="J260" t="str">
        <f t="shared" si="24"/>
        <v>"Ice, Crushed":{"MATERIAL CLASS CODE":"40D35O",</v>
      </c>
      <c r="K260" t="str">
        <f t="shared" si="25"/>
        <v>"CONVEY LOADING":"30A",</v>
      </c>
      <c r="L260" t="str">
        <f t="shared" si="26"/>
        <v>"COMPONENT GROUP":"2A,2B",</v>
      </c>
      <c r="M260" t="str">
        <f t="shared" si="27"/>
        <v>"WEIGHT (LBS/CF)":40,</v>
      </c>
      <c r="N260" t="str">
        <f t="shared" si="28"/>
        <v>"MATERIAL FACTOR":0.4}</v>
      </c>
      <c r="O260" t="str">
        <f t="shared" si="29"/>
        <v>"Ice, Crushed":{"MATERIAL CLASS CODE":"40D35O","CONVEY LOADING":"30A","COMPONENT GROUP":"2A,2B","WEIGHT (LBS/CF)":40,"MATERIAL FACTOR":0.4},</v>
      </c>
    </row>
    <row r="261" spans="1:15" hidden="1" x14ac:dyDescent="0.25">
      <c r="A261" s="13" t="s">
        <v>567</v>
      </c>
      <c r="B261" s="14" t="s">
        <v>568</v>
      </c>
      <c r="C261" s="14" t="s">
        <v>99</v>
      </c>
      <c r="D261" s="14" t="s">
        <v>76</v>
      </c>
      <c r="E261" s="14">
        <v>75</v>
      </c>
      <c r="F261" s="14">
        <v>75</v>
      </c>
      <c r="G261" s="14">
        <f t="shared" ref="G261:G324" si="30">IFERROR((F261+E261)/2,0)</f>
        <v>75</v>
      </c>
      <c r="H261" s="14">
        <v>1.6</v>
      </c>
      <c r="I261" s="29"/>
      <c r="J261" t="str">
        <f t="shared" si="24"/>
        <v>"Ice, Cubes":{"MATERIAL CLASS CODE":"34D35O",</v>
      </c>
      <c r="K261" t="str">
        <f t="shared" si="25"/>
        <v>"CONVEY LOADING":"30A",</v>
      </c>
      <c r="L261" t="str">
        <f t="shared" si="26"/>
        <v>"COMPONENT GROUP":"1B",</v>
      </c>
      <c r="M261" t="str">
        <f t="shared" si="27"/>
        <v>"WEIGHT (LBS/CF)":34,</v>
      </c>
      <c r="N261" t="str">
        <f t="shared" si="28"/>
        <v>"MATERIAL FACTOR":0.4}</v>
      </c>
      <c r="O261" t="str">
        <f t="shared" si="29"/>
        <v>"Ice, Cubes":{"MATERIAL CLASS CODE":"34D35O","CONVEY LOADING":"30A","COMPONENT GROUP":"1B","WEIGHT (LBS/CF)":34,"MATERIAL FACTOR":0.4},</v>
      </c>
    </row>
    <row r="262" spans="1:15" hidden="1" x14ac:dyDescent="0.25">
      <c r="A262" s="15" t="s">
        <v>569</v>
      </c>
      <c r="B262" s="30"/>
      <c r="C262" s="30"/>
      <c r="D262" s="30"/>
      <c r="E262" s="30"/>
      <c r="F262" s="30"/>
      <c r="G262" s="30">
        <f t="shared" si="30"/>
        <v>0</v>
      </c>
      <c r="H262" s="30">
        <v>0.4</v>
      </c>
      <c r="I262" s="30"/>
      <c r="J262" t="str">
        <f t="shared" si="24"/>
        <v>"Ice, Flaked**":{"MATERIAL CLASS CODE":"43C35O",</v>
      </c>
      <c r="K262" t="str">
        <f t="shared" si="25"/>
        <v>"CONVEY LOADING":"30A",</v>
      </c>
      <c r="L262" t="str">
        <f t="shared" si="26"/>
        <v>"COMPONENT GROUP":"1B",</v>
      </c>
      <c r="M262" t="str">
        <f t="shared" si="27"/>
        <v>"WEIGHT (LBS/CF)":42.5,</v>
      </c>
      <c r="N262" t="str">
        <f t="shared" si="28"/>
        <v>"MATERIAL FACTOR":0.6}</v>
      </c>
      <c r="O262" t="str">
        <f t="shared" si="29"/>
        <v>"Ice, Flaked**":{"MATERIAL CLASS CODE":"43C35O","CONVEY LOADING":"30A","COMPONENT GROUP":"1B","WEIGHT (LBS/CF)":42.5,"MATERIAL FACTOR":0.6},</v>
      </c>
    </row>
    <row r="263" spans="1:15" hidden="1" x14ac:dyDescent="0.25">
      <c r="A263" s="13" t="s">
        <v>570</v>
      </c>
      <c r="B263" s="29"/>
      <c r="C263" s="29"/>
      <c r="D263" s="29"/>
      <c r="E263" s="29"/>
      <c r="F263" s="29"/>
      <c r="G263" s="29">
        <f t="shared" si="30"/>
        <v>0</v>
      </c>
      <c r="H263" s="29">
        <v>0.4</v>
      </c>
      <c r="I263" s="29"/>
      <c r="J263" t="str">
        <f t="shared" si="24"/>
        <v>"Ice, Shell":{"MATERIAL CLASS CODE":"34D45O",</v>
      </c>
      <c r="K263" t="str">
        <f t="shared" si="25"/>
        <v>"CONVEY LOADING":"30A",</v>
      </c>
      <c r="L263" t="str">
        <f t="shared" si="26"/>
        <v>"COMPONENT GROUP":"1B",</v>
      </c>
      <c r="M263" t="str">
        <f t="shared" si="27"/>
        <v>"WEIGHT (LBS/CF)":34,</v>
      </c>
      <c r="N263" t="str">
        <f t="shared" si="28"/>
        <v>"MATERIAL FACTOR":0.4}</v>
      </c>
      <c r="O263" t="str">
        <f t="shared" si="29"/>
        <v>"Ice, Shell":{"MATERIAL CLASS CODE":"34D45O","CONVEY LOADING":"30A","COMPONENT GROUP":"1B","WEIGHT (LBS/CF)":34,"MATERIAL FACTOR":0.4},</v>
      </c>
    </row>
    <row r="264" spans="1:15" hidden="1" x14ac:dyDescent="0.25">
      <c r="A264" s="15" t="s">
        <v>571</v>
      </c>
      <c r="B264" s="16" t="s">
        <v>371</v>
      </c>
      <c r="C264" s="16" t="s">
        <v>71</v>
      </c>
      <c r="D264" s="16" t="s">
        <v>76</v>
      </c>
      <c r="E264" s="16">
        <v>50</v>
      </c>
      <c r="F264" s="16">
        <v>75</v>
      </c>
      <c r="G264" s="16">
        <f t="shared" si="30"/>
        <v>62.5</v>
      </c>
      <c r="H264" s="16">
        <v>1</v>
      </c>
      <c r="I264" s="16" t="s">
        <v>116</v>
      </c>
      <c r="J264" t="str">
        <f t="shared" si="24"/>
        <v>"Ilmenite Ore (Titanium Dioxide)":{"MATERIAL CLASS CODE":"150D37",</v>
      </c>
      <c r="K264" t="str">
        <f t="shared" si="25"/>
        <v>"CONVEY LOADING":"15",</v>
      </c>
      <c r="L264" t="str">
        <f t="shared" si="26"/>
        <v>"COMPONENT GROUP":"3D",</v>
      </c>
      <c r="M264" t="str">
        <f t="shared" si="27"/>
        <v>"WEIGHT (LBS/CF)":150,</v>
      </c>
      <c r="N264" t="str">
        <f t="shared" si="28"/>
        <v>"MATERIAL FACTOR":2}</v>
      </c>
      <c r="O264" t="str">
        <f t="shared" si="29"/>
        <v>"Ilmenite Ore (Titanium Dioxide)":{"MATERIAL CLASS CODE":"150D37","CONVEY LOADING":"15","COMPONENT GROUP":"3D","WEIGHT (LBS/CF)":150,"MATERIAL FACTOR":2},</v>
      </c>
    </row>
    <row r="265" spans="1:15" hidden="1" x14ac:dyDescent="0.25">
      <c r="A265" s="13" t="s">
        <v>572</v>
      </c>
      <c r="B265" s="14" t="s">
        <v>371</v>
      </c>
      <c r="C265" s="14" t="s">
        <v>71</v>
      </c>
      <c r="D265" s="14" t="s">
        <v>76</v>
      </c>
      <c r="E265" s="14">
        <v>50</v>
      </c>
      <c r="F265" s="14">
        <v>75</v>
      </c>
      <c r="G265" s="14">
        <f t="shared" si="30"/>
        <v>62.5</v>
      </c>
      <c r="H265" s="14">
        <v>1</v>
      </c>
      <c r="I265" s="14" t="s">
        <v>116</v>
      </c>
      <c r="J265" t="str">
        <f t="shared" si="24"/>
        <v>"Iron Ore Concentrate":{"MATERIAL CLASS CODE":"150A37",</v>
      </c>
      <c r="K265" t="str">
        <f t="shared" si="25"/>
        <v>"CONVEY LOADING":"15",</v>
      </c>
      <c r="L265" t="str">
        <f t="shared" si="26"/>
        <v>"COMPONENT GROUP":"3D",</v>
      </c>
      <c r="M265" t="str">
        <f t="shared" si="27"/>
        <v>"WEIGHT (LBS/CF)":150,</v>
      </c>
      <c r="N265" t="str">
        <f t="shared" si="28"/>
        <v>"MATERIAL FACTOR":2.2}</v>
      </c>
      <c r="O265" t="str">
        <f t="shared" si="29"/>
        <v>"Iron Ore Concentrate":{"MATERIAL CLASS CODE":"150A37","CONVEY LOADING":"15","COMPONENT GROUP":"3D","WEIGHT (LBS/CF)":150,"MATERIAL FACTOR":2.2},</v>
      </c>
    </row>
    <row r="266" spans="1:15" hidden="1" x14ac:dyDescent="0.25">
      <c r="A266" s="15" t="s">
        <v>573</v>
      </c>
      <c r="B266" s="16" t="s">
        <v>574</v>
      </c>
      <c r="C266" s="16">
        <v>45</v>
      </c>
      <c r="D266" s="16" t="s">
        <v>87</v>
      </c>
      <c r="E266" s="16">
        <v>40</v>
      </c>
      <c r="F266" s="16">
        <v>45</v>
      </c>
      <c r="G266" s="16">
        <f t="shared" si="30"/>
        <v>42.5</v>
      </c>
      <c r="H266" s="16">
        <v>0.5</v>
      </c>
      <c r="I266" s="16" t="s">
        <v>73</v>
      </c>
      <c r="J266" t="str">
        <f t="shared" si="24"/>
        <v>"Iron Oxide Pigment":{"MATERIAL CLASS CODE":"25A36LMP",</v>
      </c>
      <c r="K266" t="str">
        <f t="shared" si="25"/>
        <v>"CONVEY LOADING":"30B",</v>
      </c>
      <c r="L266" t="str">
        <f t="shared" si="26"/>
        <v>"COMPONENT GROUP":"1A,1B,1C",</v>
      </c>
      <c r="M266" t="str">
        <f t="shared" si="27"/>
        <v>"WEIGHT (LBS/CF)":25,</v>
      </c>
      <c r="N266" t="str">
        <f t="shared" si="28"/>
        <v>"MATERIAL FACTOR":1}</v>
      </c>
      <c r="O266" t="str">
        <f t="shared" si="29"/>
        <v>"Iron Oxide Pigment":{"MATERIAL CLASS CODE":"25A36LMP","CONVEY LOADING":"30B","COMPONENT GROUP":"1A,1B,1C","WEIGHT (LBS/CF)":25,"MATERIAL FACTOR":1},</v>
      </c>
    </row>
    <row r="267" spans="1:15" hidden="1" x14ac:dyDescent="0.25">
      <c r="A267" s="13" t="s">
        <v>575</v>
      </c>
      <c r="B267" s="14" t="s">
        <v>576</v>
      </c>
      <c r="C267" s="14" t="s">
        <v>71</v>
      </c>
      <c r="D267" s="14" t="s">
        <v>76</v>
      </c>
      <c r="E267" s="14">
        <v>63</v>
      </c>
      <c r="F267" s="14">
        <v>63</v>
      </c>
      <c r="G267" s="14">
        <f t="shared" si="30"/>
        <v>63</v>
      </c>
      <c r="H267" s="14">
        <v>2</v>
      </c>
      <c r="I267" s="29"/>
      <c r="J267" t="str">
        <f t="shared" si="24"/>
        <v>"Iron Oxide, Millscale":{"MATERIAL CLASS CODE":"75C36",</v>
      </c>
      <c r="K267" t="str">
        <f t="shared" si="25"/>
        <v>"CONVEY LOADING":"30B",</v>
      </c>
      <c r="L267" t="str">
        <f t="shared" si="26"/>
        <v>"COMPONENT GROUP":"2D",</v>
      </c>
      <c r="M267" t="str">
        <f t="shared" si="27"/>
        <v>"WEIGHT (LBS/CF)":75,</v>
      </c>
      <c r="N267" t="str">
        <f t="shared" si="28"/>
        <v>"MATERIAL FACTOR":1.6}</v>
      </c>
      <c r="O267" t="str">
        <f t="shared" si="29"/>
        <v>"Iron Oxide, Millscale":{"MATERIAL CLASS CODE":"75C36","CONVEY LOADING":"30B","COMPONENT GROUP":"2D","WEIGHT (LBS/CF)":75,"MATERIAL FACTOR":1.6},</v>
      </c>
    </row>
    <row r="268" spans="1:15" hidden="1" x14ac:dyDescent="0.25">
      <c r="A268" s="15" t="s">
        <v>577</v>
      </c>
      <c r="B268" s="16" t="s">
        <v>578</v>
      </c>
      <c r="C268" s="16" t="s">
        <v>71</v>
      </c>
      <c r="D268" s="16" t="s">
        <v>76</v>
      </c>
      <c r="E268" s="16">
        <v>42</v>
      </c>
      <c r="F268" s="16">
        <v>56</v>
      </c>
      <c r="G268" s="16">
        <f t="shared" si="30"/>
        <v>49</v>
      </c>
      <c r="H268" s="16">
        <v>2</v>
      </c>
      <c r="I268" s="30"/>
      <c r="J268" t="str">
        <f t="shared" ref="J268:J331" si="31">CHAR(34)&amp;A262&amp;CHAR(34)&amp;":{"&amp;CHAR(34)&amp;$B$4&amp;CHAR(34)&amp;":"&amp;CHAR(34)&amp;B262&amp;CHAR(34)&amp;","</f>
        <v>"Iron Pyrites (see Ferrous Sulfide)":{"MATERIAL CLASS CODE":"",</v>
      </c>
      <c r="K268" t="str">
        <f t="shared" ref="K268:K331" si="32">CHAR(34)&amp;$C$4&amp;CHAR(34)&amp;":"&amp;CHAR(34)&amp;C262&amp;CHAR(34)&amp;","</f>
        <v>"CONVEY LOADING":"",</v>
      </c>
      <c r="L268" t="str">
        <f t="shared" ref="L268:L331" si="33">CHAR(34)&amp;$D$4&amp;CHAR(34)&amp;":"&amp;CHAR(34)&amp;D262&amp;CHAR(34)&amp;","</f>
        <v>"COMPONENT GROUP":"",</v>
      </c>
      <c r="M268" t="str">
        <f t="shared" ref="M268:M331" si="34">CHAR(34)&amp;$E$1&amp;CHAR(34)&amp;":"&amp;G262&amp;","</f>
        <v>"WEIGHT (LBS/CF)":0,</v>
      </c>
      <c r="N268" t="str">
        <f t="shared" ref="N268:N331" si="35">CHAR(34)&amp;$H$4&amp;CHAR(34)&amp;":"&amp;H262&amp;"}"</f>
        <v>"MATERIAL FACTOR":0.4}</v>
      </c>
      <c r="O268" t="str">
        <f t="shared" ref="O268:O331" si="36">J268&amp;K268&amp;L268&amp;M268&amp;N268&amp;","</f>
        <v>"Iron Pyrites (see Ferrous Sulfide)":{"MATERIAL CLASS CODE":"","CONVEY LOADING":"","COMPONENT GROUP":"","WEIGHT (LBS/CF)":0,"MATERIAL FACTOR":0.4},</v>
      </c>
    </row>
    <row r="269" spans="1:15" hidden="1" x14ac:dyDescent="0.25">
      <c r="A269" s="13" t="s">
        <v>579</v>
      </c>
      <c r="B269" s="29"/>
      <c r="C269" s="29"/>
      <c r="D269" s="29"/>
      <c r="E269" s="29"/>
      <c r="F269" s="29"/>
      <c r="G269" s="29">
        <f t="shared" si="30"/>
        <v>0</v>
      </c>
      <c r="H269" s="29">
        <v>0.4</v>
      </c>
      <c r="I269" s="29"/>
      <c r="J269" t="str">
        <f t="shared" si="31"/>
        <v>"Iron Sulfide (see Ferrous Sulfide)":{"MATERIAL CLASS CODE":"",</v>
      </c>
      <c r="K269" t="str">
        <f t="shared" si="32"/>
        <v>"CONVEY LOADING":"",</v>
      </c>
      <c r="L269" t="str">
        <f t="shared" si="33"/>
        <v>"COMPONENT GROUP":"",</v>
      </c>
      <c r="M269" t="str">
        <f t="shared" si="34"/>
        <v>"WEIGHT (LBS/CF)":0,</v>
      </c>
      <c r="N269" t="str">
        <f t="shared" si="35"/>
        <v>"MATERIAL FACTOR":0.4}</v>
      </c>
      <c r="O269" t="str">
        <f t="shared" si="36"/>
        <v>"Iron Sulfide (see Ferrous Sulfide)":{"MATERIAL CLASS CODE":"","CONVEY LOADING":"","COMPONENT GROUP":"","WEIGHT (LBS/CF)":0,"MATERIAL FACTOR":0.4},</v>
      </c>
    </row>
    <row r="270" spans="1:15" hidden="1" x14ac:dyDescent="0.25">
      <c r="A270" s="15" t="s">
        <v>580</v>
      </c>
      <c r="B270" s="16" t="s">
        <v>581</v>
      </c>
      <c r="C270" s="16" t="s">
        <v>71</v>
      </c>
      <c r="D270" s="16" t="s">
        <v>160</v>
      </c>
      <c r="E270" s="16">
        <v>32</v>
      </c>
      <c r="F270" s="16">
        <v>32</v>
      </c>
      <c r="G270" s="16">
        <f t="shared" si="30"/>
        <v>32</v>
      </c>
      <c r="H270" s="16">
        <v>0.6</v>
      </c>
      <c r="I270" s="30"/>
      <c r="J270" t="str">
        <f t="shared" si="31"/>
        <v>"Iron Sulphate (Ferrous Sulfate)":{"MATERIAL CLASS CODE":"63C35U",</v>
      </c>
      <c r="K270" t="str">
        <f t="shared" si="32"/>
        <v>"CONVEY LOADING":"30A",</v>
      </c>
      <c r="L270" t="str">
        <f t="shared" si="33"/>
        <v>"COMPONENT GROUP":"2D",</v>
      </c>
      <c r="M270" t="str">
        <f t="shared" si="34"/>
        <v>"WEIGHT (LBS/CF)":62.5,</v>
      </c>
      <c r="N270" t="str">
        <f t="shared" si="35"/>
        <v>"MATERIAL FACTOR":1}</v>
      </c>
      <c r="O270" t="str">
        <f t="shared" si="36"/>
        <v>"Iron Sulphate (Ferrous Sulfate)":{"MATERIAL CLASS CODE":"63C35U","CONVEY LOADING":"30A","COMPONENT GROUP":"2D","WEIGHT (LBS/CF)":62.5,"MATERIAL FACTOR":1},</v>
      </c>
    </row>
    <row r="271" spans="1:15" hidden="1" x14ac:dyDescent="0.25">
      <c r="A271" s="13" t="s">
        <v>582</v>
      </c>
      <c r="B271" s="29"/>
      <c r="C271" s="29"/>
      <c r="D271" s="29"/>
      <c r="E271" s="29"/>
      <c r="F271" s="29"/>
      <c r="G271" s="29">
        <f t="shared" si="30"/>
        <v>0</v>
      </c>
      <c r="H271" s="29">
        <v>0.4</v>
      </c>
      <c r="I271" s="29"/>
      <c r="J271" t="str">
        <f t="shared" si="31"/>
        <v>"Iron Vitriol (Ferrous Sulfate)":{"MATERIAL CLASS CODE":"63C35U",</v>
      </c>
      <c r="K271" t="str">
        <f t="shared" si="32"/>
        <v>"CONVEY LOADING":"30A",</v>
      </c>
      <c r="L271" t="str">
        <f t="shared" si="33"/>
        <v>"COMPONENT GROUP":"2D",</v>
      </c>
      <c r="M271" t="str">
        <f t="shared" si="34"/>
        <v>"WEIGHT (LBS/CF)":62.5,</v>
      </c>
      <c r="N271" t="str">
        <f t="shared" si="35"/>
        <v>"MATERIAL FACTOR":1}</v>
      </c>
      <c r="O271" t="str">
        <f t="shared" si="36"/>
        <v>"Iron Vitriol (Ferrous Sulfate)":{"MATERIAL CLASS CODE":"63C35U","CONVEY LOADING":"30A","COMPONENT GROUP":"2D","WEIGHT (LBS/CF)":62.5,"MATERIAL FACTOR":1},</v>
      </c>
    </row>
    <row r="272" spans="1:15" hidden="1" x14ac:dyDescent="0.25">
      <c r="A272" s="15" t="s">
        <v>583</v>
      </c>
      <c r="B272" s="16" t="s">
        <v>127</v>
      </c>
      <c r="C272" s="16" t="s">
        <v>71</v>
      </c>
      <c r="D272" s="16" t="s">
        <v>81</v>
      </c>
      <c r="E272" s="16">
        <v>72</v>
      </c>
      <c r="F272" s="16">
        <v>72</v>
      </c>
      <c r="G272" s="16">
        <f t="shared" si="30"/>
        <v>72</v>
      </c>
      <c r="H272" s="16">
        <v>1.4</v>
      </c>
      <c r="I272" s="30"/>
      <c r="J272" t="str">
        <f t="shared" si="31"/>
        <v>"Kafir (Corn)":{"MATERIAL CLASS CODE":"43C25",</v>
      </c>
      <c r="K272" t="str">
        <f t="shared" si="32"/>
        <v>"CONVEY LOADING":"45",</v>
      </c>
      <c r="L272" t="str">
        <f t="shared" si="33"/>
        <v>"COMPONENT GROUP":"3D",</v>
      </c>
      <c r="M272" t="str">
        <f t="shared" si="34"/>
        <v>"WEIGHT (LBS/CF)":42.5,</v>
      </c>
      <c r="N272" t="str">
        <f t="shared" si="35"/>
        <v>"MATERIAL FACTOR":0.5}</v>
      </c>
      <c r="O272" t="str">
        <f t="shared" si="36"/>
        <v>"Kafir (Corn)":{"MATERIAL CLASS CODE":"43C25","CONVEY LOADING":"45","COMPONENT GROUP":"3D","WEIGHT (LBS/CF)":42.5,"MATERIAL FACTOR":0.5},</v>
      </c>
    </row>
    <row r="273" spans="1:15" hidden="1" x14ac:dyDescent="0.25">
      <c r="A273" s="13" t="s">
        <v>584</v>
      </c>
      <c r="B273" s="14" t="s">
        <v>292</v>
      </c>
      <c r="C273" s="14" t="s">
        <v>71</v>
      </c>
      <c r="D273" s="14" t="s">
        <v>76</v>
      </c>
      <c r="E273" s="14">
        <v>240</v>
      </c>
      <c r="F273" s="14">
        <v>260</v>
      </c>
      <c r="G273" s="14">
        <f t="shared" si="30"/>
        <v>250</v>
      </c>
      <c r="H273" s="14">
        <v>1</v>
      </c>
      <c r="I273" s="29"/>
      <c r="J273" t="str">
        <f t="shared" si="31"/>
        <v>"Kaolin Clay":{"MATERIAL CLASS CODE":"63D25",</v>
      </c>
      <c r="K273" t="str">
        <f t="shared" si="32"/>
        <v>"CONVEY LOADING":"30A",</v>
      </c>
      <c r="L273" t="str">
        <f t="shared" si="33"/>
        <v>"COMPONENT GROUP":"2D",</v>
      </c>
      <c r="M273" t="str">
        <f t="shared" si="34"/>
        <v>"WEIGHT (LBS/CF)":63,</v>
      </c>
      <c r="N273" t="str">
        <f t="shared" si="35"/>
        <v>"MATERIAL FACTOR":2}</v>
      </c>
      <c r="O273" t="str">
        <f t="shared" si="36"/>
        <v>"Kaolin Clay":{"MATERIAL CLASS CODE":"63D25","CONVEY LOADING":"30A","COMPONENT GROUP":"2D","WEIGHT (LBS/CF)":63,"MATERIAL FACTOR":2},</v>
      </c>
    </row>
    <row r="274" spans="1:15" ht="15.75" hidden="1" thickBot="1" x14ac:dyDescent="0.3">
      <c r="A274" s="19" t="s">
        <v>585</v>
      </c>
      <c r="B274" s="20" t="s">
        <v>586</v>
      </c>
      <c r="C274" s="20" t="s">
        <v>99</v>
      </c>
      <c r="D274" s="20" t="s">
        <v>87</v>
      </c>
      <c r="E274" s="20">
        <v>180</v>
      </c>
      <c r="F274" s="20">
        <v>230</v>
      </c>
      <c r="G274" s="20">
        <f t="shared" si="30"/>
        <v>205</v>
      </c>
      <c r="H274" s="20">
        <v>1.4</v>
      </c>
      <c r="I274" s="31"/>
      <c r="J274" t="str">
        <f t="shared" si="31"/>
        <v>"Kaolin Clay (Tale)":{"MATERIAL CLASS CODE":"49A35LMP",</v>
      </c>
      <c r="K274" t="str">
        <f t="shared" si="32"/>
        <v>"CONVEY LOADING":"30A",</v>
      </c>
      <c r="L274" t="str">
        <f t="shared" si="33"/>
        <v>"COMPONENT GROUP":"2D",</v>
      </c>
      <c r="M274" t="str">
        <f t="shared" si="34"/>
        <v>"WEIGHT (LBS/CF)":49,</v>
      </c>
      <c r="N274" t="str">
        <f t="shared" si="35"/>
        <v>"MATERIAL FACTOR":2}</v>
      </c>
      <c r="O274" t="str">
        <f t="shared" si="36"/>
        <v>"Kaolin Clay (Tale)":{"MATERIAL CLASS CODE":"49A35LMP","CONVEY LOADING":"30A","COMPONENT GROUP":"2D","WEIGHT (LBS/CF)":49,"MATERIAL FACTOR":2},</v>
      </c>
    </row>
    <row r="275" spans="1:15" hidden="1" x14ac:dyDescent="0.25">
      <c r="A275" s="13" t="s">
        <v>587</v>
      </c>
      <c r="B275" s="14" t="s">
        <v>588</v>
      </c>
      <c r="C275" s="14" t="s">
        <v>71</v>
      </c>
      <c r="D275" s="14" t="s">
        <v>87</v>
      </c>
      <c r="E275" s="14">
        <v>200</v>
      </c>
      <c r="F275" s="14">
        <v>270</v>
      </c>
      <c r="G275" s="14">
        <f t="shared" si="30"/>
        <v>235</v>
      </c>
      <c r="H275" s="14">
        <v>1.4</v>
      </c>
      <c r="I275" s="29"/>
      <c r="J275" t="str">
        <f t="shared" si="31"/>
        <v>"Kryalith (see Cryolite)":{"MATERIAL CLASS CODE":"",</v>
      </c>
      <c r="K275" t="str">
        <f t="shared" si="32"/>
        <v>"CONVEY LOADING":"",</v>
      </c>
      <c r="L275" t="str">
        <f t="shared" si="33"/>
        <v>"COMPONENT GROUP":"",</v>
      </c>
      <c r="M275" t="str">
        <f t="shared" si="34"/>
        <v>"WEIGHT (LBS/CF)":0,</v>
      </c>
      <c r="N275" t="str">
        <f t="shared" si="35"/>
        <v>"MATERIAL FACTOR":0.4}</v>
      </c>
      <c r="O275" t="str">
        <f t="shared" si="36"/>
        <v>"Kryalith (see Cryolite)":{"MATERIAL CLASS CODE":"","CONVEY LOADING":"","COMPONENT GROUP":"","WEIGHT (LBS/CF)":0,"MATERIAL FACTOR":0.4},</v>
      </c>
    </row>
    <row r="276" spans="1:15" hidden="1" x14ac:dyDescent="0.25">
      <c r="A276" s="15" t="s">
        <v>589</v>
      </c>
      <c r="B276" s="16" t="s">
        <v>590</v>
      </c>
      <c r="C276" s="16" t="s">
        <v>71</v>
      </c>
      <c r="D276" s="16" t="s">
        <v>76</v>
      </c>
      <c r="E276" s="16">
        <v>30</v>
      </c>
      <c r="F276" s="16">
        <v>150</v>
      </c>
      <c r="G276" s="16">
        <f t="shared" si="30"/>
        <v>90</v>
      </c>
      <c r="H276" s="16">
        <v>1.2</v>
      </c>
      <c r="I276" s="30"/>
      <c r="J276" t="str">
        <f t="shared" si="31"/>
        <v>"Lactose":{"MATERIAL CLASS CODE":"32A35PU",</v>
      </c>
      <c r="K276" t="str">
        <f t="shared" si="32"/>
        <v>"CONVEY LOADING":"30A",</v>
      </c>
      <c r="L276" t="str">
        <f t="shared" si="33"/>
        <v>"COMPONENT GROUP":"1B",</v>
      </c>
      <c r="M276" t="str">
        <f t="shared" si="34"/>
        <v>"WEIGHT (LBS/CF)":32,</v>
      </c>
      <c r="N276" t="str">
        <f t="shared" si="35"/>
        <v>"MATERIAL FACTOR":0.6}</v>
      </c>
      <c r="O276" t="str">
        <f t="shared" si="36"/>
        <v>"Lactose":{"MATERIAL CLASS CODE":"32A35PU","CONVEY LOADING":"30A","COMPONENT GROUP":"1B","WEIGHT (LBS/CF)":32,"MATERIAL FACTOR":0.6},</v>
      </c>
    </row>
    <row r="277" spans="1:15" hidden="1" x14ac:dyDescent="0.25">
      <c r="A277" s="13" t="s">
        <v>591</v>
      </c>
      <c r="B277" s="14" t="s">
        <v>592</v>
      </c>
      <c r="C277" s="14" t="s">
        <v>71</v>
      </c>
      <c r="D277" s="14" t="s">
        <v>76</v>
      </c>
      <c r="E277" s="14">
        <v>30</v>
      </c>
      <c r="F277" s="14">
        <v>180</v>
      </c>
      <c r="G277" s="14">
        <f t="shared" si="30"/>
        <v>105</v>
      </c>
      <c r="H277" s="14">
        <v>1.2</v>
      </c>
      <c r="I277" s="29"/>
      <c r="J277" t="str">
        <f t="shared" si="31"/>
        <v>"Lamp Black (see Carbon Black)":{"MATERIAL CLASS CODE":"",</v>
      </c>
      <c r="K277" t="str">
        <f t="shared" si="32"/>
        <v>"CONVEY LOADING":"",</v>
      </c>
      <c r="L277" t="str">
        <f t="shared" si="33"/>
        <v>"COMPONENT GROUP":"",</v>
      </c>
      <c r="M277" t="str">
        <f t="shared" si="34"/>
        <v>"WEIGHT (LBS/CF)":0,</v>
      </c>
      <c r="N277" t="str">
        <f t="shared" si="35"/>
        <v>"MATERIAL FACTOR":0.4}</v>
      </c>
      <c r="O277" t="str">
        <f t="shared" si="36"/>
        <v>"Lamp Black (see Carbon Black)":{"MATERIAL CLASS CODE":"","CONVEY LOADING":"","COMPONENT GROUP":"","WEIGHT (LBS/CF)":0,"MATERIAL FACTOR":0.4},</v>
      </c>
    </row>
    <row r="278" spans="1:15" hidden="1" x14ac:dyDescent="0.25">
      <c r="A278" s="15" t="s">
        <v>593</v>
      </c>
      <c r="B278" s="16" t="s">
        <v>292</v>
      </c>
      <c r="C278" s="16" t="s">
        <v>71</v>
      </c>
      <c r="D278" s="16" t="s">
        <v>76</v>
      </c>
      <c r="E278" s="16">
        <v>240</v>
      </c>
      <c r="F278" s="16">
        <v>260</v>
      </c>
      <c r="G278" s="16">
        <f t="shared" si="30"/>
        <v>250</v>
      </c>
      <c r="H278" s="16">
        <v>1.2</v>
      </c>
      <c r="I278" s="30"/>
      <c r="J278" t="str">
        <f t="shared" si="31"/>
        <v>"Lead Arsenate":{"MATERIAL CLASS CODE":"72A35R",</v>
      </c>
      <c r="K278" t="str">
        <f t="shared" si="32"/>
        <v>"CONVEY LOADING":"30A",</v>
      </c>
      <c r="L278" t="str">
        <f t="shared" si="33"/>
        <v>"COMPONENT GROUP":"1A,1B,1C",</v>
      </c>
      <c r="M278" t="str">
        <f t="shared" si="34"/>
        <v>"WEIGHT (LBS/CF)":72,</v>
      </c>
      <c r="N278" t="str">
        <f t="shared" si="35"/>
        <v>"MATERIAL FACTOR":1.4}</v>
      </c>
      <c r="O278" t="str">
        <f t="shared" si="36"/>
        <v>"Lead Arsenate":{"MATERIAL CLASS CODE":"72A35R","CONVEY LOADING":"30A","COMPONENT GROUP":"1A,1B,1C","WEIGHT (LBS/CF)":72,"MATERIAL FACTOR":1.4},</v>
      </c>
    </row>
    <row r="279" spans="1:15" hidden="1" x14ac:dyDescent="0.25">
      <c r="A279" s="13" t="s">
        <v>594</v>
      </c>
      <c r="B279" s="14" t="s">
        <v>334</v>
      </c>
      <c r="C279" s="14" t="s">
        <v>71</v>
      </c>
      <c r="D279" s="14" t="s">
        <v>76</v>
      </c>
      <c r="E279" s="14">
        <v>37</v>
      </c>
      <c r="F279" s="14">
        <v>45</v>
      </c>
      <c r="G279" s="14">
        <f t="shared" si="30"/>
        <v>41</v>
      </c>
      <c r="H279" s="14">
        <v>1</v>
      </c>
      <c r="I279" s="14" t="s">
        <v>116</v>
      </c>
      <c r="J279" t="str">
        <f t="shared" si="31"/>
        <v>"Lead Carbonate (Cerrusite)":{"MATERIAL CLASS CODE":"250A35R",</v>
      </c>
      <c r="K279" t="str">
        <f t="shared" si="32"/>
        <v>"CONVEY LOADING":"30A",</v>
      </c>
      <c r="L279" t="str">
        <f t="shared" si="33"/>
        <v>"COMPONENT GROUP":"2D",</v>
      </c>
      <c r="M279" t="str">
        <f t="shared" si="34"/>
        <v>"WEIGHT (LBS/CF)":250,</v>
      </c>
      <c r="N279" t="str">
        <f t="shared" si="35"/>
        <v>"MATERIAL FACTOR":1}</v>
      </c>
      <c r="O279" t="str">
        <f t="shared" si="36"/>
        <v>"Lead Carbonate (Cerrusite)":{"MATERIAL CLASS CODE":"250A35R","CONVEY LOADING":"30A","COMPONENT GROUP":"2D","WEIGHT (LBS/CF)":250,"MATERIAL FACTOR":1},</v>
      </c>
    </row>
    <row r="280" spans="1:15" hidden="1" x14ac:dyDescent="0.25">
      <c r="A280" s="15" t="s">
        <v>595</v>
      </c>
      <c r="B280" s="16" t="s">
        <v>596</v>
      </c>
      <c r="C280" s="16">
        <v>15</v>
      </c>
      <c r="D280" s="16" t="s">
        <v>87</v>
      </c>
      <c r="E280" s="16">
        <v>120</v>
      </c>
      <c r="F280" s="16">
        <v>120</v>
      </c>
      <c r="G280" s="16">
        <f t="shared" si="30"/>
        <v>120</v>
      </c>
      <c r="H280" s="16">
        <v>1.7</v>
      </c>
      <c r="I280" s="30"/>
      <c r="J280" t="str">
        <f t="shared" si="31"/>
        <v>"Lead Ore, 1⁄2”":{"MATERIAL CLASS CODE":"205C36",</v>
      </c>
      <c r="K280" t="str">
        <f t="shared" si="32"/>
        <v>"CONVEY LOADING":"30B",</v>
      </c>
      <c r="L280" t="str">
        <f t="shared" si="33"/>
        <v>"COMPONENT GROUP":"3D",</v>
      </c>
      <c r="M280" t="str">
        <f t="shared" si="34"/>
        <v>"WEIGHT (LBS/CF)":205,</v>
      </c>
      <c r="N280" t="str">
        <f t="shared" si="35"/>
        <v>"MATERIAL FACTOR":1.4}</v>
      </c>
      <c r="O280" t="str">
        <f t="shared" si="36"/>
        <v>"Lead Ore, 1⁄2”":{"MATERIAL CLASS CODE":"205C36","CONVEY LOADING":"30B","COMPONENT GROUP":"3D","WEIGHT (LBS/CF)":205,"MATERIAL FACTOR":1.4},</v>
      </c>
    </row>
    <row r="281" spans="1:15" ht="22.5" hidden="1" x14ac:dyDescent="0.25">
      <c r="A281" s="13" t="s">
        <v>597</v>
      </c>
      <c r="B281" s="14" t="s">
        <v>257</v>
      </c>
      <c r="C281" s="14" t="s">
        <v>71</v>
      </c>
      <c r="D281" s="14" t="s">
        <v>76</v>
      </c>
      <c r="E281" s="14">
        <v>40</v>
      </c>
      <c r="F281" s="14">
        <v>40</v>
      </c>
      <c r="G281" s="14">
        <f t="shared" si="30"/>
        <v>40</v>
      </c>
      <c r="H281" s="14">
        <v>0.8</v>
      </c>
      <c r="I281" s="14" t="s">
        <v>73</v>
      </c>
      <c r="J281" t="str">
        <f t="shared" si="31"/>
        <v>"Lead Ore, 1⁄8”":{"MATERIAL CLASS CODE":"235B35",</v>
      </c>
      <c r="K281" t="str">
        <f t="shared" si="32"/>
        <v>"CONVEY LOADING":"30A",</v>
      </c>
      <c r="L281" t="str">
        <f t="shared" si="33"/>
        <v>"COMPONENT GROUP":"3D",</v>
      </c>
      <c r="M281" t="str">
        <f t="shared" si="34"/>
        <v>"WEIGHT (LBS/CF)":235,</v>
      </c>
      <c r="N281" t="str">
        <f t="shared" si="35"/>
        <v>"MATERIAL FACTOR":1.4}</v>
      </c>
      <c r="O281" t="str">
        <f t="shared" si="36"/>
        <v>"Lead Ore, 1⁄8”":{"MATERIAL CLASS CODE":"235B35","CONVEY LOADING":"30A","COMPONENT GROUP":"3D","WEIGHT (LBS/CF)":235,"MATERIAL FACTOR":1.4},</v>
      </c>
    </row>
    <row r="282" spans="1:15" hidden="1" x14ac:dyDescent="0.25">
      <c r="A282" s="15" t="s">
        <v>598</v>
      </c>
      <c r="B282" s="16" t="s">
        <v>599</v>
      </c>
      <c r="C282" s="16">
        <v>45</v>
      </c>
      <c r="D282" s="16" t="s">
        <v>90</v>
      </c>
      <c r="E282" s="16">
        <v>53</v>
      </c>
      <c r="F282" s="16">
        <v>56</v>
      </c>
      <c r="G282" s="16">
        <f t="shared" si="30"/>
        <v>54.5</v>
      </c>
      <c r="H282" s="16">
        <v>2</v>
      </c>
      <c r="I282" s="30"/>
      <c r="J282" t="str">
        <f t="shared" si="31"/>
        <v>"Lead Oxide (Red Lead, Litharge) 100 Mesh":{"MATERIAL CLASS CODE":"90A35P",</v>
      </c>
      <c r="K282" t="str">
        <f t="shared" si="32"/>
        <v>"CONVEY LOADING":"30A",</v>
      </c>
      <c r="L282" t="str">
        <f t="shared" si="33"/>
        <v>"COMPONENT GROUP":"2D",</v>
      </c>
      <c r="M282" t="str">
        <f t="shared" si="34"/>
        <v>"WEIGHT (LBS/CF)":90,</v>
      </c>
      <c r="N282" t="str">
        <f t="shared" si="35"/>
        <v>"MATERIAL FACTOR":1.2}</v>
      </c>
      <c r="O282" t="str">
        <f t="shared" si="36"/>
        <v>"Lead Oxide (Red Lead, Litharge) 100 Mesh":{"MATERIAL CLASS CODE":"90A35P","CONVEY LOADING":"30A","COMPONENT GROUP":"2D","WEIGHT (LBS/CF)":90,"MATERIAL FACTOR":1.2},</v>
      </c>
    </row>
    <row r="283" spans="1:15" hidden="1" x14ac:dyDescent="0.25">
      <c r="A283" s="13" t="s">
        <v>600</v>
      </c>
      <c r="B283" s="14" t="s">
        <v>262</v>
      </c>
      <c r="C283" s="14" t="s">
        <v>71</v>
      </c>
      <c r="D283" s="14" t="s">
        <v>81</v>
      </c>
      <c r="E283" s="14">
        <v>60</v>
      </c>
      <c r="F283" s="14">
        <v>65</v>
      </c>
      <c r="G283" s="14">
        <f t="shared" si="30"/>
        <v>62.5</v>
      </c>
      <c r="H283" s="14">
        <v>0.6</v>
      </c>
      <c r="I283" s="14" t="s">
        <v>73</v>
      </c>
      <c r="J283" t="str">
        <f t="shared" si="31"/>
        <v>"Lead Oxide (Red Lead, Litharge) 200 Mesh":{"MATERIAL CLASS CODE":"105A35LP",</v>
      </c>
      <c r="K283" t="str">
        <f t="shared" si="32"/>
        <v>"CONVEY LOADING":"30A",</v>
      </c>
      <c r="L283" t="str">
        <f t="shared" si="33"/>
        <v>"COMPONENT GROUP":"2D",</v>
      </c>
      <c r="M283" t="str">
        <f t="shared" si="34"/>
        <v>"WEIGHT (LBS/CF)":105,</v>
      </c>
      <c r="N283" t="str">
        <f t="shared" si="35"/>
        <v>"MATERIAL FACTOR":1.2}</v>
      </c>
      <c r="O283" t="str">
        <f t="shared" si="36"/>
        <v>"Lead Oxide (Red Lead, Litharge) 200 Mesh":{"MATERIAL CLASS CODE":"105A35LP","CONVEY LOADING":"30A","COMPONENT GROUP":"2D","WEIGHT (LBS/CF)":105,"MATERIAL FACTOR":1.2},</v>
      </c>
    </row>
    <row r="284" spans="1:15" hidden="1" x14ac:dyDescent="0.25">
      <c r="A284" s="15" t="s">
        <v>601</v>
      </c>
      <c r="B284" s="16" t="s">
        <v>602</v>
      </c>
      <c r="C284" s="16" t="s">
        <v>71</v>
      </c>
      <c r="D284" s="16" t="s">
        <v>207</v>
      </c>
      <c r="E284" s="16">
        <v>32</v>
      </c>
      <c r="F284" s="16">
        <v>40</v>
      </c>
      <c r="G284" s="16">
        <f t="shared" si="30"/>
        <v>36</v>
      </c>
      <c r="H284" s="16">
        <v>0.6</v>
      </c>
      <c r="I284" s="16" t="s">
        <v>73</v>
      </c>
      <c r="J284" t="str">
        <f t="shared" si="31"/>
        <v>"Lead Sulphide, 100 Mesh (Galena)":{"MATERIAL CLASS CODE":"250A35R",</v>
      </c>
      <c r="K284" t="str">
        <f t="shared" si="32"/>
        <v>"CONVEY LOADING":"30A",</v>
      </c>
      <c r="L284" t="str">
        <f t="shared" si="33"/>
        <v>"COMPONENT GROUP":"2D",</v>
      </c>
      <c r="M284" t="str">
        <f t="shared" si="34"/>
        <v>"WEIGHT (LBS/CF)":250,</v>
      </c>
      <c r="N284" t="str">
        <f t="shared" si="35"/>
        <v>"MATERIAL FACTOR":1.2}</v>
      </c>
      <c r="O284" t="str">
        <f t="shared" si="36"/>
        <v>"Lead Sulphide, 100 Mesh (Galena)":{"MATERIAL CLASS CODE":"250A35R","CONVEY LOADING":"30A","COMPONENT GROUP":"2D","WEIGHT (LBS/CF)":250,"MATERIAL FACTOR":1.2},</v>
      </c>
    </row>
    <row r="285" spans="1:15" ht="22.5" hidden="1" x14ac:dyDescent="0.25">
      <c r="A285" s="13" t="s">
        <v>603</v>
      </c>
      <c r="B285" s="14" t="s">
        <v>604</v>
      </c>
      <c r="C285" s="14" t="s">
        <v>71</v>
      </c>
      <c r="D285" s="14" t="s">
        <v>76</v>
      </c>
      <c r="E285" s="14">
        <v>68</v>
      </c>
      <c r="F285" s="14">
        <v>68</v>
      </c>
      <c r="G285" s="14">
        <f t="shared" si="30"/>
        <v>68</v>
      </c>
      <c r="H285" s="14">
        <v>2</v>
      </c>
      <c r="I285" s="29"/>
      <c r="J285" t="str">
        <f t="shared" si="31"/>
        <v>"Lignite (Coal Lignite)":{"MATERIAL CLASS CODE":"41D35T",</v>
      </c>
      <c r="K285" t="str">
        <f t="shared" si="32"/>
        <v>"CONVEY LOADING":"30A",</v>
      </c>
      <c r="L285" t="str">
        <f t="shared" si="33"/>
        <v>"COMPONENT GROUP":"2D",</v>
      </c>
      <c r="M285" t="str">
        <f t="shared" si="34"/>
        <v>"WEIGHT (LBS/CF)":41,</v>
      </c>
      <c r="N285" t="str">
        <f t="shared" si="35"/>
        <v>"MATERIAL FACTOR":1}</v>
      </c>
      <c r="O285" t="str">
        <f t="shared" si="36"/>
        <v>"Lignite (Coal Lignite)":{"MATERIAL CLASS CODE":"41D35T","CONVEY LOADING":"30A","COMPONENT GROUP":"2D","WEIGHT (LBS/CF)":41,"MATERIAL FACTOR":1},</v>
      </c>
    </row>
    <row r="286" spans="1:15" hidden="1" x14ac:dyDescent="0.25">
      <c r="A286" s="15" t="s">
        <v>605</v>
      </c>
      <c r="B286" s="16" t="s">
        <v>606</v>
      </c>
      <c r="C286" s="16" t="s">
        <v>99</v>
      </c>
      <c r="D286" s="16" t="s">
        <v>76</v>
      </c>
      <c r="E286" s="16">
        <v>85</v>
      </c>
      <c r="F286" s="16">
        <v>90</v>
      </c>
      <c r="G286" s="16">
        <f t="shared" si="30"/>
        <v>87.5</v>
      </c>
      <c r="H286" s="16">
        <v>2</v>
      </c>
      <c r="I286" s="30"/>
      <c r="J286" t="str">
        <f t="shared" si="31"/>
        <v>"Limanite, Ore, Brown":{"MATERIAL CLASS CODE":"120C47",</v>
      </c>
      <c r="K286" t="str">
        <f t="shared" si="32"/>
        <v>"CONVEY LOADING":"15",</v>
      </c>
      <c r="L286" t="str">
        <f t="shared" si="33"/>
        <v>"COMPONENT GROUP":"3D",</v>
      </c>
      <c r="M286" t="str">
        <f t="shared" si="34"/>
        <v>"WEIGHT (LBS/CF)":120,</v>
      </c>
      <c r="N286" t="str">
        <f t="shared" si="35"/>
        <v>"MATERIAL FACTOR":1.7}</v>
      </c>
      <c r="O286" t="str">
        <f t="shared" si="36"/>
        <v>"Limanite, Ore, Brown":{"MATERIAL CLASS CODE":"120C47","CONVEY LOADING":"15","COMPONENT GROUP":"3D","WEIGHT (LBS/CF)":120,"MATERIAL FACTOR":1.7},</v>
      </c>
    </row>
    <row r="287" spans="1:15" hidden="1" x14ac:dyDescent="0.25">
      <c r="A287" s="13" t="s">
        <v>607</v>
      </c>
      <c r="B287" s="14" t="s">
        <v>608</v>
      </c>
      <c r="C287" s="14" t="s">
        <v>99</v>
      </c>
      <c r="D287" s="14" t="s">
        <v>76</v>
      </c>
      <c r="E287" s="14">
        <v>55</v>
      </c>
      <c r="F287" s="14">
        <v>95</v>
      </c>
      <c r="G287" s="14">
        <f t="shared" si="30"/>
        <v>75</v>
      </c>
      <c r="H287" s="14">
        <v>1.8</v>
      </c>
      <c r="I287" s="29"/>
      <c r="J287" t="str">
        <f t="shared" si="31"/>
        <v>"Lime Hydrated (Calcium Hydrate, Hydroxide)":{"MATERIAL CLASS CODE":"40B35LM",</v>
      </c>
      <c r="K287" t="str">
        <f t="shared" si="32"/>
        <v>"CONVEY LOADING":"30A",</v>
      </c>
      <c r="L287" t="str">
        <f t="shared" si="33"/>
        <v>"COMPONENT GROUP":"2D",</v>
      </c>
      <c r="M287" t="str">
        <f t="shared" si="34"/>
        <v>"WEIGHT (LBS/CF)":40,</v>
      </c>
      <c r="N287" t="str">
        <f t="shared" si="35"/>
        <v>"MATERIAL FACTOR":0.8}</v>
      </c>
      <c r="O287" t="str">
        <f t="shared" si="36"/>
        <v>"Lime Hydrated (Calcium Hydrate, Hydroxide)":{"MATERIAL CLASS CODE":"40B35LM","CONVEY LOADING":"30A","COMPONENT GROUP":"2D","WEIGHT (LBS/CF)":40,"MATERIAL FACTOR":0.8},</v>
      </c>
    </row>
    <row r="288" spans="1:15" hidden="1" x14ac:dyDescent="0.25">
      <c r="A288" s="15" t="s">
        <v>609</v>
      </c>
      <c r="B288" s="16" t="s">
        <v>198</v>
      </c>
      <c r="C288" s="16" t="s">
        <v>71</v>
      </c>
      <c r="D288" s="16" t="s">
        <v>81</v>
      </c>
      <c r="E288" s="16">
        <v>56</v>
      </c>
      <c r="F288" s="16">
        <v>56</v>
      </c>
      <c r="G288" s="16">
        <f t="shared" si="30"/>
        <v>56</v>
      </c>
      <c r="H288" s="16">
        <v>0.6</v>
      </c>
      <c r="I288" s="30"/>
      <c r="J288" t="str">
        <f t="shared" si="31"/>
        <v>"Lime Pebble":{"MATERIAL CLASS CODE":"55C25HU",</v>
      </c>
      <c r="K288" t="str">
        <f t="shared" si="32"/>
        <v>"CONVEY LOADING":"45",</v>
      </c>
      <c r="L288" t="str">
        <f t="shared" si="33"/>
        <v>"COMPONENT GROUP":"2A,2B",</v>
      </c>
      <c r="M288" t="str">
        <f t="shared" si="34"/>
        <v>"WEIGHT (LBS/CF)":54.5,</v>
      </c>
      <c r="N288" t="str">
        <f t="shared" si="35"/>
        <v>"MATERIAL FACTOR":2}</v>
      </c>
      <c r="O288" t="str">
        <f t="shared" si="36"/>
        <v>"Lime Pebble":{"MATERIAL CLASS CODE":"55C25HU","CONVEY LOADING":"45","COMPONENT GROUP":"2A,2B","WEIGHT (LBS/CF)":54.5,"MATERIAL FACTOR":2},</v>
      </c>
    </row>
    <row r="289" spans="1:15" hidden="1" x14ac:dyDescent="0.25">
      <c r="A289" s="13" t="s">
        <v>610</v>
      </c>
      <c r="B289" s="14" t="s">
        <v>485</v>
      </c>
      <c r="C289" s="14" t="s">
        <v>71</v>
      </c>
      <c r="D289" s="14" t="s">
        <v>81</v>
      </c>
      <c r="E289" s="14">
        <v>43</v>
      </c>
      <c r="F289" s="14">
        <v>45</v>
      </c>
      <c r="G289" s="14">
        <f t="shared" si="30"/>
        <v>44</v>
      </c>
      <c r="H289" s="14">
        <v>0.4</v>
      </c>
      <c r="I289" s="14" t="s">
        <v>116</v>
      </c>
      <c r="J289" t="str">
        <f t="shared" si="31"/>
        <v>"Lime, Ground, Unslaked (Quicklime)":{"MATERIAL CLASS CODE":"63B35U",</v>
      </c>
      <c r="K289" t="str">
        <f t="shared" si="32"/>
        <v>"CONVEY LOADING":"30A",</v>
      </c>
      <c r="L289" t="str">
        <f t="shared" si="33"/>
        <v>"COMPONENT GROUP":"1A,1B,1C",</v>
      </c>
      <c r="M289" t="str">
        <f t="shared" si="34"/>
        <v>"WEIGHT (LBS/CF)":62.5,</v>
      </c>
      <c r="N289" t="str">
        <f t="shared" si="35"/>
        <v>"MATERIAL FACTOR":0.6}</v>
      </c>
      <c r="O289" t="str">
        <f t="shared" si="36"/>
        <v>"Lime, Ground, Unslaked (Quicklime)":{"MATERIAL CLASS CODE":"63B35U","CONVEY LOADING":"30A","COMPONENT GROUP":"1A,1B,1C","WEIGHT (LBS/CF)":62.5,"MATERIAL FACTOR":0.6},</v>
      </c>
    </row>
    <row r="290" spans="1:15" hidden="1" x14ac:dyDescent="0.25">
      <c r="A290" s="15" t="s">
        <v>611</v>
      </c>
      <c r="B290" s="16" t="s">
        <v>612</v>
      </c>
      <c r="C290" s="16" t="s">
        <v>71</v>
      </c>
      <c r="D290" s="16" t="s">
        <v>207</v>
      </c>
      <c r="E290" s="16">
        <v>45</v>
      </c>
      <c r="F290" s="16">
        <v>50</v>
      </c>
      <c r="G290" s="16">
        <f t="shared" si="30"/>
        <v>47.5</v>
      </c>
      <c r="H290" s="16">
        <v>1</v>
      </c>
      <c r="I290" s="30"/>
      <c r="J290" t="str">
        <f t="shared" si="31"/>
        <v>"Lime, Hydrated, Pulverized":{"MATERIAL CLASS CODE":"36A35LM",</v>
      </c>
      <c r="K290" t="str">
        <f t="shared" si="32"/>
        <v>"CONVEY LOADING":"30A",</v>
      </c>
      <c r="L290" t="str">
        <f t="shared" si="33"/>
        <v>"COMPONENT GROUP":"1A,1B",</v>
      </c>
      <c r="M290" t="str">
        <f t="shared" si="34"/>
        <v>"WEIGHT (LBS/CF)":36,</v>
      </c>
      <c r="N290" t="str">
        <f t="shared" si="35"/>
        <v>"MATERIAL FACTOR":0.6}</v>
      </c>
      <c r="O290" t="str">
        <f t="shared" si="36"/>
        <v>"Lime, Hydrated, Pulverized":{"MATERIAL CLASS CODE":"36A35LM","CONVEY LOADING":"30A","COMPONENT GROUP":"1A,1B","WEIGHT (LBS/CF)":36,"MATERIAL FACTOR":0.6},</v>
      </c>
    </row>
    <row r="291" spans="1:15" hidden="1" x14ac:dyDescent="0.25">
      <c r="A291" s="13" t="s">
        <v>613</v>
      </c>
      <c r="B291" s="14" t="s">
        <v>614</v>
      </c>
      <c r="C291" s="14" t="s">
        <v>71</v>
      </c>
      <c r="D291" s="14" t="s">
        <v>81</v>
      </c>
      <c r="E291" s="14">
        <v>33</v>
      </c>
      <c r="F291" s="14">
        <v>33</v>
      </c>
      <c r="G291" s="14">
        <f t="shared" si="30"/>
        <v>33</v>
      </c>
      <c r="H291" s="14">
        <v>1</v>
      </c>
      <c r="I291" s="29"/>
      <c r="J291" t="str">
        <f t="shared" si="31"/>
        <v>"Limestone, Agricultural (Calcium Carbonate)":{"MATERIAL CLASS CODE":"68B35",</v>
      </c>
      <c r="K291" t="str">
        <f t="shared" si="32"/>
        <v>"CONVEY LOADING":"30A",</v>
      </c>
      <c r="L291" t="str">
        <f t="shared" si="33"/>
        <v>"COMPONENT GROUP":"2D",</v>
      </c>
      <c r="M291" t="str">
        <f t="shared" si="34"/>
        <v>"WEIGHT (LBS/CF)":68,</v>
      </c>
      <c r="N291" t="str">
        <f t="shared" si="35"/>
        <v>"MATERIAL FACTOR":2}</v>
      </c>
      <c r="O291" t="str">
        <f t="shared" si="36"/>
        <v>"Limestone, Agricultural (Calcium Carbonate)":{"MATERIAL CLASS CODE":"68B35","CONVEY LOADING":"30A","COMPONENT GROUP":"2D","WEIGHT (LBS/CF)":68,"MATERIAL FACTOR":2},</v>
      </c>
    </row>
    <row r="292" spans="1:15" hidden="1" x14ac:dyDescent="0.25">
      <c r="A292" s="15" t="s">
        <v>615</v>
      </c>
      <c r="B292" s="16" t="s">
        <v>616</v>
      </c>
      <c r="C292" s="16">
        <v>45</v>
      </c>
      <c r="D292" s="16" t="s">
        <v>81</v>
      </c>
      <c r="E292" s="16">
        <v>40</v>
      </c>
      <c r="F292" s="16">
        <v>45</v>
      </c>
      <c r="G292" s="16">
        <f t="shared" si="30"/>
        <v>42.5</v>
      </c>
      <c r="H292" s="16">
        <v>0.4</v>
      </c>
      <c r="I292" s="16" t="s">
        <v>116</v>
      </c>
      <c r="J292" t="str">
        <f t="shared" si="31"/>
        <v>"Limestone, Crushed (Calcium Carbonate)":{"MATERIAL CLASS CODE":"88D36",</v>
      </c>
      <c r="K292" t="str">
        <f t="shared" si="32"/>
        <v>"CONVEY LOADING":"30B",</v>
      </c>
      <c r="L292" t="str">
        <f t="shared" si="33"/>
        <v>"COMPONENT GROUP":"2D",</v>
      </c>
      <c r="M292" t="str">
        <f t="shared" si="34"/>
        <v>"WEIGHT (LBS/CF)":87.5,</v>
      </c>
      <c r="N292" t="str">
        <f t="shared" si="35"/>
        <v>"MATERIAL FACTOR":2}</v>
      </c>
      <c r="O292" t="str">
        <f t="shared" si="36"/>
        <v>"Limestone, Crushed (Calcium Carbonate)":{"MATERIAL CLASS CODE":"88D36","CONVEY LOADING":"30B","COMPONENT GROUP":"2D","WEIGHT (LBS/CF)":87.5,"MATERIAL FACTOR":2},</v>
      </c>
    </row>
    <row r="293" spans="1:15" hidden="1" x14ac:dyDescent="0.25">
      <c r="A293" s="13" t="s">
        <v>617</v>
      </c>
      <c r="B293" s="14" t="s">
        <v>618</v>
      </c>
      <c r="C293" s="14" t="s">
        <v>71</v>
      </c>
      <c r="D293" s="14" t="s">
        <v>81</v>
      </c>
      <c r="E293" s="14">
        <v>20</v>
      </c>
      <c r="F293" s="14">
        <v>30</v>
      </c>
      <c r="G293" s="14">
        <f t="shared" si="30"/>
        <v>25</v>
      </c>
      <c r="H293" s="14">
        <v>0.5</v>
      </c>
      <c r="I293" s="14" t="s">
        <v>73</v>
      </c>
      <c r="J293" t="str">
        <f t="shared" si="31"/>
        <v>"Limestone, Dust (Calcium Carbonate)":{"MATERIAL CLASS CODE":"75A46MY",</v>
      </c>
      <c r="K293" t="str">
        <f t="shared" si="32"/>
        <v>"CONVEY LOADING":"30B",</v>
      </c>
      <c r="L293" t="str">
        <f t="shared" si="33"/>
        <v>"COMPONENT GROUP":"2D",</v>
      </c>
      <c r="M293" t="str">
        <f t="shared" si="34"/>
        <v>"WEIGHT (LBS/CF)":75,</v>
      </c>
      <c r="N293" t="str">
        <f t="shared" si="35"/>
        <v>"MATERIAL FACTOR":1.8}</v>
      </c>
      <c r="O293" t="str">
        <f t="shared" si="36"/>
        <v>"Limestone, Dust (Calcium Carbonate)":{"MATERIAL CLASS CODE":"75A46MY","CONVEY LOADING":"30B","COMPONENT GROUP":"2D","WEIGHT (LBS/CF)":75,"MATERIAL FACTOR":1.8},</v>
      </c>
    </row>
    <row r="294" spans="1:15" hidden="1" x14ac:dyDescent="0.25">
      <c r="A294" s="15" t="s">
        <v>619</v>
      </c>
      <c r="B294" s="16" t="s">
        <v>618</v>
      </c>
      <c r="C294" s="16" t="s">
        <v>71</v>
      </c>
      <c r="D294" s="16" t="s">
        <v>81</v>
      </c>
      <c r="E294" s="16">
        <v>20</v>
      </c>
      <c r="F294" s="16">
        <v>30</v>
      </c>
      <c r="G294" s="16">
        <f t="shared" si="30"/>
        <v>25</v>
      </c>
      <c r="H294" s="16">
        <v>0.5</v>
      </c>
      <c r="I294" s="16" t="s">
        <v>73</v>
      </c>
      <c r="J294" t="str">
        <f t="shared" si="31"/>
        <v>"Lindane (Benzene Hexachloride)":{"MATERIAL CLASS CODE":"56A45R",</v>
      </c>
      <c r="K294" t="str">
        <f t="shared" si="32"/>
        <v>"CONVEY LOADING":"30A",</v>
      </c>
      <c r="L294" t="str">
        <f t="shared" si="33"/>
        <v>"COMPONENT GROUP":"1A,1B,1C",</v>
      </c>
      <c r="M294" t="str">
        <f t="shared" si="34"/>
        <v>"WEIGHT (LBS/CF)":56,</v>
      </c>
      <c r="N294" t="str">
        <f t="shared" si="35"/>
        <v>"MATERIAL FACTOR":0.6}</v>
      </c>
      <c r="O294" t="str">
        <f t="shared" si="36"/>
        <v>"Lindane (Benzene Hexachloride)":{"MATERIAL CLASS CODE":"56A45R","CONVEY LOADING":"30A","COMPONENT GROUP":"1A,1B,1C","WEIGHT (LBS/CF)":56,"MATERIAL FACTOR":0.6},</v>
      </c>
    </row>
    <row r="295" spans="1:15" hidden="1" x14ac:dyDescent="0.25">
      <c r="A295" s="13" t="s">
        <v>620</v>
      </c>
      <c r="B295" s="14" t="s">
        <v>621</v>
      </c>
      <c r="C295" s="14" t="s">
        <v>71</v>
      </c>
      <c r="D295" s="14" t="s">
        <v>81</v>
      </c>
      <c r="E295" s="14">
        <v>36</v>
      </c>
      <c r="F295" s="14">
        <v>40</v>
      </c>
      <c r="G295" s="14">
        <f t="shared" si="30"/>
        <v>38</v>
      </c>
      <c r="H295" s="14">
        <v>0.4</v>
      </c>
      <c r="I295" s="14" t="s">
        <v>73</v>
      </c>
      <c r="J295" t="str">
        <f t="shared" si="31"/>
        <v>"Linseed (Flaxseed)":{"MATERIAL CLASS CODE":"44B35X",</v>
      </c>
      <c r="K295" t="str">
        <f t="shared" si="32"/>
        <v>"CONVEY LOADING":"30A",</v>
      </c>
      <c r="L295" t="str">
        <f t="shared" si="33"/>
        <v>"COMPONENT GROUP":"1A,1B,1C",</v>
      </c>
      <c r="M295" t="str">
        <f t="shared" si="34"/>
        <v>"WEIGHT (LBS/CF)":44,</v>
      </c>
      <c r="N295" t="str">
        <f t="shared" si="35"/>
        <v>"MATERIAL FACTOR":0.4}</v>
      </c>
      <c r="O295" t="str">
        <f t="shared" si="36"/>
        <v>"Linseed (Flaxseed)":{"MATERIAL CLASS CODE":"44B35X","CONVEY LOADING":"30A","COMPONENT GROUP":"1A,1B,1C","WEIGHT (LBS/CF)":44,"MATERIAL FACTOR":0.4},</v>
      </c>
    </row>
    <row r="296" spans="1:15" hidden="1" x14ac:dyDescent="0.25">
      <c r="A296" s="15" t="s">
        <v>622</v>
      </c>
      <c r="B296" s="16" t="s">
        <v>623</v>
      </c>
      <c r="C296" s="16" t="s">
        <v>71</v>
      </c>
      <c r="D296" s="16" t="s">
        <v>81</v>
      </c>
      <c r="E296" s="16">
        <v>13</v>
      </c>
      <c r="F296" s="16">
        <v>15</v>
      </c>
      <c r="G296" s="16">
        <f t="shared" si="30"/>
        <v>14</v>
      </c>
      <c r="H296" s="16">
        <v>0.4</v>
      </c>
      <c r="I296" s="16" t="s">
        <v>73</v>
      </c>
      <c r="J296" t="str">
        <f t="shared" si="31"/>
        <v>"Lithopone":{"MATERIAL CLASS CODE":"48A35MR",</v>
      </c>
      <c r="K296" t="str">
        <f t="shared" si="32"/>
        <v>"CONVEY LOADING":"30A",</v>
      </c>
      <c r="L296" t="str">
        <f t="shared" si="33"/>
        <v>"COMPONENT GROUP":"1A,1B",</v>
      </c>
      <c r="M296" t="str">
        <f t="shared" si="34"/>
        <v>"WEIGHT (LBS/CF)":47.5,</v>
      </c>
      <c r="N296" t="str">
        <f t="shared" si="35"/>
        <v>"MATERIAL FACTOR":1}</v>
      </c>
      <c r="O296" t="str">
        <f t="shared" si="36"/>
        <v>"Lithopone":{"MATERIAL CLASS CODE":"48A35MR","CONVEY LOADING":"30A","COMPONENT GROUP":"1A,1B","WEIGHT (LBS/CF)":47.5,"MATERIAL FACTOR":1},</v>
      </c>
    </row>
    <row r="297" spans="1:15" hidden="1" x14ac:dyDescent="0.25">
      <c r="A297" s="13" t="s">
        <v>624</v>
      </c>
      <c r="B297" s="14" t="s">
        <v>625</v>
      </c>
      <c r="C297" s="14" t="s">
        <v>71</v>
      </c>
      <c r="D297" s="14" t="s">
        <v>90</v>
      </c>
      <c r="E297" s="14">
        <v>70</v>
      </c>
      <c r="F297" s="14">
        <v>85</v>
      </c>
      <c r="G297" s="14">
        <f t="shared" si="30"/>
        <v>77.5</v>
      </c>
      <c r="H297" s="14">
        <v>1.5</v>
      </c>
      <c r="I297" s="29"/>
      <c r="J297" t="str">
        <f t="shared" si="31"/>
        <v>"Magnesium Chloride (Magnesite)":{"MATERIAL CLASS CODE":"33C45",</v>
      </c>
      <c r="K297" t="str">
        <f t="shared" si="32"/>
        <v>"CONVEY LOADING":"30A",</v>
      </c>
      <c r="L297" t="str">
        <f t="shared" si="33"/>
        <v>"COMPONENT GROUP":"1A,1B,1C",</v>
      </c>
      <c r="M297" t="str">
        <f t="shared" si="34"/>
        <v>"WEIGHT (LBS/CF)":33,</v>
      </c>
      <c r="N297" t="str">
        <f t="shared" si="35"/>
        <v>"MATERIAL FACTOR":1}</v>
      </c>
      <c r="O297" t="str">
        <f t="shared" si="36"/>
        <v>"Magnesium Chloride (Magnesite)":{"MATERIAL CLASS CODE":"33C45","CONVEY LOADING":"30A","COMPONENT GROUP":"1A,1B,1C","WEIGHT (LBS/CF)":33,"MATERIAL FACTOR":1},</v>
      </c>
    </row>
    <row r="298" spans="1:15" hidden="1" x14ac:dyDescent="0.25">
      <c r="A298" s="15" t="s">
        <v>626</v>
      </c>
      <c r="B298" s="16" t="s">
        <v>627</v>
      </c>
      <c r="C298" s="16">
        <v>15</v>
      </c>
      <c r="D298" s="16" t="s">
        <v>87</v>
      </c>
      <c r="E298" s="16">
        <v>125</v>
      </c>
      <c r="F298" s="16">
        <v>140</v>
      </c>
      <c r="G298" s="16">
        <f t="shared" si="30"/>
        <v>132.5</v>
      </c>
      <c r="H298" s="16">
        <v>2</v>
      </c>
      <c r="I298" s="30"/>
      <c r="J298" t="str">
        <f t="shared" si="31"/>
        <v>"Maize (Milo)":{"MATERIAL CLASS CODE":"43B15N",</v>
      </c>
      <c r="K298" t="str">
        <f t="shared" si="32"/>
        <v>"CONVEY LOADING":"45",</v>
      </c>
      <c r="L298" t="str">
        <f t="shared" si="33"/>
        <v>"COMPONENT GROUP":"1A,1B,1C",</v>
      </c>
      <c r="M298" t="str">
        <f t="shared" si="34"/>
        <v>"WEIGHT (LBS/CF)":42.5,</v>
      </c>
      <c r="N298" t="str">
        <f t="shared" si="35"/>
        <v>"MATERIAL FACTOR":0.4}</v>
      </c>
      <c r="O298" t="str">
        <f t="shared" si="36"/>
        <v>"Maize (Milo)":{"MATERIAL CLASS CODE":"43B15N","CONVEY LOADING":"45","COMPONENT GROUP":"1A,1B,1C","WEIGHT (LBS/CF)":42.5,"MATERIAL FACTOR":0.4},</v>
      </c>
    </row>
    <row r="299" spans="1:15" hidden="1" x14ac:dyDescent="0.25">
      <c r="A299" s="13" t="s">
        <v>628</v>
      </c>
      <c r="B299" s="14" t="s">
        <v>237</v>
      </c>
      <c r="C299" s="14" t="s">
        <v>99</v>
      </c>
      <c r="D299" s="14" t="s">
        <v>76</v>
      </c>
      <c r="E299" s="14">
        <v>120</v>
      </c>
      <c r="F299" s="14">
        <v>120</v>
      </c>
      <c r="G299" s="14">
        <f t="shared" si="30"/>
        <v>120</v>
      </c>
      <c r="H299" s="14">
        <v>2</v>
      </c>
      <c r="I299" s="29"/>
      <c r="J299" t="str">
        <f t="shared" si="31"/>
        <v>"Malt, Dry Whole":{"MATERIAL CLASS CODE":"25C35N",</v>
      </c>
      <c r="K299" t="str">
        <f t="shared" si="32"/>
        <v>"CONVEY LOADING":"30A",</v>
      </c>
      <c r="L299" t="str">
        <f t="shared" si="33"/>
        <v>"COMPONENT GROUP":"1A,1B,1C",</v>
      </c>
      <c r="M299" t="str">
        <f t="shared" si="34"/>
        <v>"WEIGHT (LBS/CF)":25,</v>
      </c>
      <c r="N299" t="str">
        <f t="shared" si="35"/>
        <v>"MATERIAL FACTOR":0.5}</v>
      </c>
      <c r="O299" t="str">
        <f t="shared" si="36"/>
        <v>"Malt, Dry Whole":{"MATERIAL CLASS CODE":"25C35N","CONVEY LOADING":"30A","COMPONENT GROUP":"1A,1B,1C","WEIGHT (LBS/CF)":25,"MATERIAL FACTOR":0.5},</v>
      </c>
    </row>
    <row r="300" spans="1:15" hidden="1" x14ac:dyDescent="0.25">
      <c r="A300" s="15" t="s">
        <v>629</v>
      </c>
      <c r="B300" s="16" t="s">
        <v>630</v>
      </c>
      <c r="C300" s="16">
        <v>15</v>
      </c>
      <c r="D300" s="16" t="s">
        <v>87</v>
      </c>
      <c r="E300" s="16">
        <v>70</v>
      </c>
      <c r="F300" s="16">
        <v>70</v>
      </c>
      <c r="G300" s="16">
        <f t="shared" si="30"/>
        <v>70</v>
      </c>
      <c r="H300" s="16">
        <v>2.4</v>
      </c>
      <c r="I300" s="30"/>
      <c r="J300" t="str">
        <f t="shared" si="31"/>
        <v>"Malt, Dry, Ground":{"MATERIAL CLASS CODE":"25C35N",</v>
      </c>
      <c r="K300" t="str">
        <f t="shared" si="32"/>
        <v>"CONVEY LOADING":"30A",</v>
      </c>
      <c r="L300" t="str">
        <f t="shared" si="33"/>
        <v>"COMPONENT GROUP":"1A,1B,1C",</v>
      </c>
      <c r="M300" t="str">
        <f t="shared" si="34"/>
        <v>"WEIGHT (LBS/CF)":25,</v>
      </c>
      <c r="N300" t="str">
        <f t="shared" si="35"/>
        <v>"MATERIAL FACTOR":0.5}</v>
      </c>
      <c r="O300" t="str">
        <f t="shared" si="36"/>
        <v>"Malt, Dry, Ground":{"MATERIAL CLASS CODE":"25C35N","CONVEY LOADING":"30A","COMPONENT GROUP":"1A,1B,1C","WEIGHT (LBS/CF)":25,"MATERIAL FACTOR":0.5},</v>
      </c>
    </row>
    <row r="301" spans="1:15" hidden="1" x14ac:dyDescent="0.25">
      <c r="A301" s="13" t="s">
        <v>631</v>
      </c>
      <c r="B301" s="14" t="s">
        <v>632</v>
      </c>
      <c r="C301" s="14">
        <v>15</v>
      </c>
      <c r="D301" s="14" t="s">
        <v>87</v>
      </c>
      <c r="E301" s="14">
        <v>80</v>
      </c>
      <c r="F301" s="14">
        <v>95</v>
      </c>
      <c r="G301" s="14">
        <f t="shared" si="30"/>
        <v>87.5</v>
      </c>
      <c r="H301" s="14">
        <v>2</v>
      </c>
      <c r="I301" s="29"/>
      <c r="J301" t="str">
        <f t="shared" si="31"/>
        <v>"Malt, Meal":{"MATERIAL CLASS CODE":"38B25P",</v>
      </c>
      <c r="K301" t="str">
        <f t="shared" si="32"/>
        <v>"CONVEY LOADING":"30A",</v>
      </c>
      <c r="L301" t="str">
        <f t="shared" si="33"/>
        <v>"COMPONENT GROUP":"1A,1B,1C",</v>
      </c>
      <c r="M301" t="str">
        <f t="shared" si="34"/>
        <v>"WEIGHT (LBS/CF)":38,</v>
      </c>
      <c r="N301" t="str">
        <f t="shared" si="35"/>
        <v>"MATERIAL FACTOR":0.4}</v>
      </c>
      <c r="O301" t="str">
        <f t="shared" si="36"/>
        <v>"Malt, Meal":{"MATERIAL CLASS CODE":"38B25P","CONVEY LOADING":"30A","COMPONENT GROUP":"1A,1B,1C","WEIGHT (LBS/CF)":38,"MATERIAL FACTOR":0.4},</v>
      </c>
    </row>
    <row r="302" spans="1:15" hidden="1" x14ac:dyDescent="0.25">
      <c r="A302" s="15" t="s">
        <v>633</v>
      </c>
      <c r="B302" s="16" t="s">
        <v>182</v>
      </c>
      <c r="C302" s="16" t="s">
        <v>99</v>
      </c>
      <c r="D302" s="16" t="s">
        <v>76</v>
      </c>
      <c r="E302" s="16">
        <v>80</v>
      </c>
      <c r="F302" s="16">
        <v>80</v>
      </c>
      <c r="G302" s="16">
        <f t="shared" si="30"/>
        <v>80</v>
      </c>
      <c r="H302" s="16">
        <v>1.6</v>
      </c>
      <c r="I302" s="16" t="s">
        <v>116</v>
      </c>
      <c r="J302" t="str">
        <f t="shared" si="31"/>
        <v>"Malt, Sprouts":{"MATERIAL CLASS CODE":"14C35P",</v>
      </c>
      <c r="K302" t="str">
        <f t="shared" si="32"/>
        <v>"CONVEY LOADING":"30A",</v>
      </c>
      <c r="L302" t="str">
        <f t="shared" si="33"/>
        <v>"COMPONENT GROUP":"1A,1B,1C",</v>
      </c>
      <c r="M302" t="str">
        <f t="shared" si="34"/>
        <v>"WEIGHT (LBS/CF)":14,</v>
      </c>
      <c r="N302" t="str">
        <f t="shared" si="35"/>
        <v>"MATERIAL FACTOR":0.4}</v>
      </c>
      <c r="O302" t="str">
        <f t="shared" si="36"/>
        <v>"Malt, Sprouts":{"MATERIAL CLASS CODE":"14C35P","CONVEY LOADING":"30A","COMPONENT GROUP":"1A,1B,1C","WEIGHT (LBS/CF)":14,"MATERIAL FACTOR":0.4},</v>
      </c>
    </row>
    <row r="303" spans="1:15" hidden="1" x14ac:dyDescent="0.25">
      <c r="A303" s="13" t="s">
        <v>634</v>
      </c>
      <c r="B303" s="14" t="s">
        <v>635</v>
      </c>
      <c r="C303" s="14" t="s">
        <v>71</v>
      </c>
      <c r="D303" s="14" t="s">
        <v>636</v>
      </c>
      <c r="E303" s="14">
        <v>50</v>
      </c>
      <c r="F303" s="14">
        <v>55</v>
      </c>
      <c r="G303" s="14">
        <f t="shared" si="30"/>
        <v>52.5</v>
      </c>
      <c r="H303" s="14">
        <v>1.5</v>
      </c>
      <c r="I303" s="29"/>
      <c r="J303" t="str">
        <f t="shared" si="31"/>
        <v>"Manganese Dioxide**":{"MATERIAL CLASS CODE":"78A35NRT",</v>
      </c>
      <c r="K303" t="str">
        <f t="shared" si="32"/>
        <v>"CONVEY LOADING":"30A",</v>
      </c>
      <c r="L303" t="str">
        <f t="shared" si="33"/>
        <v>"COMPONENT GROUP":"2A,2B",</v>
      </c>
      <c r="M303" t="str">
        <f t="shared" si="34"/>
        <v>"WEIGHT (LBS/CF)":77.5,</v>
      </c>
      <c r="N303" t="str">
        <f t="shared" si="35"/>
        <v>"MATERIAL FACTOR":1.5}</v>
      </c>
      <c r="O303" t="str">
        <f t="shared" si="36"/>
        <v>"Manganese Dioxide**":{"MATERIAL CLASS CODE":"78A35NRT","CONVEY LOADING":"30A","COMPONENT GROUP":"2A,2B","WEIGHT (LBS/CF)":77.5,"MATERIAL FACTOR":1.5},</v>
      </c>
    </row>
    <row r="304" spans="1:15" hidden="1" x14ac:dyDescent="0.25">
      <c r="A304" s="15" t="s">
        <v>637</v>
      </c>
      <c r="B304" s="16" t="s">
        <v>638</v>
      </c>
      <c r="C304" s="16" t="s">
        <v>99</v>
      </c>
      <c r="D304" s="16" t="s">
        <v>72</v>
      </c>
      <c r="E304" s="16">
        <v>40</v>
      </c>
      <c r="F304" s="16">
        <v>40</v>
      </c>
      <c r="G304" s="16">
        <f t="shared" si="30"/>
        <v>40</v>
      </c>
      <c r="H304" s="16">
        <v>1.5</v>
      </c>
      <c r="I304" s="30"/>
      <c r="J304" t="str">
        <f t="shared" si="31"/>
        <v>"Manganese Ore":{"MATERIAL CLASS CODE":"133D37",</v>
      </c>
      <c r="K304" t="str">
        <f t="shared" si="32"/>
        <v>"CONVEY LOADING":"15",</v>
      </c>
      <c r="L304" t="str">
        <f t="shared" si="33"/>
        <v>"COMPONENT GROUP":"3D",</v>
      </c>
      <c r="M304" t="str">
        <f t="shared" si="34"/>
        <v>"WEIGHT (LBS/CF)":132.5,</v>
      </c>
      <c r="N304" t="str">
        <f t="shared" si="35"/>
        <v>"MATERIAL FACTOR":2}</v>
      </c>
      <c r="O304" t="str">
        <f t="shared" si="36"/>
        <v>"Manganese Ore":{"MATERIAL CLASS CODE":"133D37","CONVEY LOADING":"15","COMPONENT GROUP":"3D","WEIGHT (LBS/CF)":132.5,"MATERIAL FACTOR":2},</v>
      </c>
    </row>
    <row r="305" spans="1:15" hidden="1" x14ac:dyDescent="0.25">
      <c r="A305" s="13" t="s">
        <v>639</v>
      </c>
      <c r="B305" s="14" t="s">
        <v>640</v>
      </c>
      <c r="C305" s="14" t="s">
        <v>99</v>
      </c>
      <c r="D305" s="14" t="s">
        <v>76</v>
      </c>
      <c r="E305" s="14">
        <v>17</v>
      </c>
      <c r="F305" s="14">
        <v>22</v>
      </c>
      <c r="G305" s="14">
        <f t="shared" si="30"/>
        <v>19.5</v>
      </c>
      <c r="H305" s="14">
        <v>1</v>
      </c>
      <c r="I305" s="14" t="s">
        <v>73</v>
      </c>
      <c r="J305" t="str">
        <f t="shared" si="31"/>
        <v>"Manganese Oxide":{"MATERIAL CLASS CODE":"120A36",</v>
      </c>
      <c r="K305" t="str">
        <f t="shared" si="32"/>
        <v>"CONVEY LOADING":"30B",</v>
      </c>
      <c r="L305" t="str">
        <f t="shared" si="33"/>
        <v>"COMPONENT GROUP":"2D",</v>
      </c>
      <c r="M305" t="str">
        <f t="shared" si="34"/>
        <v>"WEIGHT (LBS/CF)":120,</v>
      </c>
      <c r="N305" t="str">
        <f t="shared" si="35"/>
        <v>"MATERIAL FACTOR":2}</v>
      </c>
      <c r="O305" t="str">
        <f t="shared" si="36"/>
        <v>"Manganese Oxide":{"MATERIAL CLASS CODE":"120A36","CONVEY LOADING":"30B","COMPONENT GROUP":"2D","WEIGHT (LBS/CF)":120,"MATERIAL FACTOR":2},</v>
      </c>
    </row>
    <row r="306" spans="1:15" hidden="1" x14ac:dyDescent="0.25">
      <c r="A306" s="15" t="s">
        <v>641</v>
      </c>
      <c r="B306" s="16" t="s">
        <v>642</v>
      </c>
      <c r="C306" s="16" t="s">
        <v>99</v>
      </c>
      <c r="D306" s="16" t="s">
        <v>76</v>
      </c>
      <c r="E306" s="16">
        <v>13</v>
      </c>
      <c r="F306" s="16">
        <v>15</v>
      </c>
      <c r="G306" s="16">
        <f t="shared" si="30"/>
        <v>14</v>
      </c>
      <c r="H306" s="16">
        <v>0.9</v>
      </c>
      <c r="I306" s="16" t="s">
        <v>73</v>
      </c>
      <c r="J306" t="str">
        <f t="shared" si="31"/>
        <v>"Manganese Sulfate":{"MATERIAL CLASS CODE":"70C37",</v>
      </c>
      <c r="K306" t="str">
        <f t="shared" si="32"/>
        <v>"CONVEY LOADING":"15",</v>
      </c>
      <c r="L306" t="str">
        <f t="shared" si="33"/>
        <v>"COMPONENT GROUP":"3D",</v>
      </c>
      <c r="M306" t="str">
        <f t="shared" si="34"/>
        <v>"WEIGHT (LBS/CF)":70,</v>
      </c>
      <c r="N306" t="str">
        <f t="shared" si="35"/>
        <v>"MATERIAL FACTOR":2.4}</v>
      </c>
      <c r="O306" t="str">
        <f t="shared" si="36"/>
        <v>"Manganese Sulfate":{"MATERIAL CLASS CODE":"70C37","CONVEY LOADING":"15","COMPONENT GROUP":"3D","WEIGHT (LBS/CF)":70,"MATERIAL FACTOR":2.4},</v>
      </c>
    </row>
    <row r="307" spans="1:15" hidden="1" x14ac:dyDescent="0.25">
      <c r="A307" s="13" t="s">
        <v>643</v>
      </c>
      <c r="B307" s="14" t="s">
        <v>644</v>
      </c>
      <c r="C307" s="14" t="s">
        <v>99</v>
      </c>
      <c r="D307" s="14" t="s">
        <v>76</v>
      </c>
      <c r="E307" s="14">
        <v>13</v>
      </c>
      <c r="F307" s="14">
        <v>15</v>
      </c>
      <c r="G307" s="14">
        <f t="shared" si="30"/>
        <v>14</v>
      </c>
      <c r="H307" s="14">
        <v>1</v>
      </c>
      <c r="I307" s="14" t="s">
        <v>73</v>
      </c>
      <c r="J307" t="str">
        <f t="shared" si="31"/>
        <v>"Marble, Crushed":{"MATERIAL CLASS CODE":"88B37",</v>
      </c>
      <c r="K307" t="str">
        <f t="shared" si="32"/>
        <v>"CONVEY LOADING":"15",</v>
      </c>
      <c r="L307" t="str">
        <f t="shared" si="33"/>
        <v>"COMPONENT GROUP":"3D",</v>
      </c>
      <c r="M307" t="str">
        <f t="shared" si="34"/>
        <v>"WEIGHT (LBS/CF)":87.5,</v>
      </c>
      <c r="N307" t="str">
        <f t="shared" si="35"/>
        <v>"MATERIAL FACTOR":2}</v>
      </c>
      <c r="O307" t="str">
        <f t="shared" si="36"/>
        <v>"Marble, Crushed":{"MATERIAL CLASS CODE":"88B37","CONVEY LOADING":"15","COMPONENT GROUP":"3D","WEIGHT (LBS/CF)":87.5,"MATERIAL FACTOR":2},</v>
      </c>
    </row>
    <row r="308" spans="1:15" hidden="1" x14ac:dyDescent="0.25">
      <c r="A308" s="15" t="s">
        <v>645</v>
      </c>
      <c r="B308" s="16" t="s">
        <v>646</v>
      </c>
      <c r="C308" s="16" t="s">
        <v>71</v>
      </c>
      <c r="D308" s="16" t="s">
        <v>160</v>
      </c>
      <c r="E308" s="16">
        <v>5</v>
      </c>
      <c r="F308" s="16">
        <v>6</v>
      </c>
      <c r="G308" s="16">
        <f t="shared" si="30"/>
        <v>5.5</v>
      </c>
      <c r="H308" s="16">
        <v>0.4</v>
      </c>
      <c r="I308" s="30"/>
      <c r="J308" t="str">
        <f t="shared" si="31"/>
        <v>"Marl (Clay)":{"MATERIAL CLASS CODE":"80D36",</v>
      </c>
      <c r="K308" t="str">
        <f t="shared" si="32"/>
        <v>"CONVEY LOADING":"30B",</v>
      </c>
      <c r="L308" t="str">
        <f t="shared" si="33"/>
        <v>"COMPONENT GROUP":"2D",</v>
      </c>
      <c r="M308" t="str">
        <f t="shared" si="34"/>
        <v>"WEIGHT (LBS/CF)":80,</v>
      </c>
      <c r="N308" t="str">
        <f t="shared" si="35"/>
        <v>"MATERIAL FACTOR":1.6}</v>
      </c>
      <c r="O308" t="str">
        <f t="shared" si="36"/>
        <v>"Marl (Clay)":{"MATERIAL CLASS CODE":"80D36","CONVEY LOADING":"30B","COMPONENT GROUP":"2D","WEIGHT (LBS/CF)":80,"MATERIAL FACTOR":1.6},</v>
      </c>
    </row>
    <row r="309" spans="1:15" hidden="1" x14ac:dyDescent="0.25">
      <c r="A309" s="13" t="s">
        <v>647</v>
      </c>
      <c r="B309" s="14" t="s">
        <v>648</v>
      </c>
      <c r="C309" s="14" t="s">
        <v>71</v>
      </c>
      <c r="D309" s="14" t="s">
        <v>160</v>
      </c>
      <c r="E309" s="14">
        <v>27</v>
      </c>
      <c r="F309" s="14">
        <v>30</v>
      </c>
      <c r="G309" s="14">
        <f t="shared" si="30"/>
        <v>28.5</v>
      </c>
      <c r="H309" s="14">
        <v>0.9</v>
      </c>
      <c r="I309" s="29"/>
      <c r="J309" t="str">
        <f t="shared" si="31"/>
        <v>"Meat, Ground":{"MATERIAL CLASS CODE":"53E45HQTX",</v>
      </c>
      <c r="K309" t="str">
        <f t="shared" si="32"/>
        <v>"CONVEY LOADING":"30A",</v>
      </c>
      <c r="L309" t="str">
        <f t="shared" si="33"/>
        <v>"COMPONENT GROUP":"2A",</v>
      </c>
      <c r="M309" t="str">
        <f t="shared" si="34"/>
        <v>"WEIGHT (LBS/CF)":52.5,</v>
      </c>
      <c r="N309" t="str">
        <f t="shared" si="35"/>
        <v>"MATERIAL FACTOR":1.5}</v>
      </c>
      <c r="O309" t="str">
        <f t="shared" si="36"/>
        <v>"Meat, Ground":{"MATERIAL CLASS CODE":"53E45HQTX","CONVEY LOADING":"30A","COMPONENT GROUP":"2A","WEIGHT (LBS/CF)":52.5,"MATERIAL FACTOR":1.5},</v>
      </c>
    </row>
    <row r="310" spans="1:15" hidden="1" x14ac:dyDescent="0.25">
      <c r="A310" s="15" t="s">
        <v>649</v>
      </c>
      <c r="B310" s="16" t="s">
        <v>650</v>
      </c>
      <c r="C310" s="16">
        <v>45</v>
      </c>
      <c r="D310" s="16" t="s">
        <v>160</v>
      </c>
      <c r="E310" s="16">
        <v>20</v>
      </c>
      <c r="F310" s="16">
        <v>45</v>
      </c>
      <c r="G310" s="16">
        <f t="shared" si="30"/>
        <v>32.5</v>
      </c>
      <c r="H310" s="16">
        <v>0.5</v>
      </c>
      <c r="I310" s="30"/>
      <c r="J310" t="str">
        <f t="shared" si="31"/>
        <v>"Meat, Scrap (W/bone)":{"MATERIAL CLASS CODE":"40E46H",</v>
      </c>
      <c r="K310" t="str">
        <f t="shared" si="32"/>
        <v>"CONVEY LOADING":"30B",</v>
      </c>
      <c r="L310" t="str">
        <f t="shared" si="33"/>
        <v>"COMPONENT GROUP":"2B",</v>
      </c>
      <c r="M310" t="str">
        <f t="shared" si="34"/>
        <v>"WEIGHT (LBS/CF)":40,</v>
      </c>
      <c r="N310" t="str">
        <f t="shared" si="35"/>
        <v>"MATERIAL FACTOR":1.5}</v>
      </c>
      <c r="O310" t="str">
        <f t="shared" si="36"/>
        <v>"Meat, Scrap (W/bone)":{"MATERIAL CLASS CODE":"40E46H","CONVEY LOADING":"30B","COMPONENT GROUP":"2B","WEIGHT (LBS/CF)":40,"MATERIAL FACTOR":1.5},</v>
      </c>
    </row>
    <row r="311" spans="1:15" hidden="1" x14ac:dyDescent="0.25">
      <c r="A311" s="13" t="s">
        <v>651</v>
      </c>
      <c r="B311" s="14" t="s">
        <v>652</v>
      </c>
      <c r="C311" s="14" t="s">
        <v>71</v>
      </c>
      <c r="D311" s="14" t="s">
        <v>160</v>
      </c>
      <c r="E311" s="14">
        <v>32</v>
      </c>
      <c r="F311" s="14">
        <v>32</v>
      </c>
      <c r="G311" s="14">
        <f t="shared" si="30"/>
        <v>32</v>
      </c>
      <c r="H311" s="14">
        <v>0.6</v>
      </c>
      <c r="I311" s="29"/>
      <c r="J311" t="str">
        <f t="shared" si="31"/>
        <v>"Mica, Flakes":{"MATERIAL CLASS CODE":"20B16MY",</v>
      </c>
      <c r="K311" t="str">
        <f t="shared" si="32"/>
        <v>"CONVEY LOADING":"30B",</v>
      </c>
      <c r="L311" t="str">
        <f t="shared" si="33"/>
        <v>"COMPONENT GROUP":"2D",</v>
      </c>
      <c r="M311" t="str">
        <f t="shared" si="34"/>
        <v>"WEIGHT (LBS/CF)":19.5,</v>
      </c>
      <c r="N311" t="str">
        <f t="shared" si="35"/>
        <v>"MATERIAL FACTOR":1}</v>
      </c>
      <c r="O311" t="str">
        <f t="shared" si="36"/>
        <v>"Mica, Flakes":{"MATERIAL CLASS CODE":"20B16MY","CONVEY LOADING":"30B","COMPONENT GROUP":"2D","WEIGHT (LBS/CF)":19.5,"MATERIAL FACTOR":1},</v>
      </c>
    </row>
    <row r="312" spans="1:15" hidden="1" x14ac:dyDescent="0.25">
      <c r="A312" s="15" t="s">
        <v>653</v>
      </c>
      <c r="B312" s="16" t="s">
        <v>654</v>
      </c>
      <c r="C312" s="16" t="s">
        <v>71</v>
      </c>
      <c r="D312" s="16" t="s">
        <v>160</v>
      </c>
      <c r="E312" s="16">
        <v>20</v>
      </c>
      <c r="F312" s="16">
        <v>36</v>
      </c>
      <c r="G312" s="16">
        <f t="shared" si="30"/>
        <v>28</v>
      </c>
      <c r="H312" s="16">
        <v>0.5</v>
      </c>
      <c r="I312" s="30"/>
      <c r="J312" t="str">
        <f t="shared" si="31"/>
        <v>"Mica, Ground":{"MATERIAL CLASS CODE":"14B36",</v>
      </c>
      <c r="K312" t="str">
        <f t="shared" si="32"/>
        <v>"CONVEY LOADING":"30B",</v>
      </c>
      <c r="L312" t="str">
        <f t="shared" si="33"/>
        <v>"COMPONENT GROUP":"2D",</v>
      </c>
      <c r="M312" t="str">
        <f t="shared" si="34"/>
        <v>"WEIGHT (LBS/CF)":14,</v>
      </c>
      <c r="N312" t="str">
        <f t="shared" si="35"/>
        <v>"MATERIAL FACTOR":0.9}</v>
      </c>
      <c r="O312" t="str">
        <f t="shared" si="36"/>
        <v>"Mica, Ground":{"MATERIAL CLASS CODE":"14B36","CONVEY LOADING":"30B","COMPONENT GROUP":"2D","WEIGHT (LBS/CF)":14,"MATERIAL FACTOR":0.9},</v>
      </c>
    </row>
    <row r="313" spans="1:15" hidden="1" x14ac:dyDescent="0.25">
      <c r="A313" s="13" t="s">
        <v>655</v>
      </c>
      <c r="B313" s="14" t="s">
        <v>656</v>
      </c>
      <c r="C313" s="14" t="s">
        <v>99</v>
      </c>
      <c r="D313" s="14" t="s">
        <v>87</v>
      </c>
      <c r="E313" s="14">
        <v>120</v>
      </c>
      <c r="F313" s="14">
        <v>125</v>
      </c>
      <c r="G313" s="14">
        <f t="shared" si="30"/>
        <v>122.5</v>
      </c>
      <c r="H313" s="14">
        <v>3</v>
      </c>
      <c r="I313" s="29"/>
      <c r="J313" t="str">
        <f t="shared" si="31"/>
        <v>"Mica, Pulverized":{"MATERIAL CLASS CODE":"14A36M",</v>
      </c>
      <c r="K313" t="str">
        <f t="shared" si="32"/>
        <v>"CONVEY LOADING":"30B",</v>
      </c>
      <c r="L313" t="str">
        <f t="shared" si="33"/>
        <v>"COMPONENT GROUP":"2D",</v>
      </c>
      <c r="M313" t="str">
        <f t="shared" si="34"/>
        <v>"WEIGHT (LBS/CF)":14,</v>
      </c>
      <c r="N313" t="str">
        <f t="shared" si="35"/>
        <v>"MATERIAL FACTOR":1}</v>
      </c>
      <c r="O313" t="str">
        <f t="shared" si="36"/>
        <v>"Mica, Pulverized":{"MATERIAL CLASS CODE":"14A36M","CONVEY LOADING":"30B","COMPONENT GROUP":"2D","WEIGHT (LBS/CF)":14,"MATERIAL FACTOR":1},</v>
      </c>
    </row>
    <row r="314" spans="1:15" hidden="1" x14ac:dyDescent="0.25">
      <c r="A314" s="15" t="s">
        <v>657</v>
      </c>
      <c r="B314" s="16" t="s">
        <v>616</v>
      </c>
      <c r="C314" s="16">
        <v>45</v>
      </c>
      <c r="D314" s="16" t="s">
        <v>81</v>
      </c>
      <c r="E314" s="16">
        <v>40</v>
      </c>
      <c r="F314" s="16">
        <v>45</v>
      </c>
      <c r="G314" s="16">
        <f t="shared" si="30"/>
        <v>42.5</v>
      </c>
      <c r="H314" s="16">
        <v>0.4</v>
      </c>
      <c r="I314" s="16" t="s">
        <v>73</v>
      </c>
      <c r="J314" t="str">
        <f t="shared" si="31"/>
        <v>"Milk, Dried, Flake":{"MATERIAL CLASS CODE":"6B35PUY",</v>
      </c>
      <c r="K314" t="str">
        <f t="shared" si="32"/>
        <v>"CONVEY LOADING":"30A",</v>
      </c>
      <c r="L314" t="str">
        <f t="shared" si="33"/>
        <v>"COMPONENT GROUP":"1B",</v>
      </c>
      <c r="M314" t="str">
        <f t="shared" si="34"/>
        <v>"WEIGHT (LBS/CF)":5.5,</v>
      </c>
      <c r="N314" t="str">
        <f t="shared" si="35"/>
        <v>"MATERIAL FACTOR":0.4}</v>
      </c>
      <c r="O314" t="str">
        <f t="shared" si="36"/>
        <v>"Milk, Dried, Flake":{"MATERIAL CLASS CODE":"6B35PUY","CONVEY LOADING":"30A","COMPONENT GROUP":"1B","WEIGHT (LBS/CF)":5.5,"MATERIAL FACTOR":0.4},</v>
      </c>
    </row>
    <row r="315" spans="1:15" hidden="1" x14ac:dyDescent="0.25">
      <c r="A315" s="13" t="s">
        <v>658</v>
      </c>
      <c r="B315" s="14" t="s">
        <v>659</v>
      </c>
      <c r="C315" s="14">
        <v>45</v>
      </c>
      <c r="D315" s="14" t="s">
        <v>81</v>
      </c>
      <c r="E315" s="14">
        <v>32</v>
      </c>
      <c r="F315" s="14">
        <v>36</v>
      </c>
      <c r="G315" s="14">
        <f t="shared" si="30"/>
        <v>34</v>
      </c>
      <c r="H315" s="14">
        <v>0.5</v>
      </c>
      <c r="I315" s="14" t="s">
        <v>73</v>
      </c>
      <c r="J315" t="str">
        <f t="shared" si="31"/>
        <v>"Milk, Malted":{"MATERIAL CLASS CODE":"29A45PX",</v>
      </c>
      <c r="K315" t="str">
        <f t="shared" si="32"/>
        <v>"CONVEY LOADING":"30A",</v>
      </c>
      <c r="L315" t="str">
        <f t="shared" si="33"/>
        <v>"COMPONENT GROUP":"1B",</v>
      </c>
      <c r="M315" t="str">
        <f t="shared" si="34"/>
        <v>"WEIGHT (LBS/CF)":28.5,</v>
      </c>
      <c r="N315" t="str">
        <f t="shared" si="35"/>
        <v>"MATERIAL FACTOR":0.9}</v>
      </c>
      <c r="O315" t="str">
        <f t="shared" si="36"/>
        <v>"Milk, Malted":{"MATERIAL CLASS CODE":"29A45PX","CONVEY LOADING":"30A","COMPONENT GROUP":"1B","WEIGHT (LBS/CF)":28.5,"MATERIAL FACTOR":0.9},</v>
      </c>
    </row>
    <row r="316" spans="1:15" hidden="1" x14ac:dyDescent="0.25">
      <c r="A316" s="15" t="s">
        <v>660</v>
      </c>
      <c r="B316" s="16" t="s">
        <v>661</v>
      </c>
      <c r="C316" s="16" t="s">
        <v>99</v>
      </c>
      <c r="D316" s="16" t="s">
        <v>76</v>
      </c>
      <c r="E316" s="16">
        <v>107</v>
      </c>
      <c r="F316" s="16">
        <v>107</v>
      </c>
      <c r="G316" s="16">
        <f t="shared" si="30"/>
        <v>107</v>
      </c>
      <c r="H316" s="16">
        <v>1.5</v>
      </c>
      <c r="I316" s="30"/>
      <c r="J316" t="str">
        <f t="shared" si="31"/>
        <v>"Milk, Powdered":{"MATERIAL CLASS CODE":"33B25PM",</v>
      </c>
      <c r="K316" t="str">
        <f t="shared" si="32"/>
        <v>"CONVEY LOADING":"45",</v>
      </c>
      <c r="L316" t="str">
        <f t="shared" si="33"/>
        <v>"COMPONENT GROUP":"1B",</v>
      </c>
      <c r="M316" t="str">
        <f t="shared" si="34"/>
        <v>"WEIGHT (LBS/CF)":32.5,</v>
      </c>
      <c r="N316" t="str">
        <f t="shared" si="35"/>
        <v>"MATERIAL FACTOR":0.5}</v>
      </c>
      <c r="O316" t="str">
        <f t="shared" si="36"/>
        <v>"Milk, Powdered":{"MATERIAL CLASS CODE":"33B25PM","CONVEY LOADING":"45","COMPONENT GROUP":"1B","WEIGHT (LBS/CF)":32.5,"MATERIAL FACTOR":0.5},</v>
      </c>
    </row>
    <row r="317" spans="1:15" hidden="1" x14ac:dyDescent="0.25">
      <c r="A317" s="13" t="s">
        <v>662</v>
      </c>
      <c r="B317" s="14" t="s">
        <v>663</v>
      </c>
      <c r="C317" s="14" t="s">
        <v>99</v>
      </c>
      <c r="D317" s="14" t="s">
        <v>87</v>
      </c>
      <c r="E317" s="14">
        <v>150</v>
      </c>
      <c r="F317" s="14">
        <v>150</v>
      </c>
      <c r="G317" s="14">
        <f t="shared" si="30"/>
        <v>150</v>
      </c>
      <c r="H317" s="14">
        <v>3</v>
      </c>
      <c r="I317" s="29"/>
      <c r="J317" t="str">
        <f t="shared" si="31"/>
        <v>"Milk, Sugar":{"MATERIAL CLASS CODE":"32A35PX",</v>
      </c>
      <c r="K317" t="str">
        <f t="shared" si="32"/>
        <v>"CONVEY LOADING":"30A",</v>
      </c>
      <c r="L317" t="str">
        <f t="shared" si="33"/>
        <v>"COMPONENT GROUP":"1B",</v>
      </c>
      <c r="M317" t="str">
        <f t="shared" si="34"/>
        <v>"WEIGHT (LBS/CF)":32,</v>
      </c>
      <c r="N317" t="str">
        <f t="shared" si="35"/>
        <v>"MATERIAL FACTOR":0.6}</v>
      </c>
      <c r="O317" t="str">
        <f t="shared" si="36"/>
        <v>"Milk, Sugar":{"MATERIAL CLASS CODE":"32A35PX","CONVEY LOADING":"30A","COMPONENT GROUP":"1B","WEIGHT (LBS/CF)":32,"MATERIAL FACTOR":0.6},</v>
      </c>
    </row>
    <row r="318" spans="1:15" hidden="1" x14ac:dyDescent="0.25">
      <c r="A318" s="15" t="s">
        <v>664</v>
      </c>
      <c r="B318" s="16" t="s">
        <v>665</v>
      </c>
      <c r="C318" s="16">
        <v>45</v>
      </c>
      <c r="D318" s="16" t="s">
        <v>81</v>
      </c>
      <c r="E318" s="16">
        <v>45</v>
      </c>
      <c r="F318" s="16">
        <v>45</v>
      </c>
      <c r="G318" s="16">
        <f t="shared" si="30"/>
        <v>45</v>
      </c>
      <c r="H318" s="16">
        <v>0.4</v>
      </c>
      <c r="I318" s="16" t="s">
        <v>73</v>
      </c>
      <c r="J318" t="str">
        <f t="shared" si="31"/>
        <v>"Milk, Whole, Powdered":{"MATERIAL CLASS CODE":"28B35PUX",</v>
      </c>
      <c r="K318" t="str">
        <f t="shared" si="32"/>
        <v>"CONVEY LOADING":"30A",</v>
      </c>
      <c r="L318" t="str">
        <f t="shared" si="33"/>
        <v>"COMPONENT GROUP":"1B",</v>
      </c>
      <c r="M318" t="str">
        <f t="shared" si="34"/>
        <v>"WEIGHT (LBS/CF)":28,</v>
      </c>
      <c r="N318" t="str">
        <f t="shared" si="35"/>
        <v>"MATERIAL FACTOR":0.5}</v>
      </c>
      <c r="O318" t="str">
        <f t="shared" si="36"/>
        <v>"Milk, Whole, Powdered":{"MATERIAL CLASS CODE":"28B35PUX","CONVEY LOADING":"30A","COMPONENT GROUP":"1B","WEIGHT (LBS/CF)":28,"MATERIAL FACTOR":0.5},</v>
      </c>
    </row>
    <row r="319" spans="1:15" hidden="1" x14ac:dyDescent="0.25">
      <c r="A319" s="13" t="s">
        <v>666</v>
      </c>
      <c r="B319" s="14" t="s">
        <v>98</v>
      </c>
      <c r="C319" s="14" t="s">
        <v>71</v>
      </c>
      <c r="D319" s="14" t="s">
        <v>81</v>
      </c>
      <c r="E319" s="14">
        <v>45</v>
      </c>
      <c r="F319" s="14">
        <v>45</v>
      </c>
      <c r="G319" s="14">
        <f t="shared" si="30"/>
        <v>45</v>
      </c>
      <c r="H319" s="14">
        <v>0.7</v>
      </c>
      <c r="I319" s="14" t="s">
        <v>73</v>
      </c>
      <c r="J319" t="str">
        <f t="shared" si="31"/>
        <v>"Mill Scale (Steel)":{"MATERIAL CLASS CODE":"123E46T",</v>
      </c>
      <c r="K319" t="str">
        <f t="shared" si="32"/>
        <v>"CONVEY LOADING":"30B",</v>
      </c>
      <c r="L319" t="str">
        <f t="shared" si="33"/>
        <v>"COMPONENT GROUP":"3D",</v>
      </c>
      <c r="M319" t="str">
        <f t="shared" si="34"/>
        <v>"WEIGHT (LBS/CF)":122.5,</v>
      </c>
      <c r="N319" t="str">
        <f t="shared" si="35"/>
        <v>"MATERIAL FACTOR":3}</v>
      </c>
      <c r="O319" t="str">
        <f t="shared" si="36"/>
        <v>"Mill Scale (Steel)":{"MATERIAL CLASS CODE":"123E46T","CONVEY LOADING":"30B","COMPONENT GROUP":"3D","WEIGHT (LBS/CF)":122.5,"MATERIAL FACTOR":3},</v>
      </c>
    </row>
    <row r="320" spans="1:15" hidden="1" x14ac:dyDescent="0.25">
      <c r="A320" s="15" t="s">
        <v>667</v>
      </c>
      <c r="B320" s="16" t="s">
        <v>668</v>
      </c>
      <c r="C320" s="16" t="s">
        <v>71</v>
      </c>
      <c r="D320" s="16" t="s">
        <v>76</v>
      </c>
      <c r="E320" s="16">
        <v>35</v>
      </c>
      <c r="F320" s="16">
        <v>35</v>
      </c>
      <c r="G320" s="16">
        <f t="shared" si="30"/>
        <v>35</v>
      </c>
      <c r="H320" s="16">
        <v>0.8</v>
      </c>
      <c r="I320" s="30"/>
      <c r="J320" t="str">
        <f t="shared" si="31"/>
        <v>"Milo Maize (Kafir)":{"MATERIAL CLASS CODE":"43B15N",</v>
      </c>
      <c r="K320" t="str">
        <f t="shared" si="32"/>
        <v>"CONVEY LOADING":"45",</v>
      </c>
      <c r="L320" t="str">
        <f t="shared" si="33"/>
        <v>"COMPONENT GROUP":"1A,1B,1C",</v>
      </c>
      <c r="M320" t="str">
        <f t="shared" si="34"/>
        <v>"WEIGHT (LBS/CF)":42.5,</v>
      </c>
      <c r="N320" t="str">
        <f t="shared" si="35"/>
        <v>"MATERIAL FACTOR":0.4}</v>
      </c>
      <c r="O320" t="str">
        <f t="shared" si="36"/>
        <v>"Milo Maize (Kafir)":{"MATERIAL CLASS CODE":"43B15N","CONVEY LOADING":"45","COMPONENT GROUP":"1A,1B,1C","WEIGHT (LBS/CF)":42.5,"MATERIAL FACTOR":0.4},</v>
      </c>
    </row>
    <row r="321" spans="1:15" hidden="1" x14ac:dyDescent="0.25">
      <c r="A321" s="13" t="s">
        <v>669</v>
      </c>
      <c r="B321" s="14" t="s">
        <v>670</v>
      </c>
      <c r="C321" s="14" t="s">
        <v>71</v>
      </c>
      <c r="D321" s="14" t="s">
        <v>81</v>
      </c>
      <c r="E321" s="14">
        <v>8</v>
      </c>
      <c r="F321" s="14">
        <v>12</v>
      </c>
      <c r="G321" s="14">
        <f t="shared" si="30"/>
        <v>10</v>
      </c>
      <c r="H321" s="14">
        <v>0.5</v>
      </c>
      <c r="I321" s="14" t="s">
        <v>73</v>
      </c>
      <c r="J321" t="str">
        <f t="shared" si="31"/>
        <v>"Milo, Ground (Sorghum Seed, Kafir)":{"MATERIAL CLASS CODE":"34B25",</v>
      </c>
      <c r="K321" t="str">
        <f t="shared" si="32"/>
        <v>"CONVEY LOADING":"45",</v>
      </c>
      <c r="L321" t="str">
        <f t="shared" si="33"/>
        <v>"COMPONENT GROUP":"1A,1B,1C",</v>
      </c>
      <c r="M321" t="str">
        <f t="shared" si="34"/>
        <v>"WEIGHT (LBS/CF)":34,</v>
      </c>
      <c r="N321" t="str">
        <f t="shared" si="35"/>
        <v>"MATERIAL FACTOR":0.5}</v>
      </c>
      <c r="O321" t="str">
        <f t="shared" si="36"/>
        <v>"Milo, Ground (Sorghum Seed, Kafir)":{"MATERIAL CLASS CODE":"34B25","CONVEY LOADING":"45","COMPONENT GROUP":"1A,1B,1C","WEIGHT (LBS/CF)":34,"MATERIAL FACTOR":0.5},</v>
      </c>
    </row>
    <row r="322" spans="1:15" hidden="1" x14ac:dyDescent="0.25">
      <c r="A322" s="15" t="s">
        <v>671</v>
      </c>
      <c r="B322" s="16" t="s">
        <v>672</v>
      </c>
      <c r="C322" s="16">
        <v>45</v>
      </c>
      <c r="D322" s="16" t="s">
        <v>81</v>
      </c>
      <c r="E322" s="16">
        <v>26</v>
      </c>
      <c r="F322" s="16">
        <v>26</v>
      </c>
      <c r="G322" s="16">
        <f t="shared" si="30"/>
        <v>26</v>
      </c>
      <c r="H322" s="16">
        <v>0.4</v>
      </c>
      <c r="I322" s="16" t="s">
        <v>73</v>
      </c>
      <c r="J322" t="str">
        <f t="shared" si="31"/>
        <v>"Molybdenite Powder":{"MATERIAL CLASS CODE":"107B26",</v>
      </c>
      <c r="K322" t="str">
        <f t="shared" si="32"/>
        <v>"CONVEY LOADING":"30B",</v>
      </c>
      <c r="L322" t="str">
        <f t="shared" si="33"/>
        <v>"COMPONENT GROUP":"2D",</v>
      </c>
      <c r="M322" t="str">
        <f t="shared" si="34"/>
        <v>"WEIGHT (LBS/CF)":107,</v>
      </c>
      <c r="N322" t="str">
        <f t="shared" si="35"/>
        <v>"MATERIAL FACTOR":1.5}</v>
      </c>
      <c r="O322" t="str">
        <f t="shared" si="36"/>
        <v>"Molybdenite Powder":{"MATERIAL CLASS CODE":"107B26","CONVEY LOADING":"30B","COMPONENT GROUP":"2D","WEIGHT (LBS/CF)":107,"MATERIAL FACTOR":1.5},</v>
      </c>
    </row>
    <row r="323" spans="1:15" hidden="1" x14ac:dyDescent="0.25">
      <c r="A323" s="13" t="s">
        <v>673</v>
      </c>
      <c r="B323" s="14" t="s">
        <v>674</v>
      </c>
      <c r="C323" s="14" t="s">
        <v>71</v>
      </c>
      <c r="D323" s="14" t="s">
        <v>81</v>
      </c>
      <c r="E323" s="14">
        <v>19</v>
      </c>
      <c r="F323" s="14">
        <v>26</v>
      </c>
      <c r="G323" s="14">
        <f t="shared" si="30"/>
        <v>22.5</v>
      </c>
      <c r="H323" s="14">
        <v>0.5</v>
      </c>
      <c r="I323" s="14" t="s">
        <v>73</v>
      </c>
      <c r="J323" t="str">
        <f t="shared" si="31"/>
        <v>"Motar, Wet**":{"MATERIAL CLASS CODE":"150E46T",</v>
      </c>
      <c r="K323" t="str">
        <f t="shared" si="32"/>
        <v>"CONVEY LOADING":"30B",</v>
      </c>
      <c r="L323" t="str">
        <f t="shared" si="33"/>
        <v>"COMPONENT GROUP":"3D",</v>
      </c>
      <c r="M323" t="str">
        <f t="shared" si="34"/>
        <v>"WEIGHT (LBS/CF)":150,</v>
      </c>
      <c r="N323" t="str">
        <f t="shared" si="35"/>
        <v>"MATERIAL FACTOR":3}</v>
      </c>
      <c r="O323" t="str">
        <f t="shared" si="36"/>
        <v>"Motar, Wet**":{"MATERIAL CLASS CODE":"150E46T","CONVEY LOADING":"30B","COMPONENT GROUP":"3D","WEIGHT (LBS/CF)":150,"MATERIAL FACTOR":3},</v>
      </c>
    </row>
    <row r="324" spans="1:15" hidden="1" x14ac:dyDescent="0.25">
      <c r="A324" s="15" t="s">
        <v>675</v>
      </c>
      <c r="B324" s="16" t="s">
        <v>676</v>
      </c>
      <c r="C324" s="16" t="s">
        <v>71</v>
      </c>
      <c r="D324" s="16" t="s">
        <v>81</v>
      </c>
      <c r="E324" s="16">
        <v>22</v>
      </c>
      <c r="F324" s="16">
        <v>22</v>
      </c>
      <c r="G324" s="16">
        <f t="shared" si="30"/>
        <v>22</v>
      </c>
      <c r="H324" s="16">
        <v>0.6</v>
      </c>
      <c r="I324" s="16" t="s">
        <v>73</v>
      </c>
      <c r="J324" t="str">
        <f t="shared" si="31"/>
        <v>"Mustard Seed":{"MATERIAL CLASS CODE":"45B15N",</v>
      </c>
      <c r="K324" t="str">
        <f t="shared" si="32"/>
        <v>"CONVEY LOADING":"45",</v>
      </c>
      <c r="L324" t="str">
        <f t="shared" si="33"/>
        <v>"COMPONENT GROUP":"1A,1B,1C",</v>
      </c>
      <c r="M324" t="str">
        <f t="shared" si="34"/>
        <v>"WEIGHT (LBS/CF)":45,</v>
      </c>
      <c r="N324" t="str">
        <f t="shared" si="35"/>
        <v>"MATERIAL FACTOR":0.4}</v>
      </c>
      <c r="O324" t="str">
        <f t="shared" si="36"/>
        <v>"Mustard Seed":{"MATERIAL CLASS CODE":"45B15N","CONVEY LOADING":"45","COMPONENT GROUP":"1A,1B,1C","WEIGHT (LBS/CF)":45,"MATERIAL FACTOR":0.4},</v>
      </c>
    </row>
    <row r="325" spans="1:15" hidden="1" x14ac:dyDescent="0.25">
      <c r="A325" s="13" t="s">
        <v>677</v>
      </c>
      <c r="B325" s="14" t="s">
        <v>678</v>
      </c>
      <c r="C325" s="14" t="s">
        <v>71</v>
      </c>
      <c r="D325" s="14" t="s">
        <v>81</v>
      </c>
      <c r="E325" s="14">
        <v>35</v>
      </c>
      <c r="F325" s="14">
        <v>35</v>
      </c>
      <c r="G325" s="14">
        <f t="shared" ref="G325:G388" si="37">IFERROR((F325+E325)/2,0)</f>
        <v>35</v>
      </c>
      <c r="H325" s="14">
        <v>0.5</v>
      </c>
      <c r="I325" s="14" t="s">
        <v>73</v>
      </c>
      <c r="J325" t="str">
        <f t="shared" si="31"/>
        <v>"Naphthalene Flakes":{"MATERIAL CLASS CODE":"45B35",</v>
      </c>
      <c r="K325" t="str">
        <f t="shared" si="32"/>
        <v>"CONVEY LOADING":"30A",</v>
      </c>
      <c r="L325" t="str">
        <f t="shared" si="33"/>
        <v>"COMPONENT GROUP":"1A,1B,1C",</v>
      </c>
      <c r="M325" t="str">
        <f t="shared" si="34"/>
        <v>"WEIGHT (LBS/CF)":45,</v>
      </c>
      <c r="N325" t="str">
        <f t="shared" si="35"/>
        <v>"MATERIAL FACTOR":0.7}</v>
      </c>
      <c r="O325" t="str">
        <f t="shared" si="36"/>
        <v>"Naphthalene Flakes":{"MATERIAL CLASS CODE":"45B35","CONVEY LOADING":"30A","COMPONENT GROUP":"1A,1B,1C","WEIGHT (LBS/CF)":45,"MATERIAL FACTOR":0.7},</v>
      </c>
    </row>
    <row r="326" spans="1:15" hidden="1" x14ac:dyDescent="0.25">
      <c r="A326" s="15" t="s">
        <v>679</v>
      </c>
      <c r="B326" s="16" t="s">
        <v>680</v>
      </c>
      <c r="C326" s="16" t="s">
        <v>71</v>
      </c>
      <c r="D326" s="16" t="s">
        <v>81</v>
      </c>
      <c r="E326" s="16">
        <v>19</v>
      </c>
      <c r="F326" s="16">
        <v>24</v>
      </c>
      <c r="G326" s="16">
        <f t="shared" si="37"/>
        <v>21.5</v>
      </c>
      <c r="H326" s="16">
        <v>0.6</v>
      </c>
      <c r="I326" s="16" t="s">
        <v>73</v>
      </c>
      <c r="J326" t="str">
        <f t="shared" si="31"/>
        <v>"Niacin (Nicotinic Acid)":{"MATERIAL CLASS CODE":"35A35P",</v>
      </c>
      <c r="K326" t="str">
        <f t="shared" si="32"/>
        <v>"CONVEY LOADING":"30A",</v>
      </c>
      <c r="L326" t="str">
        <f t="shared" si="33"/>
        <v>"COMPONENT GROUP":"2D",</v>
      </c>
      <c r="M326" t="str">
        <f t="shared" si="34"/>
        <v>"WEIGHT (LBS/CF)":35,</v>
      </c>
      <c r="N326" t="str">
        <f t="shared" si="35"/>
        <v>"MATERIAL FACTOR":0.8}</v>
      </c>
      <c r="O326" t="str">
        <f t="shared" si="36"/>
        <v>"Niacin (Nicotinic Acid)":{"MATERIAL CLASS CODE":"35A35P","CONVEY LOADING":"30A","COMPONENT GROUP":"2D","WEIGHT (LBS/CF)":35,"MATERIAL FACTOR":0.8},</v>
      </c>
    </row>
    <row r="327" spans="1:15" ht="22.5" hidden="1" x14ac:dyDescent="0.25">
      <c r="A327" s="13" t="s">
        <v>681</v>
      </c>
      <c r="B327" s="14" t="s">
        <v>682</v>
      </c>
      <c r="C327" s="14" t="s">
        <v>71</v>
      </c>
      <c r="D327" s="14" t="s">
        <v>90</v>
      </c>
      <c r="E327" s="14">
        <v>59</v>
      </c>
      <c r="F327" s="14">
        <v>59</v>
      </c>
      <c r="G327" s="14">
        <f t="shared" si="37"/>
        <v>59</v>
      </c>
      <c r="H327" s="14">
        <v>0.4</v>
      </c>
      <c r="I327" s="29"/>
      <c r="J327" t="str">
        <f t="shared" si="31"/>
        <v>"Oat Hulls":{"MATERIAL CLASS CODE":"10B35NY",</v>
      </c>
      <c r="K327" t="str">
        <f t="shared" si="32"/>
        <v>"CONVEY LOADING":"30A",</v>
      </c>
      <c r="L327" t="str">
        <f t="shared" si="33"/>
        <v>"COMPONENT GROUP":"1A,1B,1C",</v>
      </c>
      <c r="M327" t="str">
        <f t="shared" si="34"/>
        <v>"WEIGHT (LBS/CF)":10,</v>
      </c>
      <c r="N327" t="str">
        <f t="shared" si="35"/>
        <v>"MATERIAL FACTOR":0.5}</v>
      </c>
      <c r="O327" t="str">
        <f t="shared" si="36"/>
        <v>"Oat Hulls":{"MATERIAL CLASS CODE":"10B35NY","CONVEY LOADING":"30A","COMPONENT GROUP":"1A,1B,1C","WEIGHT (LBS/CF)":10,"MATERIAL FACTOR":0.5},</v>
      </c>
    </row>
    <row r="328" spans="1:15" ht="15.75" hidden="1" thickBot="1" x14ac:dyDescent="0.3">
      <c r="A328" s="19" t="s">
        <v>683</v>
      </c>
      <c r="B328" s="25">
        <v>1.5000000000000001E+46</v>
      </c>
      <c r="C328" s="20" t="s">
        <v>71</v>
      </c>
      <c r="D328" s="20" t="s">
        <v>90</v>
      </c>
      <c r="E328" s="20">
        <v>15</v>
      </c>
      <c r="F328" s="20">
        <v>15</v>
      </c>
      <c r="G328" s="20">
        <f t="shared" si="37"/>
        <v>15</v>
      </c>
      <c r="H328" s="20">
        <v>1.5</v>
      </c>
      <c r="I328" s="31"/>
      <c r="J328" t="str">
        <f t="shared" si="31"/>
        <v>"Oats":{"MATERIAL CLASS CODE":"26C25MN",</v>
      </c>
      <c r="K328" t="str">
        <f t="shared" si="32"/>
        <v>"CONVEY LOADING":"45",</v>
      </c>
      <c r="L328" t="str">
        <f t="shared" si="33"/>
        <v>"COMPONENT GROUP":"1A,1B,1C",</v>
      </c>
      <c r="M328" t="str">
        <f t="shared" si="34"/>
        <v>"WEIGHT (LBS/CF)":26,</v>
      </c>
      <c r="N328" t="str">
        <f t="shared" si="35"/>
        <v>"MATERIAL FACTOR":0.4}</v>
      </c>
      <c r="O328" t="str">
        <f t="shared" si="36"/>
        <v>"Oats":{"MATERIAL CLASS CODE":"26C25MN","CONVEY LOADING":"45","COMPONENT GROUP":"1A,1B,1C","WEIGHT (LBS/CF)":26,"MATERIAL FACTOR":0.4},</v>
      </c>
    </row>
    <row r="329" spans="1:15" ht="22.5" hidden="1" x14ac:dyDescent="0.25">
      <c r="A329" s="13" t="s">
        <v>684</v>
      </c>
      <c r="B329" s="14" t="s">
        <v>685</v>
      </c>
      <c r="C329" s="14" t="s">
        <v>71</v>
      </c>
      <c r="D329" s="14" t="s">
        <v>207</v>
      </c>
      <c r="E329" s="14">
        <v>60</v>
      </c>
      <c r="F329" s="14">
        <v>60</v>
      </c>
      <c r="G329" s="14">
        <f t="shared" si="37"/>
        <v>60</v>
      </c>
      <c r="H329" s="14">
        <v>1</v>
      </c>
      <c r="I329" s="29"/>
      <c r="J329" t="str">
        <f t="shared" si="31"/>
        <v>"Oats, Crimped":{"MATERIAL CLASS CODE":"23C35",</v>
      </c>
      <c r="K329" t="str">
        <f t="shared" si="32"/>
        <v>"CONVEY LOADING":"30A",</v>
      </c>
      <c r="L329" t="str">
        <f t="shared" si="33"/>
        <v>"COMPONENT GROUP":"1A,1B,1C",</v>
      </c>
      <c r="M329" t="str">
        <f t="shared" si="34"/>
        <v>"WEIGHT (LBS/CF)":22.5,</v>
      </c>
      <c r="N329" t="str">
        <f t="shared" si="35"/>
        <v>"MATERIAL FACTOR":0.5}</v>
      </c>
      <c r="O329" t="str">
        <f t="shared" si="36"/>
        <v>"Oats, Crimped":{"MATERIAL CLASS CODE":"23C35","CONVEY LOADING":"30A","COMPONENT GROUP":"1A,1B,1C","WEIGHT (LBS/CF)":22.5,"MATERIAL FACTOR":0.5},</v>
      </c>
    </row>
    <row r="330" spans="1:15" hidden="1" x14ac:dyDescent="0.25">
      <c r="A330" s="15" t="s">
        <v>686</v>
      </c>
      <c r="B330" s="16" t="s">
        <v>687</v>
      </c>
      <c r="C330" s="16" t="s">
        <v>99</v>
      </c>
      <c r="D330" s="16" t="s">
        <v>87</v>
      </c>
      <c r="E330" s="16">
        <v>50</v>
      </c>
      <c r="F330" s="16">
        <v>60</v>
      </c>
      <c r="G330" s="16">
        <f t="shared" si="37"/>
        <v>55</v>
      </c>
      <c r="H330" s="16">
        <v>1.8</v>
      </c>
      <c r="I330" s="30"/>
      <c r="J330" t="str">
        <f t="shared" si="31"/>
        <v>"Oats, Crushed":{"MATERIAL CLASS CODE":"22B45NY",</v>
      </c>
      <c r="K330" t="str">
        <f t="shared" si="32"/>
        <v>"CONVEY LOADING":"30A",</v>
      </c>
      <c r="L330" t="str">
        <f t="shared" si="33"/>
        <v>"COMPONENT GROUP":"1A,1B,1C",</v>
      </c>
      <c r="M330" t="str">
        <f t="shared" si="34"/>
        <v>"WEIGHT (LBS/CF)":22,</v>
      </c>
      <c r="N330" t="str">
        <f t="shared" si="35"/>
        <v>"MATERIAL FACTOR":0.6}</v>
      </c>
      <c r="O330" t="str">
        <f t="shared" si="36"/>
        <v>"Oats, Crushed":{"MATERIAL CLASS CODE":"22B45NY","CONVEY LOADING":"30A","COMPONENT GROUP":"1A,1B,1C","WEIGHT (LBS/CF)":22,"MATERIAL FACTOR":0.6},</v>
      </c>
    </row>
    <row r="331" spans="1:15" hidden="1" x14ac:dyDescent="0.25">
      <c r="A331" s="13" t="s">
        <v>688</v>
      </c>
      <c r="B331" s="14" t="s">
        <v>689</v>
      </c>
      <c r="C331" s="14" t="s">
        <v>99</v>
      </c>
      <c r="D331" s="14" t="s">
        <v>87</v>
      </c>
      <c r="E331" s="14">
        <v>80</v>
      </c>
      <c r="F331" s="14">
        <v>80</v>
      </c>
      <c r="G331" s="14">
        <f t="shared" si="37"/>
        <v>80</v>
      </c>
      <c r="H331" s="14">
        <v>2.2999999999999998</v>
      </c>
      <c r="I331" s="29"/>
      <c r="J331" t="str">
        <f t="shared" si="31"/>
        <v>"Oats, Flour":{"MATERIAL CLASS CODE":"35A35",</v>
      </c>
      <c r="K331" t="str">
        <f t="shared" si="32"/>
        <v>"CONVEY LOADING":"30A",</v>
      </c>
      <c r="L331" t="str">
        <f t="shared" si="33"/>
        <v>"COMPONENT GROUP":"1A,1B,1C",</v>
      </c>
      <c r="M331" t="str">
        <f t="shared" si="34"/>
        <v>"WEIGHT (LBS/CF)":35,</v>
      </c>
      <c r="N331" t="str">
        <f t="shared" si="35"/>
        <v>"MATERIAL FACTOR":0.5}</v>
      </c>
      <c r="O331" t="str">
        <f t="shared" si="36"/>
        <v>"Oats, Flour":{"MATERIAL CLASS CODE":"35A35","CONVEY LOADING":"30A","COMPONENT GROUP":"1A,1B,1C","WEIGHT (LBS/CF)":35,"MATERIAL FACTOR":0.5},</v>
      </c>
    </row>
    <row r="332" spans="1:15" hidden="1" x14ac:dyDescent="0.25">
      <c r="A332" s="15" t="s">
        <v>690</v>
      </c>
      <c r="B332" s="26">
        <v>6.1999999999999995E+46</v>
      </c>
      <c r="C332" s="16" t="s">
        <v>71</v>
      </c>
      <c r="D332" s="16" t="s">
        <v>90</v>
      </c>
      <c r="E332" s="16">
        <v>62</v>
      </c>
      <c r="F332" s="16">
        <v>62</v>
      </c>
      <c r="G332" s="16">
        <f t="shared" si="37"/>
        <v>62</v>
      </c>
      <c r="H332" s="16">
        <v>1.5</v>
      </c>
      <c r="I332" s="30"/>
      <c r="J332" t="str">
        <f t="shared" ref="J332:J395" si="38">CHAR(34)&amp;A326&amp;CHAR(34)&amp;":{"&amp;CHAR(34)&amp;$B$4&amp;CHAR(34)&amp;":"&amp;CHAR(34)&amp;B326&amp;CHAR(34)&amp;","</f>
        <v>"Oats, Rolled":{"MATERIAL CLASS CODE":"22C35NY",</v>
      </c>
      <c r="K332" t="str">
        <f t="shared" ref="K332:K395" si="39">CHAR(34)&amp;$C$4&amp;CHAR(34)&amp;":"&amp;CHAR(34)&amp;C326&amp;CHAR(34)&amp;","</f>
        <v>"CONVEY LOADING":"30A",</v>
      </c>
      <c r="L332" t="str">
        <f t="shared" ref="L332:L395" si="40">CHAR(34)&amp;$D$4&amp;CHAR(34)&amp;":"&amp;CHAR(34)&amp;D326&amp;CHAR(34)&amp;","</f>
        <v>"COMPONENT GROUP":"1A,1B,1C",</v>
      </c>
      <c r="M332" t="str">
        <f t="shared" ref="M332:M395" si="41">CHAR(34)&amp;$E$1&amp;CHAR(34)&amp;":"&amp;G326&amp;","</f>
        <v>"WEIGHT (LBS/CF)":21.5,</v>
      </c>
      <c r="N332" t="str">
        <f t="shared" ref="N332:N395" si="42">CHAR(34)&amp;$H$4&amp;CHAR(34)&amp;":"&amp;H326&amp;"}"</f>
        <v>"MATERIAL FACTOR":0.6}</v>
      </c>
      <c r="O332" t="str">
        <f t="shared" ref="O332:O395" si="43">J332&amp;K332&amp;L332&amp;M332&amp;N332&amp;","</f>
        <v>"Oats, Rolled":{"MATERIAL CLASS CODE":"22C35NY","CONVEY LOADING":"30A","COMPONENT GROUP":"1A,1B,1C","WEIGHT (LBS/CF)":21.5,"MATERIAL FACTOR":0.6},</v>
      </c>
    </row>
    <row r="333" spans="1:15" hidden="1" x14ac:dyDescent="0.25">
      <c r="A333" s="13" t="s">
        <v>691</v>
      </c>
      <c r="B333" s="24">
        <v>6.1999999999999995E+46</v>
      </c>
      <c r="C333" s="14" t="s">
        <v>71</v>
      </c>
      <c r="D333" s="14" t="s">
        <v>90</v>
      </c>
      <c r="E333" s="14">
        <v>60</v>
      </c>
      <c r="F333" s="14">
        <v>62</v>
      </c>
      <c r="G333" s="14">
        <f t="shared" si="37"/>
        <v>61</v>
      </c>
      <c r="H333" s="14">
        <v>1.5</v>
      </c>
      <c r="I333" s="29"/>
      <c r="J333" t="str">
        <f t="shared" si="38"/>
        <v>"Oleo (Margarine)":{"MATERIAL CLASS CODE":"59E45HKPWX",</v>
      </c>
      <c r="K333" t="str">
        <f t="shared" si="39"/>
        <v>"CONVEY LOADING":"30A",</v>
      </c>
      <c r="L333" t="str">
        <f t="shared" si="40"/>
        <v>"COMPONENT GROUP":"2A,2B",</v>
      </c>
      <c r="M333" t="str">
        <f t="shared" si="41"/>
        <v>"WEIGHT (LBS/CF)":59,</v>
      </c>
      <c r="N333" t="str">
        <f t="shared" si="42"/>
        <v>"MATERIAL FACTOR":0.4}</v>
      </c>
      <c r="O333" t="str">
        <f t="shared" si="43"/>
        <v>"Oleo (Margarine)":{"MATERIAL CLASS CODE":"59E45HKPWX","CONVEY LOADING":"30A","COMPONENT GROUP":"2A,2B","WEIGHT (LBS/CF)":59,"MATERIAL FACTOR":0.4},</v>
      </c>
    </row>
    <row r="334" spans="1:15" hidden="1" x14ac:dyDescent="0.25">
      <c r="A334" s="15" t="s">
        <v>692</v>
      </c>
      <c r="B334" s="16" t="s">
        <v>693</v>
      </c>
      <c r="C334" s="16" t="s">
        <v>71</v>
      </c>
      <c r="D334" s="16" t="s">
        <v>207</v>
      </c>
      <c r="E334" s="16">
        <v>45</v>
      </c>
      <c r="F334" s="16">
        <v>45</v>
      </c>
      <c r="G334" s="16">
        <f t="shared" si="37"/>
        <v>45</v>
      </c>
      <c r="H334" s="16">
        <v>0.6</v>
      </c>
      <c r="I334" s="30"/>
      <c r="J334" t="str">
        <f t="shared" si="38"/>
        <v>"Orange Peel, Dry":{"MATERIAL CLASS CODE":"1.5E+46",</v>
      </c>
      <c r="K334" t="str">
        <f t="shared" si="39"/>
        <v>"CONVEY LOADING":"30A",</v>
      </c>
      <c r="L334" t="str">
        <f t="shared" si="40"/>
        <v>"COMPONENT GROUP":"2A,2B",</v>
      </c>
      <c r="M334" t="str">
        <f t="shared" si="41"/>
        <v>"WEIGHT (LBS/CF)":15,</v>
      </c>
      <c r="N334" t="str">
        <f t="shared" si="42"/>
        <v>"MATERIAL FACTOR":1.5}</v>
      </c>
      <c r="O334" t="str">
        <f t="shared" si="43"/>
        <v>"Orange Peel, Dry":{"MATERIAL CLASS CODE":"1.5E+46","CONVEY LOADING":"30A","COMPONENT GROUP":"2A,2B","WEIGHT (LBS/CF)":15,"MATERIAL FACTOR":1.5},</v>
      </c>
    </row>
    <row r="335" spans="1:15" hidden="1" x14ac:dyDescent="0.25">
      <c r="A335" s="13" t="s">
        <v>694</v>
      </c>
      <c r="B335" s="14" t="s">
        <v>695</v>
      </c>
      <c r="C335" s="14" t="s">
        <v>71</v>
      </c>
      <c r="D335" s="14" t="s">
        <v>160</v>
      </c>
      <c r="E335" s="14">
        <v>30</v>
      </c>
      <c r="F335" s="14">
        <v>30</v>
      </c>
      <c r="G335" s="14">
        <f t="shared" si="37"/>
        <v>30</v>
      </c>
      <c r="H335" s="14">
        <v>0.6</v>
      </c>
      <c r="I335" s="14" t="s">
        <v>73</v>
      </c>
      <c r="J335" t="str">
        <f t="shared" si="38"/>
        <v>"Oxalic Acid Crystals – Ethane Diacid Crystals":{"MATERIAL CLASS CODE":"60B35QS",</v>
      </c>
      <c r="K335" t="str">
        <f t="shared" si="39"/>
        <v>"CONVEY LOADING":"30A",</v>
      </c>
      <c r="L335" t="str">
        <f t="shared" si="40"/>
        <v>"COMPONENT GROUP":"1A,1B",</v>
      </c>
      <c r="M335" t="str">
        <f t="shared" si="41"/>
        <v>"WEIGHT (LBS/CF)":60,</v>
      </c>
      <c r="N335" t="str">
        <f t="shared" si="42"/>
        <v>"MATERIAL FACTOR":1}</v>
      </c>
      <c r="O335" t="str">
        <f t="shared" si="43"/>
        <v>"Oxalic Acid Crystals – Ethane Diacid Crystals":{"MATERIAL CLASS CODE":"60B35QS","CONVEY LOADING":"30A","COMPONENT GROUP":"1A,1B","WEIGHT (LBS/CF)":60,"MATERIAL FACTOR":1},</v>
      </c>
    </row>
    <row r="336" spans="1:15" hidden="1" x14ac:dyDescent="0.25">
      <c r="A336" s="15" t="s">
        <v>696</v>
      </c>
      <c r="B336" s="16" t="s">
        <v>697</v>
      </c>
      <c r="C336" s="16" t="s">
        <v>71</v>
      </c>
      <c r="D336" s="16" t="s">
        <v>90</v>
      </c>
      <c r="E336" s="16">
        <v>15</v>
      </c>
      <c r="F336" s="16">
        <v>20</v>
      </c>
      <c r="G336" s="16">
        <f t="shared" si="37"/>
        <v>17.5</v>
      </c>
      <c r="H336" s="16">
        <v>0.6</v>
      </c>
      <c r="I336" s="30"/>
      <c r="J336" t="str">
        <f t="shared" si="38"/>
        <v>"Oyster Shells, Ground":{"MATERIAL CLASS CODE":"55C36T",</v>
      </c>
      <c r="K336" t="str">
        <f t="shared" si="39"/>
        <v>"CONVEY LOADING":"30B",</v>
      </c>
      <c r="L336" t="str">
        <f t="shared" si="40"/>
        <v>"COMPONENT GROUP":"3D",</v>
      </c>
      <c r="M336" t="str">
        <f t="shared" si="41"/>
        <v>"WEIGHT (LBS/CF)":55,</v>
      </c>
      <c r="N336" t="str">
        <f t="shared" si="42"/>
        <v>"MATERIAL FACTOR":1.8}</v>
      </c>
      <c r="O336" t="str">
        <f t="shared" si="43"/>
        <v>"Oyster Shells, Ground":{"MATERIAL CLASS CODE":"55C36T","CONVEY LOADING":"30B","COMPONENT GROUP":"3D","WEIGHT (LBS/CF)":55,"MATERIAL FACTOR":1.8},</v>
      </c>
    </row>
    <row r="337" spans="1:15" hidden="1" x14ac:dyDescent="0.25">
      <c r="A337" s="13" t="s">
        <v>698</v>
      </c>
      <c r="B337" s="14" t="s">
        <v>699</v>
      </c>
      <c r="C337" s="14" t="s">
        <v>99</v>
      </c>
      <c r="D337" s="14" t="s">
        <v>87</v>
      </c>
      <c r="E337" s="14">
        <v>15</v>
      </c>
      <c r="F337" s="14">
        <v>20</v>
      </c>
      <c r="G337" s="14">
        <f t="shared" si="37"/>
        <v>17.5</v>
      </c>
      <c r="H337" s="14">
        <v>0.7</v>
      </c>
      <c r="I337" s="29"/>
      <c r="J337" t="str">
        <f t="shared" si="38"/>
        <v>"Oyster Shells, Whole":{"MATERIAL CLASS CODE":"80D36TV",</v>
      </c>
      <c r="K337" t="str">
        <f t="shared" si="39"/>
        <v>"CONVEY LOADING":"30B",</v>
      </c>
      <c r="L337" t="str">
        <f t="shared" si="40"/>
        <v>"COMPONENT GROUP":"3D",</v>
      </c>
      <c r="M337" t="str">
        <f t="shared" si="41"/>
        <v>"WEIGHT (LBS/CF)":80,</v>
      </c>
      <c r="N337" t="str">
        <f t="shared" si="42"/>
        <v>"MATERIAL FACTOR":2.3}</v>
      </c>
      <c r="O337" t="str">
        <f t="shared" si="43"/>
        <v>"Oyster Shells, Whole":{"MATERIAL CLASS CODE":"80D36TV","CONVEY LOADING":"30B","COMPONENT GROUP":"3D","WEIGHT (LBS/CF)":80,"MATERIAL FACTOR":2.3},</v>
      </c>
    </row>
    <row r="338" spans="1:15" hidden="1" x14ac:dyDescent="0.25">
      <c r="A338" s="15" t="s">
        <v>700</v>
      </c>
      <c r="B338" s="16" t="s">
        <v>701</v>
      </c>
      <c r="C338" s="16" t="s">
        <v>71</v>
      </c>
      <c r="D338" s="16" t="s">
        <v>160</v>
      </c>
      <c r="E338" s="16">
        <v>35</v>
      </c>
      <c r="F338" s="16">
        <v>45</v>
      </c>
      <c r="G338" s="16">
        <f t="shared" si="37"/>
        <v>40</v>
      </c>
      <c r="H338" s="16">
        <v>0.4</v>
      </c>
      <c r="I338" s="30"/>
      <c r="J338" t="str">
        <f t="shared" si="38"/>
        <v>"Paper Pulp (4% or less)":{"MATERIAL CLASS CODE":"6.2E+46",</v>
      </c>
      <c r="K338" t="str">
        <f t="shared" si="39"/>
        <v>"CONVEY LOADING":"30A",</v>
      </c>
      <c r="L338" t="str">
        <f t="shared" si="40"/>
        <v>"COMPONENT GROUP":"2A,2B",</v>
      </c>
      <c r="M338" t="str">
        <f t="shared" si="41"/>
        <v>"WEIGHT (LBS/CF)":62,</v>
      </c>
      <c r="N338" t="str">
        <f t="shared" si="42"/>
        <v>"MATERIAL FACTOR":1.5}</v>
      </c>
      <c r="O338" t="str">
        <f t="shared" si="43"/>
        <v>"Paper Pulp (4% or less)":{"MATERIAL CLASS CODE":"6.2E+46","CONVEY LOADING":"30A","COMPONENT GROUP":"2A,2B","WEIGHT (LBS/CF)":62,"MATERIAL FACTOR":1.5},</v>
      </c>
    </row>
    <row r="339" spans="1:15" hidden="1" x14ac:dyDescent="0.25">
      <c r="A339" s="13" t="s">
        <v>702</v>
      </c>
      <c r="B339" s="14" t="s">
        <v>703</v>
      </c>
      <c r="C339" s="14">
        <v>45</v>
      </c>
      <c r="D339" s="14" t="s">
        <v>81</v>
      </c>
      <c r="E339" s="14">
        <v>45</v>
      </c>
      <c r="F339" s="14">
        <v>50</v>
      </c>
      <c r="G339" s="14">
        <f t="shared" si="37"/>
        <v>47.5</v>
      </c>
      <c r="H339" s="14">
        <v>0.5</v>
      </c>
      <c r="I339" s="14" t="s">
        <v>73</v>
      </c>
      <c r="J339" t="str">
        <f t="shared" si="38"/>
        <v>"Paper Pulp (6% to 15%)":{"MATERIAL CLASS CODE":"6.2E+46",</v>
      </c>
      <c r="K339" t="str">
        <f t="shared" si="39"/>
        <v>"CONVEY LOADING":"30A",</v>
      </c>
      <c r="L339" t="str">
        <f t="shared" si="40"/>
        <v>"COMPONENT GROUP":"2A,2B",</v>
      </c>
      <c r="M339" t="str">
        <f t="shared" si="41"/>
        <v>"WEIGHT (LBS/CF)":61,</v>
      </c>
      <c r="N339" t="str">
        <f t="shared" si="42"/>
        <v>"MATERIAL FACTOR":1.5}</v>
      </c>
      <c r="O339" t="str">
        <f t="shared" si="43"/>
        <v>"Paper Pulp (6% to 15%)":{"MATERIAL CLASS CODE":"6.2E+46","CONVEY LOADING":"30A","COMPONENT GROUP":"2A,2B","WEIGHT (LBS/CF)":61,"MATERIAL FACTOR":1.5},</v>
      </c>
    </row>
    <row r="340" spans="1:15" hidden="1" x14ac:dyDescent="0.25">
      <c r="A340" s="15" t="s">
        <v>704</v>
      </c>
      <c r="B340" s="16" t="s">
        <v>705</v>
      </c>
      <c r="C340" s="16" t="s">
        <v>99</v>
      </c>
      <c r="D340" s="16" t="s">
        <v>76</v>
      </c>
      <c r="E340" s="16">
        <v>8</v>
      </c>
      <c r="F340" s="16">
        <v>12</v>
      </c>
      <c r="G340" s="16">
        <f t="shared" si="37"/>
        <v>10</v>
      </c>
      <c r="H340" s="16">
        <v>0.6</v>
      </c>
      <c r="I340" s="30"/>
      <c r="J340" t="str">
        <f t="shared" si="38"/>
        <v>"Paraffin Cake, 1⁄2”":{"MATERIAL CLASS CODE":"45C45K",</v>
      </c>
      <c r="K340" t="str">
        <f t="shared" si="39"/>
        <v>"CONVEY LOADING":"30A",</v>
      </c>
      <c r="L340" t="str">
        <f t="shared" si="40"/>
        <v>"COMPONENT GROUP":"1A,1B",</v>
      </c>
      <c r="M340" t="str">
        <f t="shared" si="41"/>
        <v>"WEIGHT (LBS/CF)":45,</v>
      </c>
      <c r="N340" t="str">
        <f t="shared" si="42"/>
        <v>"MATERIAL FACTOR":0.6}</v>
      </c>
      <c r="O340" t="str">
        <f t="shared" si="43"/>
        <v>"Paraffin Cake, 1⁄2”":{"MATERIAL CLASS CODE":"45C45K","CONVEY LOADING":"30A","COMPONENT GROUP":"1A,1B","WEIGHT (LBS/CF)":45,"MATERIAL FACTOR":0.6},</v>
      </c>
    </row>
    <row r="341" spans="1:15" hidden="1" x14ac:dyDescent="0.25">
      <c r="A341" s="13" t="s">
        <v>706</v>
      </c>
      <c r="B341" s="14" t="s">
        <v>707</v>
      </c>
      <c r="C341" s="14">
        <v>45</v>
      </c>
      <c r="D341" s="14" t="s">
        <v>90</v>
      </c>
      <c r="E341" s="14">
        <v>60</v>
      </c>
      <c r="F341" s="14">
        <v>60</v>
      </c>
      <c r="G341" s="14">
        <f t="shared" si="37"/>
        <v>60</v>
      </c>
      <c r="H341" s="14">
        <v>1.4</v>
      </c>
      <c r="I341" s="29"/>
      <c r="J341" t="str">
        <f t="shared" si="38"/>
        <v>"Peanut Meal":{"MATERIAL CLASS CODE":"30B35P",</v>
      </c>
      <c r="K341" t="str">
        <f t="shared" si="39"/>
        <v>"CONVEY LOADING":"30A",</v>
      </c>
      <c r="L341" t="str">
        <f t="shared" si="40"/>
        <v>"COMPONENT GROUP":"1B",</v>
      </c>
      <c r="M341" t="str">
        <f t="shared" si="41"/>
        <v>"WEIGHT (LBS/CF)":30,</v>
      </c>
      <c r="N341" t="str">
        <f t="shared" si="42"/>
        <v>"MATERIAL FACTOR":0.6}</v>
      </c>
      <c r="O341" t="str">
        <f t="shared" si="43"/>
        <v>"Peanut Meal":{"MATERIAL CLASS CODE":"30B35P","CONVEY LOADING":"30A","COMPONENT GROUP":"1B","WEIGHT (LBS/CF)":30,"MATERIAL FACTOR":0.6},</v>
      </c>
    </row>
    <row r="342" spans="1:15" hidden="1" x14ac:dyDescent="0.25">
      <c r="A342" s="15" t="s">
        <v>708</v>
      </c>
      <c r="B342" s="16" t="s">
        <v>709</v>
      </c>
      <c r="C342" s="16" t="s">
        <v>71</v>
      </c>
      <c r="D342" s="16" t="s">
        <v>207</v>
      </c>
      <c r="E342" s="16">
        <v>50</v>
      </c>
      <c r="F342" s="16">
        <v>60</v>
      </c>
      <c r="G342" s="16">
        <f t="shared" si="37"/>
        <v>55</v>
      </c>
      <c r="H342" s="16">
        <v>0.9</v>
      </c>
      <c r="I342" s="30"/>
      <c r="J342" t="str">
        <f t="shared" si="38"/>
        <v>"Peanuts, Clean, in shell":{"MATERIAL CLASS CODE":"18D35Q",</v>
      </c>
      <c r="K342" t="str">
        <f t="shared" si="39"/>
        <v>"CONVEY LOADING":"30A",</v>
      </c>
      <c r="L342" t="str">
        <f t="shared" si="40"/>
        <v>"COMPONENT GROUP":"2A,2B",</v>
      </c>
      <c r="M342" t="str">
        <f t="shared" si="41"/>
        <v>"WEIGHT (LBS/CF)":17.5,</v>
      </c>
      <c r="N342" t="str">
        <f t="shared" si="42"/>
        <v>"MATERIAL FACTOR":0.6}</v>
      </c>
      <c r="O342" t="str">
        <f t="shared" si="43"/>
        <v>"Peanuts, Clean, in shell":{"MATERIAL CLASS CODE":"18D35Q","CONVEY LOADING":"30A","COMPONENT GROUP":"2A,2B","WEIGHT (LBS/CF)":17.5,"MATERIAL FACTOR":0.6},</v>
      </c>
    </row>
    <row r="343" spans="1:15" hidden="1" x14ac:dyDescent="0.25">
      <c r="A343" s="13" t="s">
        <v>710</v>
      </c>
      <c r="B343" s="14" t="s">
        <v>182</v>
      </c>
      <c r="C343" s="14" t="s">
        <v>99</v>
      </c>
      <c r="D343" s="14" t="s">
        <v>76</v>
      </c>
      <c r="E343" s="14">
        <v>75</v>
      </c>
      <c r="F343" s="14">
        <v>85</v>
      </c>
      <c r="G343" s="14">
        <f t="shared" si="37"/>
        <v>80</v>
      </c>
      <c r="H343" s="14">
        <v>2.1</v>
      </c>
      <c r="I343" s="29"/>
      <c r="J343" t="str">
        <f t="shared" si="38"/>
        <v>"Peanuts, Raw (Uncleaned, Unshelled)":{"MATERIAL CLASS CODE":"18D36Q",</v>
      </c>
      <c r="K343" t="str">
        <f t="shared" si="39"/>
        <v>"CONVEY LOADING":"30B",</v>
      </c>
      <c r="L343" t="str">
        <f t="shared" si="40"/>
        <v>"COMPONENT GROUP":"3D",</v>
      </c>
      <c r="M343" t="str">
        <f t="shared" si="41"/>
        <v>"WEIGHT (LBS/CF)":17.5,</v>
      </c>
      <c r="N343" t="str">
        <f t="shared" si="42"/>
        <v>"MATERIAL FACTOR":0.7}</v>
      </c>
      <c r="O343" t="str">
        <f t="shared" si="43"/>
        <v>"Peanuts, Raw (Uncleaned, Unshelled)":{"MATERIAL CLASS CODE":"18D36Q","CONVEY LOADING":"30B","COMPONENT GROUP":"3D","WEIGHT (LBS/CF)":17.5,"MATERIAL FACTOR":0.7},</v>
      </c>
    </row>
    <row r="344" spans="1:15" hidden="1" x14ac:dyDescent="0.25">
      <c r="A344" s="15" t="s">
        <v>711</v>
      </c>
      <c r="B344" s="16" t="s">
        <v>712</v>
      </c>
      <c r="C344" s="16" t="s">
        <v>99</v>
      </c>
      <c r="D344" s="16" t="s">
        <v>76</v>
      </c>
      <c r="E344" s="16">
        <v>60</v>
      </c>
      <c r="F344" s="16">
        <v>60</v>
      </c>
      <c r="G344" s="16">
        <f t="shared" si="37"/>
        <v>60</v>
      </c>
      <c r="H344" s="16">
        <v>1.7</v>
      </c>
      <c r="I344" s="30"/>
      <c r="J344" t="str">
        <f t="shared" si="38"/>
        <v>"Peanuts, Shelled":{"MATERIAL CLASS CODE":"40C35Q",</v>
      </c>
      <c r="K344" t="str">
        <f t="shared" si="39"/>
        <v>"CONVEY LOADING":"30A",</v>
      </c>
      <c r="L344" t="str">
        <f t="shared" si="40"/>
        <v>"COMPONENT GROUP":"1B",</v>
      </c>
      <c r="M344" t="str">
        <f t="shared" si="41"/>
        <v>"WEIGHT (LBS/CF)":40,</v>
      </c>
      <c r="N344" t="str">
        <f t="shared" si="42"/>
        <v>"MATERIAL FACTOR":0.4}</v>
      </c>
      <c r="O344" t="str">
        <f t="shared" si="43"/>
        <v>"Peanuts, Shelled":{"MATERIAL CLASS CODE":"40C35Q","CONVEY LOADING":"30A","COMPONENT GROUP":"1B","WEIGHT (LBS/CF)":40,"MATERIAL FACTOR":0.4},</v>
      </c>
    </row>
    <row r="345" spans="1:15" hidden="1" x14ac:dyDescent="0.25">
      <c r="A345" s="13" t="s">
        <v>713</v>
      </c>
      <c r="B345" s="14" t="s">
        <v>714</v>
      </c>
      <c r="C345" s="14">
        <v>15</v>
      </c>
      <c r="D345" s="14" t="s">
        <v>87</v>
      </c>
      <c r="E345" s="14">
        <v>90</v>
      </c>
      <c r="F345" s="14">
        <v>100</v>
      </c>
      <c r="G345" s="14">
        <f t="shared" si="37"/>
        <v>95</v>
      </c>
      <c r="H345" s="14">
        <v>2</v>
      </c>
      <c r="I345" s="29"/>
      <c r="J345" t="str">
        <f t="shared" si="38"/>
        <v>"Peas, Dried":{"MATERIAL CLASS CODE":"48C15NQ",</v>
      </c>
      <c r="K345" t="str">
        <f t="shared" si="39"/>
        <v>"CONVEY LOADING":"45",</v>
      </c>
      <c r="L345" t="str">
        <f t="shared" si="40"/>
        <v>"COMPONENT GROUP":"1A,1B,1C",</v>
      </c>
      <c r="M345" t="str">
        <f t="shared" si="41"/>
        <v>"WEIGHT (LBS/CF)":47.5,</v>
      </c>
      <c r="N345" t="str">
        <f t="shared" si="42"/>
        <v>"MATERIAL FACTOR":0.5}</v>
      </c>
      <c r="O345" t="str">
        <f t="shared" si="43"/>
        <v>"Peas, Dried":{"MATERIAL CLASS CODE":"48C15NQ","CONVEY LOADING":"45","COMPONENT GROUP":"1A,1B,1C","WEIGHT (LBS/CF)":47.5,"MATERIAL FACTOR":0.5},</v>
      </c>
    </row>
    <row r="346" spans="1:15" hidden="1" x14ac:dyDescent="0.25">
      <c r="A346" s="15" t="s">
        <v>715</v>
      </c>
      <c r="B346" s="30"/>
      <c r="C346" s="30"/>
      <c r="D346" s="30"/>
      <c r="E346" s="30"/>
      <c r="F346" s="30"/>
      <c r="G346" s="30">
        <f t="shared" si="37"/>
        <v>0</v>
      </c>
      <c r="H346" s="30">
        <v>0.4</v>
      </c>
      <c r="I346" s="30"/>
      <c r="J346" t="str">
        <f t="shared" si="38"/>
        <v>"Perlite, Expanded":{"MATERIAL CLASS CODE":"10C36",</v>
      </c>
      <c r="K346" t="str">
        <f t="shared" si="39"/>
        <v>"CONVEY LOADING":"30B",</v>
      </c>
      <c r="L346" t="str">
        <f t="shared" si="40"/>
        <v>"COMPONENT GROUP":"2D",</v>
      </c>
      <c r="M346" t="str">
        <f t="shared" si="41"/>
        <v>"WEIGHT (LBS/CF)":10,</v>
      </c>
      <c r="N346" t="str">
        <f t="shared" si="42"/>
        <v>"MATERIAL FACTOR":0.6}</v>
      </c>
      <c r="O346" t="str">
        <f t="shared" si="43"/>
        <v>"Perlite, Expanded":{"MATERIAL CLASS CODE":"10C36","CONVEY LOADING":"30B","COMPONENT GROUP":"2D","WEIGHT (LBS/CF)":10,"MATERIAL FACTOR":0.6},</v>
      </c>
    </row>
    <row r="347" spans="1:15" hidden="1" x14ac:dyDescent="0.25">
      <c r="A347" s="13" t="s">
        <v>716</v>
      </c>
      <c r="B347" s="29"/>
      <c r="C347" s="29"/>
      <c r="D347" s="29"/>
      <c r="E347" s="29"/>
      <c r="F347" s="29"/>
      <c r="G347" s="29">
        <f t="shared" si="37"/>
        <v>0</v>
      </c>
      <c r="H347" s="29">
        <v>0.4</v>
      </c>
      <c r="I347" s="29"/>
      <c r="J347" t="str">
        <f t="shared" si="38"/>
        <v>"Phosphate Acid Fertilizer":{"MATERIAL CLASS CODE":"60B25T",</v>
      </c>
      <c r="K347" t="str">
        <f t="shared" si="39"/>
        <v>"CONVEY LOADING":"45",</v>
      </c>
      <c r="L347" t="str">
        <f t="shared" si="40"/>
        <v>"COMPONENT GROUP":"2A,2B",</v>
      </c>
      <c r="M347" t="str">
        <f t="shared" si="41"/>
        <v>"WEIGHT (LBS/CF)":60,</v>
      </c>
      <c r="N347" t="str">
        <f t="shared" si="42"/>
        <v>"MATERIAL FACTOR":1.4}</v>
      </c>
      <c r="O347" t="str">
        <f t="shared" si="43"/>
        <v>"Phosphate Acid Fertilizer":{"MATERIAL CLASS CODE":"60B25T","CONVEY LOADING":"45","COMPONENT GROUP":"2A,2B","WEIGHT (LBS/CF)":60,"MATERIAL FACTOR":1.4},</v>
      </c>
    </row>
    <row r="348" spans="1:15" hidden="1" x14ac:dyDescent="0.25">
      <c r="A348" s="15" t="s">
        <v>717</v>
      </c>
      <c r="B348" s="16" t="s">
        <v>718</v>
      </c>
      <c r="C348" s="16" t="s">
        <v>71</v>
      </c>
      <c r="D348" s="16" t="s">
        <v>207</v>
      </c>
      <c r="E348" s="16">
        <v>30</v>
      </c>
      <c r="F348" s="16">
        <v>35</v>
      </c>
      <c r="G348" s="16">
        <f t="shared" si="37"/>
        <v>32.5</v>
      </c>
      <c r="H348" s="16">
        <v>0.4</v>
      </c>
      <c r="I348" s="16" t="s">
        <v>116</v>
      </c>
      <c r="J348" t="str">
        <f t="shared" si="38"/>
        <v>"Phosphate Disodium (Sodium Phosphate)":{"MATERIAL CLASS CODE":"55A35",</v>
      </c>
      <c r="K348" t="str">
        <f t="shared" si="39"/>
        <v>"CONVEY LOADING":"30A",</v>
      </c>
      <c r="L348" t="str">
        <f t="shared" si="40"/>
        <v>"COMPONENT GROUP":"1A,1B",</v>
      </c>
      <c r="M348" t="str">
        <f t="shared" si="41"/>
        <v>"WEIGHT (LBS/CF)":55,</v>
      </c>
      <c r="N348" t="str">
        <f t="shared" si="42"/>
        <v>"MATERIAL FACTOR":0.9}</v>
      </c>
      <c r="O348" t="str">
        <f t="shared" si="43"/>
        <v>"Phosphate Disodium (Sodium Phosphate)":{"MATERIAL CLASS CODE":"55A35","CONVEY LOADING":"30A","COMPONENT GROUP":"1A,1B","WEIGHT (LBS/CF)":55,"MATERIAL FACTOR":0.9},</v>
      </c>
    </row>
    <row r="349" spans="1:15" hidden="1" x14ac:dyDescent="0.25">
      <c r="A349" s="13" t="s">
        <v>719</v>
      </c>
      <c r="B349" s="14" t="s">
        <v>720</v>
      </c>
      <c r="C349" s="14" t="s">
        <v>71</v>
      </c>
      <c r="D349" s="14" t="s">
        <v>160</v>
      </c>
      <c r="E349" s="14">
        <v>40</v>
      </c>
      <c r="F349" s="14">
        <v>40</v>
      </c>
      <c r="G349" s="14">
        <f t="shared" si="37"/>
        <v>40</v>
      </c>
      <c r="H349" s="14">
        <v>0.4</v>
      </c>
      <c r="I349" s="29"/>
      <c r="J349" t="str">
        <f t="shared" si="38"/>
        <v>"Phosphate Rock, Broken":{"MATERIAL CLASS CODE":"80D36",</v>
      </c>
      <c r="K349" t="str">
        <f t="shared" si="39"/>
        <v>"CONVEY LOADING":"30B",</v>
      </c>
      <c r="L349" t="str">
        <f t="shared" si="40"/>
        <v>"COMPONENT GROUP":"2D",</v>
      </c>
      <c r="M349" t="str">
        <f t="shared" si="41"/>
        <v>"WEIGHT (LBS/CF)":80,</v>
      </c>
      <c r="N349" t="str">
        <f t="shared" si="42"/>
        <v>"MATERIAL FACTOR":2.1}</v>
      </c>
      <c r="O349" t="str">
        <f t="shared" si="43"/>
        <v>"Phosphate Rock, Broken":{"MATERIAL CLASS CODE":"80D36","CONVEY LOADING":"30B","COMPONENT GROUP":"2D","WEIGHT (LBS/CF)":80,"MATERIAL FACTOR":2.1},</v>
      </c>
    </row>
    <row r="350" spans="1:15" hidden="1" x14ac:dyDescent="0.25">
      <c r="A350" s="15" t="s">
        <v>721</v>
      </c>
      <c r="B350" s="16" t="s">
        <v>722</v>
      </c>
      <c r="C350" s="16" t="s">
        <v>71</v>
      </c>
      <c r="D350" s="16" t="s">
        <v>72</v>
      </c>
      <c r="E350" s="16">
        <v>20</v>
      </c>
      <c r="F350" s="16">
        <v>30</v>
      </c>
      <c r="G350" s="16">
        <f t="shared" si="37"/>
        <v>25</v>
      </c>
      <c r="H350" s="16">
        <v>1</v>
      </c>
      <c r="I350" s="30"/>
      <c r="J350" t="str">
        <f t="shared" si="38"/>
        <v>"Phosphate Rock, Pulverized":{"MATERIAL CLASS CODE":"60B36",</v>
      </c>
      <c r="K350" t="str">
        <f t="shared" si="39"/>
        <v>"CONVEY LOADING":"30B",</v>
      </c>
      <c r="L350" t="str">
        <f t="shared" si="40"/>
        <v>"COMPONENT GROUP":"2D",</v>
      </c>
      <c r="M350" t="str">
        <f t="shared" si="41"/>
        <v>"WEIGHT (LBS/CF)":60,</v>
      </c>
      <c r="N350" t="str">
        <f t="shared" si="42"/>
        <v>"MATERIAL FACTOR":1.7}</v>
      </c>
      <c r="O350" t="str">
        <f t="shared" si="43"/>
        <v>"Phosphate Rock, Pulverized":{"MATERIAL CLASS CODE":"60B36","CONVEY LOADING":"30B","COMPONENT GROUP":"2D","WEIGHT (LBS/CF)":60,"MATERIAL FACTOR":1.7},</v>
      </c>
    </row>
    <row r="351" spans="1:15" hidden="1" x14ac:dyDescent="0.25">
      <c r="A351" s="13" t="s">
        <v>723</v>
      </c>
      <c r="B351" s="14" t="s">
        <v>724</v>
      </c>
      <c r="C351" s="14" t="s">
        <v>71</v>
      </c>
      <c r="D351" s="14" t="s">
        <v>160</v>
      </c>
      <c r="E351" s="14">
        <v>20</v>
      </c>
      <c r="F351" s="14">
        <v>30</v>
      </c>
      <c r="G351" s="14">
        <f t="shared" si="37"/>
        <v>25</v>
      </c>
      <c r="H351" s="14">
        <v>0.6</v>
      </c>
      <c r="I351" s="29"/>
      <c r="J351" t="str">
        <f t="shared" si="38"/>
        <v>"Phosphate Sand":{"MATERIAL CLASS CODE":"95B37",</v>
      </c>
      <c r="K351" t="str">
        <f t="shared" si="39"/>
        <v>"CONVEY LOADING":"15",</v>
      </c>
      <c r="L351" t="str">
        <f t="shared" si="40"/>
        <v>"COMPONENT GROUP":"3D",</v>
      </c>
      <c r="M351" t="str">
        <f t="shared" si="41"/>
        <v>"WEIGHT (LBS/CF)":95,</v>
      </c>
      <c r="N351" t="str">
        <f t="shared" si="42"/>
        <v>"MATERIAL FACTOR":2}</v>
      </c>
      <c r="O351" t="str">
        <f t="shared" si="43"/>
        <v>"Phosphate Sand":{"MATERIAL CLASS CODE":"95B37","CONVEY LOADING":"15","COMPONENT GROUP":"3D","WEIGHT (LBS/CF)":95,"MATERIAL FACTOR":2},</v>
      </c>
    </row>
    <row r="352" spans="1:15" hidden="1" x14ac:dyDescent="0.25">
      <c r="A352" s="15" t="s">
        <v>725</v>
      </c>
      <c r="B352" s="16" t="s">
        <v>726</v>
      </c>
      <c r="C352" s="16">
        <v>15</v>
      </c>
      <c r="D352" s="16" t="s">
        <v>87</v>
      </c>
      <c r="E352" s="16">
        <v>70</v>
      </c>
      <c r="F352" s="16">
        <v>70</v>
      </c>
      <c r="G352" s="16">
        <f t="shared" si="37"/>
        <v>70</v>
      </c>
      <c r="H352" s="16">
        <v>2</v>
      </c>
      <c r="I352" s="30"/>
      <c r="J352" t="str">
        <f t="shared" si="38"/>
        <v>"Plaster of Paris (see Gypsum)":{"MATERIAL CLASS CODE":"",</v>
      </c>
      <c r="K352" t="str">
        <f t="shared" si="39"/>
        <v>"CONVEY LOADING":"",</v>
      </c>
      <c r="L352" t="str">
        <f t="shared" si="40"/>
        <v>"COMPONENT GROUP":"",</v>
      </c>
      <c r="M352" t="str">
        <f t="shared" si="41"/>
        <v>"WEIGHT (LBS/CF)":0,</v>
      </c>
      <c r="N352" t="str">
        <f t="shared" si="42"/>
        <v>"MATERIAL FACTOR":0.4}</v>
      </c>
      <c r="O352" t="str">
        <f t="shared" si="43"/>
        <v>"Plaster of Paris (see Gypsum)":{"MATERIAL CLASS CODE":"","CONVEY LOADING":"","COMPONENT GROUP":"","WEIGHT (LBS/CF)":0,"MATERIAL FACTOR":0.4},</v>
      </c>
    </row>
    <row r="353" spans="1:15" hidden="1" x14ac:dyDescent="0.25">
      <c r="A353" s="13" t="s">
        <v>727</v>
      </c>
      <c r="B353" s="14" t="s">
        <v>728</v>
      </c>
      <c r="C353" s="14">
        <v>15</v>
      </c>
      <c r="D353" s="14" t="s">
        <v>87</v>
      </c>
      <c r="E353" s="14">
        <v>75</v>
      </c>
      <c r="F353" s="14">
        <v>75</v>
      </c>
      <c r="G353" s="14">
        <f t="shared" si="37"/>
        <v>75</v>
      </c>
      <c r="H353" s="14">
        <v>2.2000000000000002</v>
      </c>
      <c r="I353" s="29"/>
      <c r="J353" t="str">
        <f t="shared" si="38"/>
        <v>"Plumbago (see Graphite)":{"MATERIAL CLASS CODE":"",</v>
      </c>
      <c r="K353" t="str">
        <f t="shared" si="39"/>
        <v>"CONVEY LOADING":"",</v>
      </c>
      <c r="L353" t="str">
        <f t="shared" si="40"/>
        <v>"COMPONENT GROUP":"",</v>
      </c>
      <c r="M353" t="str">
        <f t="shared" si="41"/>
        <v>"WEIGHT (LBS/CF)":0,</v>
      </c>
      <c r="N353" t="str">
        <f t="shared" si="42"/>
        <v>"MATERIAL FACTOR":0.4}</v>
      </c>
      <c r="O353" t="str">
        <f t="shared" si="43"/>
        <v>"Plumbago (see Graphite)":{"MATERIAL CLASS CODE":"","CONVEY LOADING":"","COMPONENT GROUP":"","WEIGHT (LBS/CF)":0,"MATERIAL FACTOR":0.4},</v>
      </c>
    </row>
    <row r="354" spans="1:15" hidden="1" x14ac:dyDescent="0.25">
      <c r="A354" s="15" t="s">
        <v>729</v>
      </c>
      <c r="B354" s="16" t="s">
        <v>730</v>
      </c>
      <c r="C354" s="16" t="s">
        <v>99</v>
      </c>
      <c r="D354" s="16" t="s">
        <v>76</v>
      </c>
      <c r="E354" s="16">
        <v>51</v>
      </c>
      <c r="F354" s="16">
        <v>51</v>
      </c>
      <c r="G354" s="16">
        <f t="shared" si="37"/>
        <v>51</v>
      </c>
      <c r="H354" s="16">
        <v>1</v>
      </c>
      <c r="I354" s="30"/>
      <c r="J354" t="str">
        <f t="shared" si="38"/>
        <v>"Polyethylene, Resin Pellets":{"MATERIAL CLASS CODE":"33C45Q",</v>
      </c>
      <c r="K354" t="str">
        <f t="shared" si="39"/>
        <v>"CONVEY LOADING":"30A",</v>
      </c>
      <c r="L354" t="str">
        <f t="shared" si="40"/>
        <v>"COMPONENT GROUP":"1A,1B",</v>
      </c>
      <c r="M354" t="str">
        <f t="shared" si="41"/>
        <v>"WEIGHT (LBS/CF)":32.5,</v>
      </c>
      <c r="N354" t="str">
        <f t="shared" si="42"/>
        <v>"MATERIAL FACTOR":0.4}</v>
      </c>
      <c r="O354" t="str">
        <f t="shared" si="43"/>
        <v>"Polyethylene, Resin Pellets":{"MATERIAL CLASS CODE":"33C45Q","CONVEY LOADING":"30A","COMPONENT GROUP":"1A,1B","WEIGHT (LBS/CF)":32.5,"MATERIAL FACTOR":0.4},</v>
      </c>
    </row>
    <row r="355" spans="1:15" hidden="1" x14ac:dyDescent="0.25">
      <c r="A355" s="13" t="s">
        <v>731</v>
      </c>
      <c r="B355" s="14" t="s">
        <v>732</v>
      </c>
      <c r="C355" s="14" t="s">
        <v>99</v>
      </c>
      <c r="D355" s="14" t="s">
        <v>87</v>
      </c>
      <c r="E355" s="14">
        <v>76</v>
      </c>
      <c r="F355" s="14">
        <v>76</v>
      </c>
      <c r="G355" s="14">
        <f t="shared" si="37"/>
        <v>76</v>
      </c>
      <c r="H355" s="14">
        <v>1.2</v>
      </c>
      <c r="I355" s="14" t="s">
        <v>73</v>
      </c>
      <c r="J355" t="str">
        <f t="shared" si="38"/>
        <v>"Polystyrene Beads":{"MATERIAL CLASS CODE":"40B35PQ",</v>
      </c>
      <c r="K355" t="str">
        <f t="shared" si="39"/>
        <v>"CONVEY LOADING":"30A",</v>
      </c>
      <c r="L355" t="str">
        <f t="shared" si="40"/>
        <v>"COMPONENT GROUP":"1B",</v>
      </c>
      <c r="M355" t="str">
        <f t="shared" si="41"/>
        <v>"WEIGHT (LBS/CF)":40,</v>
      </c>
      <c r="N355" t="str">
        <f t="shared" si="42"/>
        <v>"MATERIAL FACTOR":0.4}</v>
      </c>
      <c r="O355" t="str">
        <f t="shared" si="43"/>
        <v>"Polystyrene Beads":{"MATERIAL CLASS CODE":"40B35PQ","CONVEY LOADING":"30A","COMPONENT GROUP":"1B","WEIGHT (LBS/CF)":40,"MATERIAL FACTOR":0.4},</v>
      </c>
    </row>
    <row r="356" spans="1:15" hidden="1" x14ac:dyDescent="0.25">
      <c r="A356" s="15" t="s">
        <v>733</v>
      </c>
      <c r="B356" s="16" t="s">
        <v>734</v>
      </c>
      <c r="C356" s="16" t="s">
        <v>99</v>
      </c>
      <c r="D356" s="16" t="s">
        <v>87</v>
      </c>
      <c r="E356" s="16">
        <v>80</v>
      </c>
      <c r="F356" s="16">
        <v>80</v>
      </c>
      <c r="G356" s="16">
        <f t="shared" si="37"/>
        <v>80</v>
      </c>
      <c r="H356" s="16">
        <v>1.2</v>
      </c>
      <c r="I356" s="30"/>
      <c r="J356" t="str">
        <f t="shared" si="38"/>
        <v>"Polyvinyl Chloride Powder (PVC)":{"MATERIAL CLASS CODE":"25A45KT",</v>
      </c>
      <c r="K356" t="str">
        <f t="shared" si="39"/>
        <v>"CONVEY LOADING":"30A",</v>
      </c>
      <c r="L356" t="str">
        <f t="shared" si="40"/>
        <v>"COMPONENT GROUP":"2B",</v>
      </c>
      <c r="M356" t="str">
        <f t="shared" si="41"/>
        <v>"WEIGHT (LBS/CF)":25,</v>
      </c>
      <c r="N356" t="str">
        <f t="shared" si="42"/>
        <v>"MATERIAL FACTOR":1}</v>
      </c>
      <c r="O356" t="str">
        <f t="shared" si="43"/>
        <v>"Polyvinyl Chloride Powder (PVC)":{"MATERIAL CLASS CODE":"25A45KT","CONVEY LOADING":"30A","COMPONENT GROUP":"2B","WEIGHT (LBS/CF)":25,"MATERIAL FACTOR":1},</v>
      </c>
    </row>
    <row r="357" spans="1:15" hidden="1" x14ac:dyDescent="0.25">
      <c r="A357" s="13" t="s">
        <v>735</v>
      </c>
      <c r="B357" s="14" t="s">
        <v>736</v>
      </c>
      <c r="C357" s="14" t="s">
        <v>99</v>
      </c>
      <c r="D357" s="14" t="s">
        <v>76</v>
      </c>
      <c r="E357" s="14">
        <v>42</v>
      </c>
      <c r="F357" s="14">
        <v>48</v>
      </c>
      <c r="G357" s="14">
        <f t="shared" si="37"/>
        <v>45</v>
      </c>
      <c r="H357" s="14">
        <v>1</v>
      </c>
      <c r="I357" s="29"/>
      <c r="J357" t="str">
        <f t="shared" si="38"/>
        <v>"Polyvinyl, Chloride Pellets":{"MATERIAL CLASS CODE":"25E45KPQT",</v>
      </c>
      <c r="K357" t="str">
        <f t="shared" si="39"/>
        <v>"CONVEY LOADING":"30A",</v>
      </c>
      <c r="L357" t="str">
        <f t="shared" si="40"/>
        <v>"COMPONENT GROUP":"1B",</v>
      </c>
      <c r="M357" t="str">
        <f t="shared" si="41"/>
        <v>"WEIGHT (LBS/CF)":25,</v>
      </c>
      <c r="N357" t="str">
        <f t="shared" si="42"/>
        <v>"MATERIAL FACTOR":0.6}</v>
      </c>
      <c r="O357" t="str">
        <f t="shared" si="43"/>
        <v>"Polyvinyl, Chloride Pellets":{"MATERIAL CLASS CODE":"25E45KPQT","CONVEY LOADING":"30A","COMPONENT GROUP":"1B","WEIGHT (LBS/CF)":25,"MATERIAL FACTOR":0.6},</v>
      </c>
    </row>
    <row r="358" spans="1:15" hidden="1" x14ac:dyDescent="0.25">
      <c r="A358" s="15" t="s">
        <v>737</v>
      </c>
      <c r="B358" s="16" t="s">
        <v>738</v>
      </c>
      <c r="C358" s="16">
        <v>45</v>
      </c>
      <c r="D358" s="16" t="s">
        <v>87</v>
      </c>
      <c r="E358" s="16">
        <v>120</v>
      </c>
      <c r="F358" s="16">
        <v>130</v>
      </c>
      <c r="G358" s="16">
        <f t="shared" si="37"/>
        <v>125</v>
      </c>
      <c r="H358" s="16">
        <v>1.6</v>
      </c>
      <c r="I358" s="30"/>
      <c r="J358" t="str">
        <f t="shared" si="38"/>
        <v>"Potash (Muriate) Dry":{"MATERIAL CLASS CODE":"70B37",</v>
      </c>
      <c r="K358" t="str">
        <f t="shared" si="39"/>
        <v>"CONVEY LOADING":"15",</v>
      </c>
      <c r="L358" t="str">
        <f t="shared" si="40"/>
        <v>"COMPONENT GROUP":"3D",</v>
      </c>
      <c r="M358" t="str">
        <f t="shared" si="41"/>
        <v>"WEIGHT (LBS/CF)":70,</v>
      </c>
      <c r="N358" t="str">
        <f t="shared" si="42"/>
        <v>"MATERIAL FACTOR":2}</v>
      </c>
      <c r="O358" t="str">
        <f t="shared" si="43"/>
        <v>"Potash (Muriate) Dry":{"MATERIAL CLASS CODE":"70B37","CONVEY LOADING":"15","COMPONENT GROUP":"3D","WEIGHT (LBS/CF)":70,"MATERIAL FACTOR":2},</v>
      </c>
    </row>
    <row r="359" spans="1:15" hidden="1" x14ac:dyDescent="0.25">
      <c r="A359" s="13" t="s">
        <v>739</v>
      </c>
      <c r="B359" s="14" t="s">
        <v>740</v>
      </c>
      <c r="C359" s="14" t="s">
        <v>71</v>
      </c>
      <c r="D359" s="14" t="s">
        <v>207</v>
      </c>
      <c r="E359" s="14">
        <v>48</v>
      </c>
      <c r="F359" s="14">
        <v>48</v>
      </c>
      <c r="G359" s="14">
        <f t="shared" si="37"/>
        <v>48</v>
      </c>
      <c r="H359" s="14">
        <v>0.5</v>
      </c>
      <c r="I359" s="14" t="s">
        <v>73</v>
      </c>
      <c r="J359" t="str">
        <f t="shared" si="38"/>
        <v>"Potash (Muriate) Mine Run":{"MATERIAL CLASS CODE":"75D37",</v>
      </c>
      <c r="K359" t="str">
        <f t="shared" si="39"/>
        <v>"CONVEY LOADING":"15",</v>
      </c>
      <c r="L359" t="str">
        <f t="shared" si="40"/>
        <v>"COMPONENT GROUP":"3D",</v>
      </c>
      <c r="M359" t="str">
        <f t="shared" si="41"/>
        <v>"WEIGHT (LBS/CF)":75,</v>
      </c>
      <c r="N359" t="str">
        <f t="shared" si="42"/>
        <v>"MATERIAL FACTOR":2.2}</v>
      </c>
      <c r="O359" t="str">
        <f t="shared" si="43"/>
        <v>"Potash (Muriate) Mine Run":{"MATERIAL CLASS CODE":"75D37","CONVEY LOADING":"15","COMPONENT GROUP":"3D","WEIGHT (LBS/CF)":75,"MATERIAL FACTOR":2.2},</v>
      </c>
    </row>
    <row r="360" spans="1:15" hidden="1" x14ac:dyDescent="0.25">
      <c r="A360" s="15" t="s">
        <v>741</v>
      </c>
      <c r="B360" s="16" t="s">
        <v>742</v>
      </c>
      <c r="C360" s="16" t="s">
        <v>99</v>
      </c>
      <c r="D360" s="16" t="s">
        <v>87</v>
      </c>
      <c r="E360" s="16">
        <v>42</v>
      </c>
      <c r="F360" s="16">
        <v>48</v>
      </c>
      <c r="G360" s="16">
        <f t="shared" si="37"/>
        <v>45</v>
      </c>
      <c r="H360" s="16">
        <v>1.6</v>
      </c>
      <c r="I360" s="30"/>
      <c r="J360" t="str">
        <f t="shared" si="38"/>
        <v>"Potassium Carbonate":{"MATERIAL CLASS CODE":"51B36",</v>
      </c>
      <c r="K360" t="str">
        <f t="shared" si="39"/>
        <v>"CONVEY LOADING":"30B",</v>
      </c>
      <c r="L360" t="str">
        <f t="shared" si="40"/>
        <v>"COMPONENT GROUP":"2D",</v>
      </c>
      <c r="M360" t="str">
        <f t="shared" si="41"/>
        <v>"WEIGHT (LBS/CF)":51,</v>
      </c>
      <c r="N360" t="str">
        <f t="shared" si="42"/>
        <v>"MATERIAL FACTOR":1}</v>
      </c>
      <c r="O360" t="str">
        <f t="shared" si="43"/>
        <v>"Potassium Carbonate":{"MATERIAL CLASS CODE":"51B36","CONVEY LOADING":"30B","COMPONENT GROUP":"2D","WEIGHT (LBS/CF)":51,"MATERIAL FACTOR":1},</v>
      </c>
    </row>
    <row r="361" spans="1:15" hidden="1" x14ac:dyDescent="0.25">
      <c r="A361" s="13" t="s">
        <v>743</v>
      </c>
      <c r="B361" s="14" t="s">
        <v>744</v>
      </c>
      <c r="C361" s="14" t="s">
        <v>99</v>
      </c>
      <c r="D361" s="14" t="s">
        <v>87</v>
      </c>
      <c r="E361" s="14">
        <v>120</v>
      </c>
      <c r="F361" s="14">
        <v>130</v>
      </c>
      <c r="G361" s="14">
        <f t="shared" si="37"/>
        <v>125</v>
      </c>
      <c r="H361" s="14">
        <v>2</v>
      </c>
      <c r="I361" s="29"/>
      <c r="J361" t="str">
        <f t="shared" si="38"/>
        <v>"Potassium Nitrate, 1⁄2” (Saltpeter)":{"MATERIAL CLASS CODE":"76C16NT",</v>
      </c>
      <c r="K361" t="str">
        <f t="shared" si="39"/>
        <v>"CONVEY LOADING":"30B",</v>
      </c>
      <c r="L361" t="str">
        <f t="shared" si="40"/>
        <v>"COMPONENT GROUP":"3D",</v>
      </c>
      <c r="M361" t="str">
        <f t="shared" si="41"/>
        <v>"WEIGHT (LBS/CF)":76,</v>
      </c>
      <c r="N361" t="str">
        <f t="shared" si="42"/>
        <v>"MATERIAL FACTOR":1.2}</v>
      </c>
      <c r="O361" t="str">
        <f t="shared" si="43"/>
        <v>"Potassium Nitrate, 1⁄2” (Saltpeter)":{"MATERIAL CLASS CODE":"76C16NT","CONVEY LOADING":"30B","COMPONENT GROUP":"3D","WEIGHT (LBS/CF)":76,"MATERIAL FACTOR":1.2},</v>
      </c>
    </row>
    <row r="362" spans="1:15" hidden="1" x14ac:dyDescent="0.25">
      <c r="A362" s="15" t="s">
        <v>745</v>
      </c>
      <c r="B362" s="16" t="s">
        <v>527</v>
      </c>
      <c r="C362" s="16">
        <v>15</v>
      </c>
      <c r="D362" s="16" t="s">
        <v>87</v>
      </c>
      <c r="E362" s="16">
        <v>80</v>
      </c>
      <c r="F362" s="16">
        <v>90</v>
      </c>
      <c r="G362" s="16">
        <f t="shared" si="37"/>
        <v>85</v>
      </c>
      <c r="H362" s="16">
        <v>2</v>
      </c>
      <c r="I362" s="30"/>
      <c r="J362" t="str">
        <f t="shared" si="38"/>
        <v>"Potassium Nitrate, 1⁄8” (Saltpeter)":{"MATERIAL CLASS CODE":"80B26NT",</v>
      </c>
      <c r="K362" t="str">
        <f t="shared" si="39"/>
        <v>"CONVEY LOADING":"30B",</v>
      </c>
      <c r="L362" t="str">
        <f t="shared" si="40"/>
        <v>"COMPONENT GROUP":"3D",</v>
      </c>
      <c r="M362" t="str">
        <f t="shared" si="41"/>
        <v>"WEIGHT (LBS/CF)":80,</v>
      </c>
      <c r="N362" t="str">
        <f t="shared" si="42"/>
        <v>"MATERIAL FACTOR":1.2}</v>
      </c>
      <c r="O362" t="str">
        <f t="shared" si="43"/>
        <v>"Potassium Nitrate, 1⁄8” (Saltpeter)":{"MATERIAL CLASS CODE":"80B26NT","CONVEY LOADING":"30B","COMPONENT GROUP":"3D","WEIGHT (LBS/CF)":80,"MATERIAL FACTOR":1.2},</v>
      </c>
    </row>
    <row r="363" spans="1:15" hidden="1" x14ac:dyDescent="0.25">
      <c r="A363" s="13" t="s">
        <v>746</v>
      </c>
      <c r="B363" s="14" t="s">
        <v>747</v>
      </c>
      <c r="C363" s="14">
        <v>15</v>
      </c>
      <c r="D363" s="14" t="s">
        <v>87</v>
      </c>
      <c r="E363" s="14">
        <v>70</v>
      </c>
      <c r="F363" s="14">
        <v>80</v>
      </c>
      <c r="G363" s="14">
        <f t="shared" si="37"/>
        <v>75</v>
      </c>
      <c r="H363" s="14">
        <v>1.7</v>
      </c>
      <c r="I363" s="29"/>
      <c r="J363" t="str">
        <f t="shared" si="38"/>
        <v>"Potassium Sulfate":{"MATERIAL CLASS CODE":"45B46X",</v>
      </c>
      <c r="K363" t="str">
        <f t="shared" si="39"/>
        <v>"CONVEY LOADING":"30B",</v>
      </c>
      <c r="L363" t="str">
        <f t="shared" si="40"/>
        <v>"COMPONENT GROUP":"2D",</v>
      </c>
      <c r="M363" t="str">
        <f t="shared" si="41"/>
        <v>"WEIGHT (LBS/CF)":45,</v>
      </c>
      <c r="N363" t="str">
        <f t="shared" si="42"/>
        <v>"MATERIAL FACTOR":1}</v>
      </c>
      <c r="O363" t="str">
        <f t="shared" si="43"/>
        <v>"Potassium Sulfate":{"MATERIAL CLASS CODE":"45B46X","CONVEY LOADING":"30B","COMPONENT GROUP":"2D","WEIGHT (LBS/CF)":45,"MATERIAL FACTOR":1},</v>
      </c>
    </row>
    <row r="364" spans="1:15" hidden="1" x14ac:dyDescent="0.25">
      <c r="A364" s="15" t="s">
        <v>748</v>
      </c>
      <c r="B364" s="16">
        <v>38</v>
      </c>
      <c r="C364" s="16" t="s">
        <v>116</v>
      </c>
      <c r="D364" s="16" t="s">
        <v>116</v>
      </c>
      <c r="E364" s="16">
        <v>34</v>
      </c>
      <c r="F364" s="16">
        <v>41</v>
      </c>
      <c r="G364" s="16">
        <f t="shared" si="37"/>
        <v>37.5</v>
      </c>
      <c r="H364" s="16">
        <v>0.8</v>
      </c>
      <c r="I364" s="16" t="s">
        <v>116</v>
      </c>
      <c r="J364" t="str">
        <f t="shared" si="38"/>
        <v>"Potassium-Chloride Pellets":{"MATERIAL CLASS CODE":"125C25TU",</v>
      </c>
      <c r="K364" t="str">
        <f t="shared" si="39"/>
        <v>"CONVEY LOADING":"45",</v>
      </c>
      <c r="L364" t="str">
        <f t="shared" si="40"/>
        <v>"COMPONENT GROUP":"3D",</v>
      </c>
      <c r="M364" t="str">
        <f t="shared" si="41"/>
        <v>"WEIGHT (LBS/CF)":125,</v>
      </c>
      <c r="N364" t="str">
        <f t="shared" si="42"/>
        <v>"MATERIAL FACTOR":1.6}</v>
      </c>
      <c r="O364" t="str">
        <f t="shared" si="43"/>
        <v>"Potassium-Chloride Pellets":{"MATERIAL CLASS CODE":"125C25TU","CONVEY LOADING":"45","COMPONENT GROUP":"3D","WEIGHT (LBS/CF)":125,"MATERIAL FACTOR":1.6},</v>
      </c>
    </row>
    <row r="365" spans="1:15" hidden="1" x14ac:dyDescent="0.25">
      <c r="A365" s="13" t="s">
        <v>749</v>
      </c>
      <c r="B365" s="14" t="s">
        <v>750</v>
      </c>
      <c r="C365" s="14" t="s">
        <v>71</v>
      </c>
      <c r="D365" s="14" t="s">
        <v>81</v>
      </c>
      <c r="E365" s="14">
        <v>20</v>
      </c>
      <c r="F365" s="14">
        <v>20</v>
      </c>
      <c r="G365" s="14">
        <f t="shared" si="37"/>
        <v>20</v>
      </c>
      <c r="H365" s="14">
        <v>0.4</v>
      </c>
      <c r="I365" s="14" t="s">
        <v>73</v>
      </c>
      <c r="J365" t="str">
        <f t="shared" si="38"/>
        <v>"Potato Flour":{"MATERIAL CLASS CODE":"48A35MNP",</v>
      </c>
      <c r="K365" t="str">
        <f t="shared" si="39"/>
        <v>"CONVEY LOADING":"30A",</v>
      </c>
      <c r="L365" t="str">
        <f t="shared" si="40"/>
        <v>"COMPONENT GROUP":"1A,1B",</v>
      </c>
      <c r="M365" t="str">
        <f t="shared" si="41"/>
        <v>"WEIGHT (LBS/CF)":48,</v>
      </c>
      <c r="N365" t="str">
        <f t="shared" si="42"/>
        <v>"MATERIAL FACTOR":0.5}</v>
      </c>
      <c r="O365" t="str">
        <f t="shared" si="43"/>
        <v>"Potato Flour":{"MATERIAL CLASS CODE":"48A35MNP","CONVEY LOADING":"30A","COMPONENT GROUP":"1A,1B","WEIGHT (LBS/CF)":48,"MATERIAL FACTOR":0.5},</v>
      </c>
    </row>
    <row r="366" spans="1:15" hidden="1" x14ac:dyDescent="0.25">
      <c r="A366" s="15" t="s">
        <v>751</v>
      </c>
      <c r="B366" s="16" t="s">
        <v>752</v>
      </c>
      <c r="C366" s="16" t="s">
        <v>71</v>
      </c>
      <c r="D366" s="16" t="s">
        <v>81</v>
      </c>
      <c r="E366" s="16">
        <v>42</v>
      </c>
      <c r="F366" s="16">
        <v>45</v>
      </c>
      <c r="G366" s="16">
        <f t="shared" si="37"/>
        <v>43.5</v>
      </c>
      <c r="H366" s="16">
        <v>0.4</v>
      </c>
      <c r="I366" s="16" t="s">
        <v>73</v>
      </c>
      <c r="J366" t="str">
        <f t="shared" si="38"/>
        <v>"Pumice, 1⁄8”":{"MATERIAL CLASS CODE":"45B46",</v>
      </c>
      <c r="K366" t="str">
        <f t="shared" si="39"/>
        <v>"CONVEY LOADING":"30B",</v>
      </c>
      <c r="L366" t="str">
        <f t="shared" si="40"/>
        <v>"COMPONENT GROUP":"3D",</v>
      </c>
      <c r="M366" t="str">
        <f t="shared" si="41"/>
        <v>"WEIGHT (LBS/CF)":45,</v>
      </c>
      <c r="N366" t="str">
        <f t="shared" si="42"/>
        <v>"MATERIAL FACTOR":1.6}</v>
      </c>
      <c r="O366" t="str">
        <f t="shared" si="43"/>
        <v>"Pumice, 1⁄8”":{"MATERIAL CLASS CODE":"45B46","CONVEY LOADING":"30B","COMPONENT GROUP":"3D","WEIGHT (LBS/CF)":45,"MATERIAL FACTOR":1.6},</v>
      </c>
    </row>
    <row r="367" spans="1:15" hidden="1" x14ac:dyDescent="0.25">
      <c r="A367" s="13" t="s">
        <v>753</v>
      </c>
      <c r="B367" s="14" t="s">
        <v>754</v>
      </c>
      <c r="C367" s="14">
        <v>45</v>
      </c>
      <c r="D367" s="14" t="s">
        <v>81</v>
      </c>
      <c r="E367" s="14">
        <v>45</v>
      </c>
      <c r="F367" s="14">
        <v>49</v>
      </c>
      <c r="G367" s="14">
        <f t="shared" si="37"/>
        <v>47</v>
      </c>
      <c r="H367" s="14">
        <v>0.4</v>
      </c>
      <c r="I367" s="14" t="s">
        <v>73</v>
      </c>
      <c r="J367" t="str">
        <f t="shared" si="38"/>
        <v>"Pyrite, Pellets":{"MATERIAL CLASS CODE":"125C26",</v>
      </c>
      <c r="K367" t="str">
        <f t="shared" si="39"/>
        <v>"CONVEY LOADING":"30B",</v>
      </c>
      <c r="L367" t="str">
        <f t="shared" si="40"/>
        <v>"COMPONENT GROUP":"3D",</v>
      </c>
      <c r="M367" t="str">
        <f t="shared" si="41"/>
        <v>"WEIGHT (LBS/CF)":125,</v>
      </c>
      <c r="N367" t="str">
        <f t="shared" si="42"/>
        <v>"MATERIAL FACTOR":2}</v>
      </c>
      <c r="O367" t="str">
        <f t="shared" si="43"/>
        <v>"Pyrite, Pellets":{"MATERIAL CLASS CODE":"125C26","CONVEY LOADING":"30B","COMPONENT GROUP":"3D","WEIGHT (LBS/CF)":125,"MATERIAL FACTOR":2},</v>
      </c>
    </row>
    <row r="368" spans="1:15" hidden="1" x14ac:dyDescent="0.25">
      <c r="A368" s="15" t="s">
        <v>755</v>
      </c>
      <c r="B368" s="16" t="s">
        <v>756</v>
      </c>
      <c r="C368" s="16" t="s">
        <v>71</v>
      </c>
      <c r="D368" s="16" t="s">
        <v>81</v>
      </c>
      <c r="E368" s="16">
        <v>20</v>
      </c>
      <c r="F368" s="16">
        <v>21</v>
      </c>
      <c r="G368" s="16">
        <f t="shared" si="37"/>
        <v>20.5</v>
      </c>
      <c r="H368" s="16">
        <v>0.4</v>
      </c>
      <c r="I368" s="16" t="s">
        <v>73</v>
      </c>
      <c r="J368" t="str">
        <f t="shared" si="38"/>
        <v>"Quartz, 1⁄2” (Silicon Dioxide)":{"MATERIAL CLASS CODE":"85C27",</v>
      </c>
      <c r="K368" t="str">
        <f t="shared" si="39"/>
        <v>"CONVEY LOADING":"15",</v>
      </c>
      <c r="L368" t="str">
        <f t="shared" si="40"/>
        <v>"COMPONENT GROUP":"3D",</v>
      </c>
      <c r="M368" t="str">
        <f t="shared" si="41"/>
        <v>"WEIGHT (LBS/CF)":85,</v>
      </c>
      <c r="N368" t="str">
        <f t="shared" si="42"/>
        <v>"MATERIAL FACTOR":2}</v>
      </c>
      <c r="O368" t="str">
        <f t="shared" si="43"/>
        <v>"Quartz, 1⁄2” (Silicon Dioxide)":{"MATERIAL CLASS CODE":"85C27","CONVEY LOADING":"15","COMPONENT GROUP":"3D","WEIGHT (LBS/CF)":85,"MATERIAL FACTOR":2},</v>
      </c>
    </row>
    <row r="369" spans="1:15" hidden="1" x14ac:dyDescent="0.25">
      <c r="A369" s="13" t="s">
        <v>757</v>
      </c>
      <c r="B369" s="14" t="s">
        <v>758</v>
      </c>
      <c r="C369" s="14">
        <v>45</v>
      </c>
      <c r="D369" s="14" t="s">
        <v>81</v>
      </c>
      <c r="E369" s="14">
        <v>30</v>
      </c>
      <c r="F369" s="14">
        <v>30</v>
      </c>
      <c r="G369" s="14">
        <f t="shared" si="37"/>
        <v>30</v>
      </c>
      <c r="H369" s="14">
        <v>0.4</v>
      </c>
      <c r="I369" s="14" t="s">
        <v>73</v>
      </c>
      <c r="J369" t="str">
        <f t="shared" si="38"/>
        <v>"Quartz,100 Mesh (Silicon Dioxide)":{"MATERIAL CLASS CODE":"75A27",</v>
      </c>
      <c r="K369" t="str">
        <f t="shared" si="39"/>
        <v>"CONVEY LOADING":"15",</v>
      </c>
      <c r="L369" t="str">
        <f t="shared" si="40"/>
        <v>"COMPONENT GROUP":"3D",</v>
      </c>
      <c r="M369" t="str">
        <f t="shared" si="41"/>
        <v>"WEIGHT (LBS/CF)":75,</v>
      </c>
      <c r="N369" t="str">
        <f t="shared" si="42"/>
        <v>"MATERIAL FACTOR":1.7}</v>
      </c>
      <c r="O369" t="str">
        <f t="shared" si="43"/>
        <v>"Quartz,100 Mesh (Silicon Dioxide)":{"MATERIAL CLASS CODE":"75A27","CONVEY LOADING":"15","COMPONENT GROUP":"3D","WEIGHT (LBS/CF)":75,"MATERIAL FACTOR":1.7},</v>
      </c>
    </row>
    <row r="370" spans="1:15" hidden="1" x14ac:dyDescent="0.25">
      <c r="A370" s="15" t="s">
        <v>759</v>
      </c>
      <c r="B370" s="16" t="s">
        <v>760</v>
      </c>
      <c r="C370" s="16" t="s">
        <v>71</v>
      </c>
      <c r="D370" s="16" t="s">
        <v>81</v>
      </c>
      <c r="E370" s="16">
        <v>32</v>
      </c>
      <c r="F370" s="16">
        <v>36</v>
      </c>
      <c r="G370" s="16">
        <f t="shared" si="37"/>
        <v>34</v>
      </c>
      <c r="H370" s="16">
        <v>0.6</v>
      </c>
      <c r="I370" s="16" t="s">
        <v>73</v>
      </c>
      <c r="J370" t="str">
        <f t="shared" si="38"/>
        <v>"Rape Seed Meal (Canola)":{"MATERIAL CLASS CODE":"38",</v>
      </c>
      <c r="K370" t="str">
        <f t="shared" si="39"/>
        <v>"CONVEY LOADING":"?",</v>
      </c>
      <c r="L370" t="str">
        <f t="shared" si="40"/>
        <v>"COMPONENT GROUP":"?",</v>
      </c>
      <c r="M370" t="str">
        <f t="shared" si="41"/>
        <v>"WEIGHT (LBS/CF)":37.5,</v>
      </c>
      <c r="N370" t="str">
        <f t="shared" si="42"/>
        <v>"MATERIAL FACTOR":0.8}</v>
      </c>
      <c r="O370" t="str">
        <f t="shared" si="43"/>
        <v>"Rape Seed Meal (Canola)":{"MATERIAL CLASS CODE":"38","CONVEY LOADING":"?","COMPONENT GROUP":"?","WEIGHT (LBS/CF)":37.5,"MATERIAL FACTOR":0.8},</v>
      </c>
    </row>
    <row r="371" spans="1:15" hidden="1" x14ac:dyDescent="0.25">
      <c r="A371" s="13" t="s">
        <v>761</v>
      </c>
      <c r="B371" s="14" t="s">
        <v>762</v>
      </c>
      <c r="C371" s="14" t="s">
        <v>71</v>
      </c>
      <c r="D371" s="14" t="s">
        <v>81</v>
      </c>
      <c r="E371" s="14">
        <v>65</v>
      </c>
      <c r="F371" s="14">
        <v>68</v>
      </c>
      <c r="G371" s="14">
        <f t="shared" si="37"/>
        <v>66.5</v>
      </c>
      <c r="H371" s="14">
        <v>1.5</v>
      </c>
      <c r="I371" s="29"/>
      <c r="J371" t="str">
        <f t="shared" si="38"/>
        <v>"Rice, Bran":{"MATERIAL CLASS CODE":"20B35NY",</v>
      </c>
      <c r="K371" t="str">
        <f t="shared" si="39"/>
        <v>"CONVEY LOADING":"30A",</v>
      </c>
      <c r="L371" t="str">
        <f t="shared" si="40"/>
        <v>"COMPONENT GROUP":"1A,1B,1C",</v>
      </c>
      <c r="M371" t="str">
        <f t="shared" si="41"/>
        <v>"WEIGHT (LBS/CF)":20,</v>
      </c>
      <c r="N371" t="str">
        <f t="shared" si="42"/>
        <v>"MATERIAL FACTOR":0.4}</v>
      </c>
      <c r="O371" t="str">
        <f t="shared" si="43"/>
        <v>"Rice, Bran":{"MATERIAL CLASS CODE":"20B35NY","CONVEY LOADING":"30A","COMPONENT GROUP":"1A,1B,1C","WEIGHT (LBS/CF)":20,"MATERIAL FACTOR":0.4},</v>
      </c>
    </row>
    <row r="372" spans="1:15" hidden="1" x14ac:dyDescent="0.25">
      <c r="A372" s="15" t="s">
        <v>763</v>
      </c>
      <c r="B372" s="16" t="s">
        <v>764</v>
      </c>
      <c r="C372" s="16" t="s">
        <v>71</v>
      </c>
      <c r="D372" s="16" t="s">
        <v>155</v>
      </c>
      <c r="E372" s="16">
        <v>50</v>
      </c>
      <c r="F372" s="16">
        <v>55</v>
      </c>
      <c r="G372" s="16">
        <f t="shared" si="37"/>
        <v>52.5</v>
      </c>
      <c r="H372" s="16">
        <v>1.5</v>
      </c>
      <c r="I372" s="30"/>
      <c r="J372" t="str">
        <f t="shared" si="38"/>
        <v>"Rice, Grits":{"MATERIAL CLASS CODE":"44B35P",</v>
      </c>
      <c r="K372" t="str">
        <f t="shared" si="39"/>
        <v>"CONVEY LOADING":"30A",</v>
      </c>
      <c r="L372" t="str">
        <f t="shared" si="40"/>
        <v>"COMPONENT GROUP":"1A,1B,1C",</v>
      </c>
      <c r="M372" t="str">
        <f t="shared" si="41"/>
        <v>"WEIGHT (LBS/CF)":43.5,</v>
      </c>
      <c r="N372" t="str">
        <f t="shared" si="42"/>
        <v>"MATERIAL FACTOR":0.4}</v>
      </c>
      <c r="O372" t="str">
        <f t="shared" si="43"/>
        <v>"Rice, Grits":{"MATERIAL CLASS CODE":"44B35P","CONVEY LOADING":"30A","COMPONENT GROUP":"1A,1B,1C","WEIGHT (LBS/CF)":43.5,"MATERIAL FACTOR":0.4},</v>
      </c>
    </row>
    <row r="373" spans="1:15" hidden="1" x14ac:dyDescent="0.25">
      <c r="A373" s="13" t="s">
        <v>765</v>
      </c>
      <c r="B373" s="14" t="s">
        <v>766</v>
      </c>
      <c r="C373" s="14" t="s">
        <v>71</v>
      </c>
      <c r="D373" s="14" t="s">
        <v>81</v>
      </c>
      <c r="E373" s="14">
        <v>23</v>
      </c>
      <c r="F373" s="14">
        <v>50</v>
      </c>
      <c r="G373" s="14">
        <f t="shared" si="37"/>
        <v>36.5</v>
      </c>
      <c r="H373" s="14">
        <v>0.8</v>
      </c>
      <c r="I373" s="14" t="s">
        <v>73</v>
      </c>
      <c r="J373" t="str">
        <f t="shared" si="38"/>
        <v>"Rice, Hulled":{"MATERIAL CLASS CODE":"47C25P",</v>
      </c>
      <c r="K373" t="str">
        <f t="shared" si="39"/>
        <v>"CONVEY LOADING":"45",</v>
      </c>
      <c r="L373" t="str">
        <f t="shared" si="40"/>
        <v>"COMPONENT GROUP":"1A,1B,1C",</v>
      </c>
      <c r="M373" t="str">
        <f t="shared" si="41"/>
        <v>"WEIGHT (LBS/CF)":47,</v>
      </c>
      <c r="N373" t="str">
        <f t="shared" si="42"/>
        <v>"MATERIAL FACTOR":0.4}</v>
      </c>
      <c r="O373" t="str">
        <f t="shared" si="43"/>
        <v>"Rice, Hulled":{"MATERIAL CLASS CODE":"47C25P","CONVEY LOADING":"45","COMPONENT GROUP":"1A,1B,1C","WEIGHT (LBS/CF)":47,"MATERIAL FACTOR":0.4},</v>
      </c>
    </row>
    <row r="374" spans="1:15" hidden="1" x14ac:dyDescent="0.25">
      <c r="A374" s="15" t="s">
        <v>767</v>
      </c>
      <c r="B374" s="16" t="s">
        <v>665</v>
      </c>
      <c r="C374" s="16">
        <v>45</v>
      </c>
      <c r="D374" s="16" t="s">
        <v>81</v>
      </c>
      <c r="E374" s="16">
        <v>42</v>
      </c>
      <c r="F374" s="16">
        <v>48</v>
      </c>
      <c r="G374" s="16">
        <f t="shared" si="37"/>
        <v>45</v>
      </c>
      <c r="H374" s="16">
        <v>0.4</v>
      </c>
      <c r="I374" s="16" t="s">
        <v>73</v>
      </c>
      <c r="J374" t="str">
        <f t="shared" si="38"/>
        <v>"Rice, Hulls":{"MATERIAL CLASS CODE":"21B35NY",</v>
      </c>
      <c r="K374" t="str">
        <f t="shared" si="39"/>
        <v>"CONVEY LOADING":"30A",</v>
      </c>
      <c r="L374" t="str">
        <f t="shared" si="40"/>
        <v>"COMPONENT GROUP":"1A,1B,1C",</v>
      </c>
      <c r="M374" t="str">
        <f t="shared" si="41"/>
        <v>"WEIGHT (LBS/CF)":20.5,</v>
      </c>
      <c r="N374" t="str">
        <f t="shared" si="42"/>
        <v>"MATERIAL FACTOR":0.4}</v>
      </c>
      <c r="O374" t="str">
        <f t="shared" si="43"/>
        <v>"Rice, Hulls":{"MATERIAL CLASS CODE":"21B35NY","CONVEY LOADING":"30A","COMPONENT GROUP":"1A,1B,1C","WEIGHT (LBS/CF)":20.5,"MATERIAL FACTOR":0.4},</v>
      </c>
    </row>
    <row r="375" spans="1:15" hidden="1" x14ac:dyDescent="0.25">
      <c r="A375" s="13" t="s">
        <v>768</v>
      </c>
      <c r="B375" s="14" t="s">
        <v>769</v>
      </c>
      <c r="C375" s="14" t="s">
        <v>71</v>
      </c>
      <c r="D375" s="14" t="s">
        <v>81</v>
      </c>
      <c r="E375" s="14">
        <v>15</v>
      </c>
      <c r="F375" s="14">
        <v>20</v>
      </c>
      <c r="G375" s="14">
        <f t="shared" si="37"/>
        <v>17.5</v>
      </c>
      <c r="H375" s="14">
        <v>0.4</v>
      </c>
      <c r="I375" s="14" t="s">
        <v>73</v>
      </c>
      <c r="J375" t="str">
        <f t="shared" si="38"/>
        <v>"Rice, Polished":{"MATERIAL CLASS CODE":"30C15P",</v>
      </c>
      <c r="K375" t="str">
        <f t="shared" si="39"/>
        <v>"CONVEY LOADING":"45",</v>
      </c>
      <c r="L375" t="str">
        <f t="shared" si="40"/>
        <v>"COMPONENT GROUP":"1A,1B,1C",</v>
      </c>
      <c r="M375" t="str">
        <f t="shared" si="41"/>
        <v>"WEIGHT (LBS/CF)":30,</v>
      </c>
      <c r="N375" t="str">
        <f t="shared" si="42"/>
        <v>"MATERIAL FACTOR":0.4}</v>
      </c>
      <c r="O375" t="str">
        <f t="shared" si="43"/>
        <v>"Rice, Polished":{"MATERIAL CLASS CODE":"30C15P","CONVEY LOADING":"45","COMPONENT GROUP":"1A,1B,1C","WEIGHT (LBS/CF)":30,"MATERIAL FACTOR":0.4},</v>
      </c>
    </row>
    <row r="376" spans="1:15" hidden="1" x14ac:dyDescent="0.25">
      <c r="A376" s="15" t="s">
        <v>770</v>
      </c>
      <c r="B376" s="16" t="s">
        <v>771</v>
      </c>
      <c r="C376" s="16" t="s">
        <v>71</v>
      </c>
      <c r="D376" s="16" t="s">
        <v>81</v>
      </c>
      <c r="E376" s="16">
        <v>33</v>
      </c>
      <c r="F376" s="16">
        <v>33</v>
      </c>
      <c r="G376" s="16">
        <f t="shared" si="37"/>
        <v>33</v>
      </c>
      <c r="H376" s="16">
        <v>0.5</v>
      </c>
      <c r="I376" s="16" t="s">
        <v>73</v>
      </c>
      <c r="J376" t="str">
        <f t="shared" si="38"/>
        <v>"Rice, Rough":{"MATERIAL CLASS CODE":"34C35N",</v>
      </c>
      <c r="K376" t="str">
        <f t="shared" si="39"/>
        <v>"CONVEY LOADING":"30A",</v>
      </c>
      <c r="L376" t="str">
        <f t="shared" si="40"/>
        <v>"COMPONENT GROUP":"1A,1B,1C",</v>
      </c>
      <c r="M376" t="str">
        <f t="shared" si="41"/>
        <v>"WEIGHT (LBS/CF)":34,</v>
      </c>
      <c r="N376" t="str">
        <f t="shared" si="42"/>
        <v>"MATERIAL FACTOR":0.6}</v>
      </c>
      <c r="O376" t="str">
        <f t="shared" si="43"/>
        <v>"Rice, Rough":{"MATERIAL CLASS CODE":"34C35N","CONVEY LOADING":"30A","COMPONENT GROUP":"1A,1B,1C","WEIGHT (LBS/CF)":34,"MATERIAL FACTOR":0.6},</v>
      </c>
    </row>
    <row r="377" spans="1:15" hidden="1" x14ac:dyDescent="0.25">
      <c r="A377" s="13" t="s">
        <v>772</v>
      </c>
      <c r="B377" s="14" t="s">
        <v>773</v>
      </c>
      <c r="C377" s="14" t="s">
        <v>71</v>
      </c>
      <c r="D377" s="14" t="s">
        <v>81</v>
      </c>
      <c r="E377" s="14">
        <v>35</v>
      </c>
      <c r="F377" s="14">
        <v>40</v>
      </c>
      <c r="G377" s="14">
        <f t="shared" si="37"/>
        <v>37.5</v>
      </c>
      <c r="H377" s="14">
        <v>0.5</v>
      </c>
      <c r="I377" s="14" t="s">
        <v>73</v>
      </c>
      <c r="J377" t="str">
        <f t="shared" si="38"/>
        <v>"Rosin, 1⁄2”":{"MATERIAL CLASS CODE":"67C45Q",</v>
      </c>
      <c r="K377" t="str">
        <f t="shared" si="39"/>
        <v>"CONVEY LOADING":"30A",</v>
      </c>
      <c r="L377" t="str">
        <f t="shared" si="40"/>
        <v>"COMPONENT GROUP":"1A,1B,1C",</v>
      </c>
      <c r="M377" t="str">
        <f t="shared" si="41"/>
        <v>"WEIGHT (LBS/CF)":66.5,</v>
      </c>
      <c r="N377" t="str">
        <f t="shared" si="42"/>
        <v>"MATERIAL FACTOR":1.5}</v>
      </c>
      <c r="O377" t="str">
        <f t="shared" si="43"/>
        <v>"Rosin, 1⁄2”":{"MATERIAL CLASS CODE":"67C45Q","CONVEY LOADING":"30A","COMPONENT GROUP":"1A,1B,1C","WEIGHT (LBS/CF)":66.5,"MATERIAL FACTOR":1.5},</v>
      </c>
    </row>
    <row r="378" spans="1:15" hidden="1" x14ac:dyDescent="0.25">
      <c r="A378" s="15" t="s">
        <v>774</v>
      </c>
      <c r="B378" s="16" t="s">
        <v>775</v>
      </c>
      <c r="C378" s="16" t="s">
        <v>71</v>
      </c>
      <c r="D378" s="16" t="s">
        <v>207</v>
      </c>
      <c r="E378" s="16">
        <v>42</v>
      </c>
      <c r="F378" s="16">
        <v>42</v>
      </c>
      <c r="G378" s="16">
        <f t="shared" si="37"/>
        <v>42</v>
      </c>
      <c r="H378" s="16">
        <v>0.5</v>
      </c>
      <c r="I378" s="16" t="s">
        <v>73</v>
      </c>
      <c r="J378" t="str">
        <f t="shared" si="38"/>
        <v>"Rubber, Pelleted":{"MATERIAL CLASS CODE":"53D45",</v>
      </c>
      <c r="K378" t="str">
        <f t="shared" si="39"/>
        <v>"CONVEY LOADING":"30A",</v>
      </c>
      <c r="L378" t="str">
        <f t="shared" si="40"/>
        <v>"COMPONENT GROUP":"2A,2B,2C",</v>
      </c>
      <c r="M378" t="str">
        <f t="shared" si="41"/>
        <v>"WEIGHT (LBS/CF)":52.5,</v>
      </c>
      <c r="N378" t="str">
        <f t="shared" si="42"/>
        <v>"MATERIAL FACTOR":1.5}</v>
      </c>
      <c r="O378" t="str">
        <f t="shared" si="43"/>
        <v>"Rubber, Pelleted":{"MATERIAL CLASS CODE":"53D45","CONVEY LOADING":"30A","COMPONENT GROUP":"2A,2B,2C","WEIGHT (LBS/CF)":52.5,"MATERIAL FACTOR":1.5},</v>
      </c>
    </row>
    <row r="379" spans="1:15" hidden="1" x14ac:dyDescent="0.25">
      <c r="A379" s="13" t="s">
        <v>776</v>
      </c>
      <c r="B379" s="14" t="s">
        <v>777</v>
      </c>
      <c r="C379" s="14" t="s">
        <v>71</v>
      </c>
      <c r="D379" s="14" t="s">
        <v>90</v>
      </c>
      <c r="E379" s="14">
        <v>32</v>
      </c>
      <c r="F379" s="14">
        <v>33</v>
      </c>
      <c r="G379" s="14">
        <f t="shared" si="37"/>
        <v>32.5</v>
      </c>
      <c r="H379" s="14">
        <v>0.5</v>
      </c>
      <c r="I379" s="14" t="s">
        <v>73</v>
      </c>
      <c r="J379" t="str">
        <f t="shared" si="38"/>
        <v>"Rubber, Reclaimed Ground":{"MATERIAL CLASS CODE":"37C45",</v>
      </c>
      <c r="K379" t="str">
        <f t="shared" si="39"/>
        <v>"CONVEY LOADING":"30A",</v>
      </c>
      <c r="L379" t="str">
        <f t="shared" si="40"/>
        <v>"COMPONENT GROUP":"1A,1B,1C",</v>
      </c>
      <c r="M379" t="str">
        <f t="shared" si="41"/>
        <v>"WEIGHT (LBS/CF)":36.5,</v>
      </c>
      <c r="N379" t="str">
        <f t="shared" si="42"/>
        <v>"MATERIAL FACTOR":0.8}</v>
      </c>
      <c r="O379" t="str">
        <f t="shared" si="43"/>
        <v>"Rubber, Reclaimed Ground":{"MATERIAL CLASS CODE":"37C45","CONVEY LOADING":"30A","COMPONENT GROUP":"1A,1B,1C","WEIGHT (LBS/CF)":36.5,"MATERIAL FACTOR":0.8},</v>
      </c>
    </row>
    <row r="380" spans="1:15" hidden="1" x14ac:dyDescent="0.25">
      <c r="A380" s="15" t="s">
        <v>778</v>
      </c>
      <c r="B380" s="16" t="s">
        <v>665</v>
      </c>
      <c r="C380" s="16">
        <v>45</v>
      </c>
      <c r="D380" s="16" t="s">
        <v>81</v>
      </c>
      <c r="E380" s="16">
        <v>45</v>
      </c>
      <c r="F380" s="16">
        <v>45</v>
      </c>
      <c r="G380" s="16">
        <f t="shared" si="37"/>
        <v>45</v>
      </c>
      <c r="H380" s="16">
        <v>0.4</v>
      </c>
      <c r="I380" s="16" t="s">
        <v>73</v>
      </c>
      <c r="J380" t="str">
        <f t="shared" si="38"/>
        <v>"Rye":{"MATERIAL CLASS CODE":"45B15N",</v>
      </c>
      <c r="K380" t="str">
        <f t="shared" si="39"/>
        <v>"CONVEY LOADING":"45",</v>
      </c>
      <c r="L380" t="str">
        <f t="shared" si="40"/>
        <v>"COMPONENT GROUP":"1A,1B,1C",</v>
      </c>
      <c r="M380" t="str">
        <f t="shared" si="41"/>
        <v>"WEIGHT (LBS/CF)":45,</v>
      </c>
      <c r="N380" t="str">
        <f t="shared" si="42"/>
        <v>"MATERIAL FACTOR":0.4}</v>
      </c>
      <c r="O380" t="str">
        <f t="shared" si="43"/>
        <v>"Rye":{"MATERIAL CLASS CODE":"45B15N","CONVEY LOADING":"45","COMPONENT GROUP":"1A,1B,1C","WEIGHT (LBS/CF)":45,"MATERIAL FACTOR":0.4},</v>
      </c>
    </row>
    <row r="381" spans="1:15" hidden="1" x14ac:dyDescent="0.25">
      <c r="A381" s="13" t="s">
        <v>779</v>
      </c>
      <c r="B381" s="14" t="s">
        <v>780</v>
      </c>
      <c r="C381" s="14" t="s">
        <v>99</v>
      </c>
      <c r="D381" s="14" t="s">
        <v>76</v>
      </c>
      <c r="E381" s="14">
        <v>50</v>
      </c>
      <c r="F381" s="14">
        <v>50</v>
      </c>
      <c r="G381" s="14">
        <f t="shared" si="37"/>
        <v>50</v>
      </c>
      <c r="H381" s="14">
        <v>0.6</v>
      </c>
      <c r="I381" s="29"/>
      <c r="J381" t="str">
        <f t="shared" si="38"/>
        <v>"Rye Bran":{"MATERIAL CLASS CODE":"18B35Y",</v>
      </c>
      <c r="K381" t="str">
        <f t="shared" si="39"/>
        <v>"CONVEY LOADING":"30A",</v>
      </c>
      <c r="L381" t="str">
        <f t="shared" si="40"/>
        <v>"COMPONENT GROUP":"1A,1B,1C",</v>
      </c>
      <c r="M381" t="str">
        <f t="shared" si="41"/>
        <v>"WEIGHT (LBS/CF)":17.5,</v>
      </c>
      <c r="N381" t="str">
        <f t="shared" si="42"/>
        <v>"MATERIAL FACTOR":0.4}</v>
      </c>
      <c r="O381" t="str">
        <f t="shared" si="43"/>
        <v>"Rye Bran":{"MATERIAL CLASS CODE":"18B35Y","CONVEY LOADING":"30A","COMPONENT GROUP":"1A,1B,1C","WEIGHT (LBS/CF)":17.5,"MATERIAL FACTOR":0.4},</v>
      </c>
    </row>
    <row r="382" spans="1:15" ht="15.75" hidden="1" thickBot="1" x14ac:dyDescent="0.3">
      <c r="A382" s="19" t="s">
        <v>781</v>
      </c>
      <c r="B382" s="20" t="s">
        <v>217</v>
      </c>
      <c r="C382" s="20" t="s">
        <v>71</v>
      </c>
      <c r="D382" s="20" t="s">
        <v>81</v>
      </c>
      <c r="E382" s="20">
        <v>50</v>
      </c>
      <c r="F382" s="20">
        <v>50</v>
      </c>
      <c r="G382" s="20">
        <f t="shared" si="37"/>
        <v>50</v>
      </c>
      <c r="H382" s="20">
        <v>0.6</v>
      </c>
      <c r="I382" s="20" t="s">
        <v>73</v>
      </c>
      <c r="J382" t="str">
        <f t="shared" si="38"/>
        <v>"Rye Feed":{"MATERIAL CLASS CODE":"33B35N",</v>
      </c>
      <c r="K382" t="str">
        <f t="shared" si="39"/>
        <v>"CONVEY LOADING":"30A",</v>
      </c>
      <c r="L382" t="str">
        <f t="shared" si="40"/>
        <v>"COMPONENT GROUP":"1A,1B,1C",</v>
      </c>
      <c r="M382" t="str">
        <f t="shared" si="41"/>
        <v>"WEIGHT (LBS/CF)":33,</v>
      </c>
      <c r="N382" t="str">
        <f t="shared" si="42"/>
        <v>"MATERIAL FACTOR":0.5}</v>
      </c>
      <c r="O382" t="str">
        <f t="shared" si="43"/>
        <v>"Rye Feed":{"MATERIAL CLASS CODE":"33B35N","CONVEY LOADING":"30A","COMPONENT GROUP":"1A,1B,1C","WEIGHT (LBS/CF)":33,"MATERIAL FACTOR":0.5},</v>
      </c>
    </row>
    <row r="383" spans="1:15" hidden="1" x14ac:dyDescent="0.25">
      <c r="A383" s="13" t="s">
        <v>782</v>
      </c>
      <c r="B383" s="29"/>
      <c r="C383" s="29"/>
      <c r="D383" s="29"/>
      <c r="E383" s="29"/>
      <c r="F383" s="29"/>
      <c r="G383" s="29">
        <f t="shared" si="37"/>
        <v>0</v>
      </c>
      <c r="H383" s="29">
        <v>0.4</v>
      </c>
      <c r="I383" s="29"/>
      <c r="J383" t="str">
        <f t="shared" si="38"/>
        <v>"Rye Meal":{"MATERIAL CLASS CODE":"38B35",</v>
      </c>
      <c r="K383" t="str">
        <f t="shared" si="39"/>
        <v>"CONVEY LOADING":"30A",</v>
      </c>
      <c r="L383" t="str">
        <f t="shared" si="40"/>
        <v>"COMPONENT GROUP":"1A,1B,1C",</v>
      </c>
      <c r="M383" t="str">
        <f t="shared" si="41"/>
        <v>"WEIGHT (LBS/CF)":37.5,</v>
      </c>
      <c r="N383" t="str">
        <f t="shared" si="42"/>
        <v>"MATERIAL FACTOR":0.5}</v>
      </c>
      <c r="O383" t="str">
        <f t="shared" si="43"/>
        <v>"Rye Meal":{"MATERIAL CLASS CODE":"38B35","CONVEY LOADING":"30A","COMPONENT GROUP":"1A,1B,1C","WEIGHT (LBS/CF)":37.5,"MATERIAL FACTOR":0.5},</v>
      </c>
    </row>
    <row r="384" spans="1:15" hidden="1" x14ac:dyDescent="0.25">
      <c r="A384" s="15" t="s">
        <v>783</v>
      </c>
      <c r="B384" s="16" t="s">
        <v>115</v>
      </c>
      <c r="C384" s="16" t="s">
        <v>71</v>
      </c>
      <c r="D384" s="16" t="s">
        <v>81</v>
      </c>
      <c r="E384" s="16">
        <v>45</v>
      </c>
      <c r="F384" s="16">
        <v>52</v>
      </c>
      <c r="G384" s="16">
        <f t="shared" si="37"/>
        <v>48.5</v>
      </c>
      <c r="H384" s="16">
        <v>0.7</v>
      </c>
      <c r="I384" s="16" t="s">
        <v>116</v>
      </c>
      <c r="J384" t="str">
        <f t="shared" si="38"/>
        <v>"Rye Middlings":{"MATERIAL CLASS CODE":"42B35",</v>
      </c>
      <c r="K384" t="str">
        <f t="shared" si="39"/>
        <v>"CONVEY LOADING":"30A",</v>
      </c>
      <c r="L384" t="str">
        <f t="shared" si="40"/>
        <v>"COMPONENT GROUP":"1A,1B",</v>
      </c>
      <c r="M384" t="str">
        <f t="shared" si="41"/>
        <v>"WEIGHT (LBS/CF)":42,</v>
      </c>
      <c r="N384" t="str">
        <f t="shared" si="42"/>
        <v>"MATERIAL FACTOR":0.5}</v>
      </c>
      <c r="O384" t="str">
        <f t="shared" si="43"/>
        <v>"Rye Middlings":{"MATERIAL CLASS CODE":"42B35","CONVEY LOADING":"30A","COMPONENT GROUP":"1A,1B","WEIGHT (LBS/CF)":42,"MATERIAL FACTOR":0.5},</v>
      </c>
    </row>
    <row r="385" spans="1:15" hidden="1" x14ac:dyDescent="0.25">
      <c r="A385" s="13" t="s">
        <v>784</v>
      </c>
      <c r="B385" s="14" t="s">
        <v>785</v>
      </c>
      <c r="C385" s="14">
        <v>15</v>
      </c>
      <c r="D385" s="14" t="s">
        <v>87</v>
      </c>
      <c r="E385" s="14">
        <v>29</v>
      </c>
      <c r="F385" s="14">
        <v>29</v>
      </c>
      <c r="G385" s="14">
        <f t="shared" si="37"/>
        <v>29</v>
      </c>
      <c r="H385" s="14">
        <v>0.6</v>
      </c>
      <c r="I385" s="29"/>
      <c r="J385" t="str">
        <f t="shared" si="38"/>
        <v>"Rye, Shorts":{"MATERIAL CLASS CODE":"33C35",</v>
      </c>
      <c r="K385" t="str">
        <f t="shared" si="39"/>
        <v>"CONVEY LOADING":"30A",</v>
      </c>
      <c r="L385" t="str">
        <f t="shared" si="40"/>
        <v>"COMPONENT GROUP":"2A,2B",</v>
      </c>
      <c r="M385" t="str">
        <f t="shared" si="41"/>
        <v>"WEIGHT (LBS/CF)":32.5,</v>
      </c>
      <c r="N385" t="str">
        <f t="shared" si="42"/>
        <v>"MATERIAL FACTOR":0.5}</v>
      </c>
      <c r="O385" t="str">
        <f t="shared" si="43"/>
        <v>"Rye, Shorts":{"MATERIAL CLASS CODE":"33C35","CONVEY LOADING":"30A","COMPONENT GROUP":"2A,2B","WEIGHT (LBS/CF)":32.5,"MATERIAL FACTOR":0.5},</v>
      </c>
    </row>
    <row r="386" spans="1:15" hidden="1" x14ac:dyDescent="0.25">
      <c r="A386" s="15" t="s">
        <v>786</v>
      </c>
      <c r="B386" s="16" t="s">
        <v>787</v>
      </c>
      <c r="C386" s="16" t="s">
        <v>99</v>
      </c>
      <c r="D386" s="16" t="s">
        <v>87</v>
      </c>
      <c r="E386" s="16">
        <v>85</v>
      </c>
      <c r="F386" s="16">
        <v>85</v>
      </c>
      <c r="G386" s="16">
        <f t="shared" si="37"/>
        <v>85</v>
      </c>
      <c r="H386" s="16">
        <v>2.1</v>
      </c>
      <c r="I386" s="30"/>
      <c r="J386" t="str">
        <f t="shared" si="38"/>
        <v>"Safflower Seed (Saffron)":{"MATERIAL CLASS CODE":"45B15N",</v>
      </c>
      <c r="K386" t="str">
        <f t="shared" si="39"/>
        <v>"CONVEY LOADING":"45",</v>
      </c>
      <c r="L386" t="str">
        <f t="shared" si="40"/>
        <v>"COMPONENT GROUP":"1A,1B,1C",</v>
      </c>
      <c r="M386" t="str">
        <f t="shared" si="41"/>
        <v>"WEIGHT (LBS/CF)":45,</v>
      </c>
      <c r="N386" t="str">
        <f t="shared" si="42"/>
        <v>"MATERIAL FACTOR":0.4}</v>
      </c>
      <c r="O386" t="str">
        <f t="shared" si="43"/>
        <v>"Safflower Seed (Saffron)":{"MATERIAL CLASS CODE":"45B15N","CONVEY LOADING":"45","COMPONENT GROUP":"1A,1B,1C","WEIGHT (LBS/CF)":45,"MATERIAL FACTOR":0.4},</v>
      </c>
    </row>
    <row r="387" spans="1:15" hidden="1" x14ac:dyDescent="0.25">
      <c r="A387" s="13" t="s">
        <v>788</v>
      </c>
      <c r="B387" s="14" t="s">
        <v>789</v>
      </c>
      <c r="C387" s="14" t="s">
        <v>99</v>
      </c>
      <c r="D387" s="14" t="s">
        <v>87</v>
      </c>
      <c r="E387" s="14">
        <v>65</v>
      </c>
      <c r="F387" s="14">
        <v>85</v>
      </c>
      <c r="G387" s="14">
        <f t="shared" si="37"/>
        <v>75</v>
      </c>
      <c r="H387" s="14">
        <v>1.7</v>
      </c>
      <c r="I387" s="29"/>
      <c r="J387" t="str">
        <f t="shared" si="38"/>
        <v>"Safflower, Cake (Saffron)":{"MATERIAL CLASS CODE":"50D26",</v>
      </c>
      <c r="K387" t="str">
        <f t="shared" si="39"/>
        <v>"CONVEY LOADING":"30B",</v>
      </c>
      <c r="L387" t="str">
        <f t="shared" si="40"/>
        <v>"COMPONENT GROUP":"2D",</v>
      </c>
      <c r="M387" t="str">
        <f t="shared" si="41"/>
        <v>"WEIGHT (LBS/CF)":50,</v>
      </c>
      <c r="N387" t="str">
        <f t="shared" si="42"/>
        <v>"MATERIAL FACTOR":0.6}</v>
      </c>
      <c r="O387" t="str">
        <f t="shared" si="43"/>
        <v>"Safflower, Cake (Saffron)":{"MATERIAL CLASS CODE":"50D26","CONVEY LOADING":"30B","COMPONENT GROUP":"2D","WEIGHT (LBS/CF)":50,"MATERIAL FACTOR":0.6},</v>
      </c>
    </row>
    <row r="388" spans="1:15" hidden="1" x14ac:dyDescent="0.25">
      <c r="A388" s="15" t="s">
        <v>790</v>
      </c>
      <c r="B388" s="16" t="s">
        <v>791</v>
      </c>
      <c r="C388" s="16" t="s">
        <v>99</v>
      </c>
      <c r="D388" s="16" t="s">
        <v>87</v>
      </c>
      <c r="E388" s="16">
        <v>45</v>
      </c>
      <c r="F388" s="16">
        <v>60</v>
      </c>
      <c r="G388" s="16">
        <f t="shared" si="37"/>
        <v>52.5</v>
      </c>
      <c r="H388" s="16">
        <v>1</v>
      </c>
      <c r="I388" s="16" t="s">
        <v>73</v>
      </c>
      <c r="J388" t="str">
        <f t="shared" si="38"/>
        <v>"Safflower, Meal (Saffron)":{"MATERIAL CLASS CODE":"50B35",</v>
      </c>
      <c r="K388" t="str">
        <f t="shared" si="39"/>
        <v>"CONVEY LOADING":"30A",</v>
      </c>
      <c r="L388" t="str">
        <f t="shared" si="40"/>
        <v>"COMPONENT GROUP":"1A,1B,1C",</v>
      </c>
      <c r="M388" t="str">
        <f t="shared" si="41"/>
        <v>"WEIGHT (LBS/CF)":50,</v>
      </c>
      <c r="N388" t="str">
        <f t="shared" si="42"/>
        <v>"MATERIAL FACTOR":0.6}</v>
      </c>
      <c r="O388" t="str">
        <f t="shared" si="43"/>
        <v>"Safflower, Meal (Saffron)":{"MATERIAL CLASS CODE":"50B35","CONVEY LOADING":"30A","COMPONENT GROUP":"1A,1B,1C","WEIGHT (LBS/CF)":50,"MATERIAL FACTOR":0.6},</v>
      </c>
    </row>
    <row r="389" spans="1:15" hidden="1" x14ac:dyDescent="0.25">
      <c r="A389" s="13" t="s">
        <v>792</v>
      </c>
      <c r="B389" s="14" t="s">
        <v>789</v>
      </c>
      <c r="C389" s="14" t="s">
        <v>99</v>
      </c>
      <c r="D389" s="14" t="s">
        <v>87</v>
      </c>
      <c r="E389" s="14">
        <v>70</v>
      </c>
      <c r="F389" s="14">
        <v>80</v>
      </c>
      <c r="G389" s="14">
        <f t="shared" ref="G389:G436" si="44">IFERROR((F389+E389)/2,0)</f>
        <v>75</v>
      </c>
      <c r="H389" s="14">
        <v>1.7</v>
      </c>
      <c r="I389" s="14" t="s">
        <v>73</v>
      </c>
      <c r="J389" t="str">
        <f t="shared" si="38"/>
        <v>"Saffron (see Safflower)":{"MATERIAL CLASS CODE":"",</v>
      </c>
      <c r="K389" t="str">
        <f t="shared" si="39"/>
        <v>"CONVEY LOADING":"",</v>
      </c>
      <c r="L389" t="str">
        <f t="shared" si="40"/>
        <v>"COMPONENT GROUP":"",</v>
      </c>
      <c r="M389" t="str">
        <f t="shared" si="41"/>
        <v>"WEIGHT (LBS/CF)":0,</v>
      </c>
      <c r="N389" t="str">
        <f t="shared" si="42"/>
        <v>"MATERIAL FACTOR":0.4}</v>
      </c>
      <c r="O389" t="str">
        <f t="shared" si="43"/>
        <v>"Saffron (see Safflower)":{"MATERIAL CLASS CODE":"","CONVEY LOADING":"","COMPONENT GROUP":"","WEIGHT (LBS/CF)":0,"MATERIAL FACTOR":0.4},</v>
      </c>
    </row>
    <row r="390" spans="1:15" hidden="1" x14ac:dyDescent="0.25">
      <c r="A390" s="15" t="s">
        <v>793</v>
      </c>
      <c r="B390" s="30"/>
      <c r="C390" s="30"/>
      <c r="D390" s="30"/>
      <c r="E390" s="30"/>
      <c r="F390" s="30"/>
      <c r="G390" s="30">
        <f t="shared" si="44"/>
        <v>0</v>
      </c>
      <c r="H390" s="30">
        <v>0.4</v>
      </c>
      <c r="I390" s="30"/>
      <c r="J390" t="str">
        <f t="shared" si="38"/>
        <v>"Sal Ammoniac (Ammonium Chloride)":{"MATERIAL CLASS CODE":"49A45FRS",</v>
      </c>
      <c r="K390" t="str">
        <f t="shared" si="39"/>
        <v>"CONVEY LOADING":"30A",</v>
      </c>
      <c r="L390" t="str">
        <f t="shared" si="40"/>
        <v>"COMPONENT GROUP":"1A,1B,1C",</v>
      </c>
      <c r="M390" t="str">
        <f t="shared" si="41"/>
        <v>"WEIGHT (LBS/CF)":48.5,</v>
      </c>
      <c r="N390" t="str">
        <f t="shared" si="42"/>
        <v>"MATERIAL FACTOR":0.7}</v>
      </c>
      <c r="O390" t="str">
        <f t="shared" si="43"/>
        <v>"Sal Ammoniac (Ammonium Chloride)":{"MATERIAL CLASS CODE":"49A45FRS","CONVEY LOADING":"30A","COMPONENT GROUP":"1A,1B,1C","WEIGHT (LBS/CF)":48.5,"MATERIAL FACTOR":0.7},</v>
      </c>
    </row>
    <row r="391" spans="1:15" hidden="1" x14ac:dyDescent="0.25">
      <c r="A391" s="13" t="s">
        <v>794</v>
      </c>
      <c r="B391" s="14" t="s">
        <v>795</v>
      </c>
      <c r="C391" s="14">
        <v>15</v>
      </c>
      <c r="D391" s="14" t="s">
        <v>87</v>
      </c>
      <c r="E391" s="14">
        <v>104</v>
      </c>
      <c r="F391" s="14">
        <v>104</v>
      </c>
      <c r="G391" s="14">
        <f t="shared" si="44"/>
        <v>104</v>
      </c>
      <c r="H391" s="14">
        <v>2</v>
      </c>
      <c r="I391" s="29"/>
      <c r="J391" t="str">
        <f t="shared" si="38"/>
        <v>"Salicylic Acid":{"MATERIAL CLASS CODE":"29B37U",</v>
      </c>
      <c r="K391" t="str">
        <f t="shared" si="39"/>
        <v>"CONVEY LOADING":"15",</v>
      </c>
      <c r="L391" t="str">
        <f t="shared" si="40"/>
        <v>"COMPONENT GROUP":"3D",</v>
      </c>
      <c r="M391" t="str">
        <f t="shared" si="41"/>
        <v>"WEIGHT (LBS/CF)":29,</v>
      </c>
      <c r="N391" t="str">
        <f t="shared" si="42"/>
        <v>"MATERIAL FACTOR":0.6}</v>
      </c>
      <c r="O391" t="str">
        <f t="shared" si="43"/>
        <v>"Salicylic Acid":{"MATERIAL CLASS CODE":"29B37U","CONVEY LOADING":"15","COMPONENT GROUP":"3D","WEIGHT (LBS/CF)":29,"MATERIAL FACTOR":0.6},</v>
      </c>
    </row>
    <row r="392" spans="1:15" hidden="1" x14ac:dyDescent="0.25">
      <c r="A392" s="15" t="s">
        <v>796</v>
      </c>
      <c r="B392" s="16" t="s">
        <v>797</v>
      </c>
      <c r="C392" s="16">
        <v>15</v>
      </c>
      <c r="D392" s="16" t="s">
        <v>87</v>
      </c>
      <c r="E392" s="16">
        <v>115</v>
      </c>
      <c r="F392" s="16">
        <v>115</v>
      </c>
      <c r="G392" s="16">
        <f t="shared" si="44"/>
        <v>115</v>
      </c>
      <c r="H392" s="16">
        <v>2.2999999999999998</v>
      </c>
      <c r="I392" s="30"/>
      <c r="J392" t="str">
        <f t="shared" si="38"/>
        <v>"Salt Cake, Dry Coarse (Sodium Sulfate)":{"MATERIAL CLASS CODE":"85B36TU",</v>
      </c>
      <c r="K392" t="str">
        <f t="shared" si="39"/>
        <v>"CONVEY LOADING":"30B",</v>
      </c>
      <c r="L392" t="str">
        <f t="shared" si="40"/>
        <v>"COMPONENT GROUP":"3D",</v>
      </c>
      <c r="M392" t="str">
        <f t="shared" si="41"/>
        <v>"WEIGHT (LBS/CF)":85,</v>
      </c>
      <c r="N392" t="str">
        <f t="shared" si="42"/>
        <v>"MATERIAL FACTOR":2.1}</v>
      </c>
      <c r="O392" t="str">
        <f t="shared" si="43"/>
        <v>"Salt Cake, Dry Coarse (Sodium Sulfate)":{"MATERIAL CLASS CODE":"85B36TU","CONVEY LOADING":"30B","COMPONENT GROUP":"3D","WEIGHT (LBS/CF)":85,"MATERIAL FACTOR":2.1},</v>
      </c>
    </row>
    <row r="393" spans="1:15" hidden="1" x14ac:dyDescent="0.25">
      <c r="A393" s="13" t="s">
        <v>798</v>
      </c>
      <c r="B393" s="14" t="s">
        <v>799</v>
      </c>
      <c r="C393" s="14">
        <v>15</v>
      </c>
      <c r="D393" s="14" t="s">
        <v>87</v>
      </c>
      <c r="E393" s="14">
        <v>110</v>
      </c>
      <c r="F393" s="14">
        <v>130</v>
      </c>
      <c r="G393" s="14">
        <f t="shared" si="44"/>
        <v>120</v>
      </c>
      <c r="H393" s="14">
        <v>2.8</v>
      </c>
      <c r="I393" s="29"/>
      <c r="J393" t="str">
        <f t="shared" si="38"/>
        <v>"Salt Cake, Dry Pulverized (Sodium Sulfate)":{"MATERIAL CLASS CODE":"75B36TU",</v>
      </c>
      <c r="K393" t="str">
        <f t="shared" si="39"/>
        <v>"CONVEY LOADING":"30B",</v>
      </c>
      <c r="L393" t="str">
        <f t="shared" si="40"/>
        <v>"COMPONENT GROUP":"3D",</v>
      </c>
      <c r="M393" t="str">
        <f t="shared" si="41"/>
        <v>"WEIGHT (LBS/CF)":75,</v>
      </c>
      <c r="N393" t="str">
        <f t="shared" si="42"/>
        <v>"MATERIAL FACTOR":1.7}</v>
      </c>
      <c r="O393" t="str">
        <f t="shared" si="43"/>
        <v>"Salt Cake, Dry Pulverized (Sodium Sulfate)":{"MATERIAL CLASS CODE":"75B36TU","CONVEY LOADING":"30B","COMPONENT GROUP":"3D","WEIGHT (LBS/CF)":75,"MATERIAL FACTOR":1.7},</v>
      </c>
    </row>
    <row r="394" spans="1:15" hidden="1" x14ac:dyDescent="0.25">
      <c r="A394" s="15" t="s">
        <v>800</v>
      </c>
      <c r="B394" s="16" t="s">
        <v>801</v>
      </c>
      <c r="C394" s="16">
        <v>15</v>
      </c>
      <c r="D394" s="16" t="s">
        <v>87</v>
      </c>
      <c r="E394" s="16">
        <v>90</v>
      </c>
      <c r="F394" s="16">
        <v>110</v>
      </c>
      <c r="G394" s="16">
        <f t="shared" si="44"/>
        <v>100</v>
      </c>
      <c r="H394" s="16">
        <v>1.7</v>
      </c>
      <c r="I394" s="30"/>
      <c r="J394" t="str">
        <f t="shared" si="38"/>
        <v>"Salt, Dry Coarse (Sodium Chloride)":{"MATERIAL CLASS CODE":"53C36TU",</v>
      </c>
      <c r="K394" t="str">
        <f t="shared" si="39"/>
        <v>"CONVEY LOADING":"30B",</v>
      </c>
      <c r="L394" t="str">
        <f t="shared" si="40"/>
        <v>"COMPONENT GROUP":"3D",</v>
      </c>
      <c r="M394" t="str">
        <f t="shared" si="41"/>
        <v>"WEIGHT (LBS/CF)":52.5,</v>
      </c>
      <c r="N394" t="str">
        <f t="shared" si="42"/>
        <v>"MATERIAL FACTOR":1}</v>
      </c>
      <c r="O394" t="str">
        <f t="shared" si="43"/>
        <v>"Salt, Dry Coarse (Sodium Chloride)":{"MATERIAL CLASS CODE":"53C36TU","CONVEY LOADING":"30B","COMPONENT GROUP":"3D","WEIGHT (LBS/CF)":52.5,"MATERIAL FACTOR":1},</v>
      </c>
    </row>
    <row r="395" spans="1:15" hidden="1" x14ac:dyDescent="0.25">
      <c r="A395" s="13" t="s">
        <v>802</v>
      </c>
      <c r="B395" s="14" t="s">
        <v>803</v>
      </c>
      <c r="C395" s="14">
        <v>15</v>
      </c>
      <c r="D395" s="14" t="s">
        <v>87</v>
      </c>
      <c r="E395" s="14">
        <v>90</v>
      </c>
      <c r="F395" s="14">
        <v>100</v>
      </c>
      <c r="G395" s="14">
        <f t="shared" si="44"/>
        <v>95</v>
      </c>
      <c r="H395" s="14">
        <v>2</v>
      </c>
      <c r="I395" s="29"/>
      <c r="J395" t="str">
        <f t="shared" si="38"/>
        <v>"Salt, Dry Fine (Sodium Chloride)":{"MATERIAL CLASS CODE":"75B36TU",</v>
      </c>
      <c r="K395" t="str">
        <f t="shared" si="39"/>
        <v>"CONVEY LOADING":"30B",</v>
      </c>
      <c r="L395" t="str">
        <f t="shared" si="40"/>
        <v>"COMPONENT GROUP":"3D",</v>
      </c>
      <c r="M395" t="str">
        <f t="shared" si="41"/>
        <v>"WEIGHT (LBS/CF)":75,</v>
      </c>
      <c r="N395" t="str">
        <f t="shared" si="42"/>
        <v>"MATERIAL FACTOR":1.7}</v>
      </c>
      <c r="O395" t="str">
        <f t="shared" si="43"/>
        <v>"Salt, Dry Fine (Sodium Chloride)":{"MATERIAL CLASS CODE":"75B36TU","CONVEY LOADING":"30B","COMPONENT GROUP":"3D","WEIGHT (LBS/CF)":75,"MATERIAL FACTOR":1.7},</v>
      </c>
    </row>
    <row r="396" spans="1:15" hidden="1" x14ac:dyDescent="0.25">
      <c r="A396" s="15" t="s">
        <v>804</v>
      </c>
      <c r="B396" s="16" t="s">
        <v>502</v>
      </c>
      <c r="C396" s="16">
        <v>15</v>
      </c>
      <c r="D396" s="16" t="s">
        <v>87</v>
      </c>
      <c r="E396" s="16">
        <v>90</v>
      </c>
      <c r="F396" s="16">
        <v>100</v>
      </c>
      <c r="G396" s="16">
        <f t="shared" si="44"/>
        <v>95</v>
      </c>
      <c r="H396" s="16">
        <v>2.6</v>
      </c>
      <c r="I396" s="30"/>
      <c r="J396" t="str">
        <f t="shared" ref="J396:J441" si="45">CHAR(34)&amp;A390&amp;CHAR(34)&amp;":{"&amp;CHAR(34)&amp;$B$4&amp;CHAR(34)&amp;":"&amp;CHAR(34)&amp;B390&amp;CHAR(34)&amp;","</f>
        <v>"Saltpeter (see Potassium Nitrate)":{"MATERIAL CLASS CODE":"",</v>
      </c>
      <c r="K396" t="str">
        <f t="shared" ref="K396:K441" si="46">CHAR(34)&amp;$C$4&amp;CHAR(34)&amp;":"&amp;CHAR(34)&amp;C390&amp;CHAR(34)&amp;","</f>
        <v>"CONVEY LOADING":"",</v>
      </c>
      <c r="L396" t="str">
        <f t="shared" ref="L396:L441" si="47">CHAR(34)&amp;$D$4&amp;CHAR(34)&amp;":"&amp;CHAR(34)&amp;D390&amp;CHAR(34)&amp;","</f>
        <v>"COMPONENT GROUP":"",</v>
      </c>
      <c r="M396" t="str">
        <f t="shared" ref="M396:M441" si="48">CHAR(34)&amp;$E$1&amp;CHAR(34)&amp;":"&amp;G390&amp;","</f>
        <v>"WEIGHT (LBS/CF)":0,</v>
      </c>
      <c r="N396" t="str">
        <f t="shared" ref="N396:N441" si="49">CHAR(34)&amp;$H$4&amp;CHAR(34)&amp;":"&amp;H390&amp;"}"</f>
        <v>"MATERIAL FACTOR":0.4}</v>
      </c>
      <c r="O396" t="str">
        <f t="shared" ref="O396:O441" si="50">J396&amp;K396&amp;L396&amp;M396&amp;N396&amp;","</f>
        <v>"Saltpeter (see Potassium Nitrate)":{"MATERIAL CLASS CODE":"","CONVEY LOADING":"","COMPONENT GROUP":"","WEIGHT (LBS/CF)":0,"MATERIAL FACTOR":0.4},</v>
      </c>
    </row>
    <row r="397" spans="1:15" hidden="1" x14ac:dyDescent="0.25">
      <c r="A397" s="13" t="s">
        <v>805</v>
      </c>
      <c r="B397" s="14" t="s">
        <v>806</v>
      </c>
      <c r="C397" s="14" t="s">
        <v>71</v>
      </c>
      <c r="D397" s="14" t="s">
        <v>81</v>
      </c>
      <c r="E397" s="14">
        <v>10</v>
      </c>
      <c r="F397" s="14">
        <v>13</v>
      </c>
      <c r="G397" s="14">
        <f t="shared" si="44"/>
        <v>11.5</v>
      </c>
      <c r="H397" s="14">
        <v>0.7</v>
      </c>
      <c r="I397" s="29"/>
      <c r="J397" t="str">
        <f t="shared" si="45"/>
        <v>"Sand (Resin Coated) Silica":{"MATERIAL CLASS CODE":"104B27",</v>
      </c>
      <c r="K397" t="str">
        <f t="shared" si="46"/>
        <v>"CONVEY LOADING":"15",</v>
      </c>
      <c r="L397" t="str">
        <f t="shared" si="47"/>
        <v>"COMPONENT GROUP":"3D",</v>
      </c>
      <c r="M397" t="str">
        <f t="shared" si="48"/>
        <v>"WEIGHT (LBS/CF)":104,</v>
      </c>
      <c r="N397" t="str">
        <f t="shared" si="49"/>
        <v>"MATERIAL FACTOR":2}</v>
      </c>
      <c r="O397" t="str">
        <f t="shared" si="50"/>
        <v>"Sand (Resin Coated) Silica":{"MATERIAL CLASS CODE":"104B27","CONVEY LOADING":"15","COMPONENT GROUP":"3D","WEIGHT (LBS/CF)":104,"MATERIAL FACTOR":2},</v>
      </c>
    </row>
    <row r="398" spans="1:15" hidden="1" x14ac:dyDescent="0.25">
      <c r="A398" s="15" t="s">
        <v>807</v>
      </c>
      <c r="B398" s="16" t="s">
        <v>808</v>
      </c>
      <c r="C398" s="16" t="s">
        <v>99</v>
      </c>
      <c r="D398" s="16" t="s">
        <v>76</v>
      </c>
      <c r="E398" s="16">
        <v>65</v>
      </c>
      <c r="F398" s="16">
        <v>65</v>
      </c>
      <c r="G398" s="16">
        <f t="shared" si="44"/>
        <v>65</v>
      </c>
      <c r="H398" s="16">
        <v>1</v>
      </c>
      <c r="I398" s="30"/>
      <c r="J398" t="str">
        <f t="shared" si="45"/>
        <v>"Sand (Resin Coated) Zircon":{"MATERIAL CLASS CODE":"115A27",</v>
      </c>
      <c r="K398" t="str">
        <f t="shared" si="46"/>
        <v>"CONVEY LOADING":"15",</v>
      </c>
      <c r="L398" t="str">
        <f t="shared" si="47"/>
        <v>"COMPONENT GROUP":"3D",</v>
      </c>
      <c r="M398" t="str">
        <f t="shared" si="48"/>
        <v>"WEIGHT (LBS/CF)":115,</v>
      </c>
      <c r="N398" t="str">
        <f t="shared" si="49"/>
        <v>"MATERIAL FACTOR":2.3}</v>
      </c>
      <c r="O398" t="str">
        <f t="shared" si="50"/>
        <v>"Sand (Resin Coated) Zircon":{"MATERIAL CLASS CODE":"115A27","CONVEY LOADING":"15","COMPONENT GROUP":"3D","WEIGHT (LBS/CF)":115,"MATERIAL FACTOR":2.3},</v>
      </c>
    </row>
    <row r="399" spans="1:15" hidden="1" x14ac:dyDescent="0.25">
      <c r="A399" s="13" t="s">
        <v>809</v>
      </c>
      <c r="B399" s="14" t="s">
        <v>810</v>
      </c>
      <c r="C399" s="14" t="s">
        <v>99</v>
      </c>
      <c r="D399" s="14" t="s">
        <v>76</v>
      </c>
      <c r="E399" s="14">
        <v>27</v>
      </c>
      <c r="F399" s="14">
        <v>41</v>
      </c>
      <c r="G399" s="14">
        <f t="shared" si="44"/>
        <v>34</v>
      </c>
      <c r="H399" s="14">
        <v>0.6</v>
      </c>
      <c r="I399" s="14" t="s">
        <v>73</v>
      </c>
      <c r="J399" t="str">
        <f t="shared" si="45"/>
        <v>"Sand Dry Bank (Damp)":{"MATERIAL CLASS CODE":"120B47",</v>
      </c>
      <c r="K399" t="str">
        <f t="shared" si="46"/>
        <v>"CONVEY LOADING":"15",</v>
      </c>
      <c r="L399" t="str">
        <f t="shared" si="47"/>
        <v>"COMPONENT GROUP":"3D",</v>
      </c>
      <c r="M399" t="str">
        <f t="shared" si="48"/>
        <v>"WEIGHT (LBS/CF)":120,</v>
      </c>
      <c r="N399" t="str">
        <f t="shared" si="49"/>
        <v>"MATERIAL FACTOR":2.8}</v>
      </c>
      <c r="O399" t="str">
        <f t="shared" si="50"/>
        <v>"Sand Dry Bank (Damp)":{"MATERIAL CLASS CODE":"120B47","CONVEY LOADING":"15","COMPONENT GROUP":"3D","WEIGHT (LBS/CF)":120,"MATERIAL FACTOR":2.8},</v>
      </c>
    </row>
    <row r="400" spans="1:15" hidden="1" x14ac:dyDescent="0.25">
      <c r="A400" s="15" t="s">
        <v>811</v>
      </c>
      <c r="B400" s="16" t="s">
        <v>812</v>
      </c>
      <c r="C400" s="16" t="s">
        <v>99</v>
      </c>
      <c r="D400" s="16" t="s">
        <v>76</v>
      </c>
      <c r="E400" s="16">
        <v>85</v>
      </c>
      <c r="F400" s="16">
        <v>90</v>
      </c>
      <c r="G400" s="16">
        <f t="shared" si="44"/>
        <v>87.5</v>
      </c>
      <c r="H400" s="16">
        <v>2</v>
      </c>
      <c r="I400" s="30"/>
      <c r="J400" t="str">
        <f t="shared" si="45"/>
        <v>"Sand Dry Bank (Dry)":{"MATERIAL CLASS CODE":"100B37",</v>
      </c>
      <c r="K400" t="str">
        <f t="shared" si="46"/>
        <v>"CONVEY LOADING":"15",</v>
      </c>
      <c r="L400" t="str">
        <f t="shared" si="47"/>
        <v>"COMPONENT GROUP":"3D",</v>
      </c>
      <c r="M400" t="str">
        <f t="shared" si="48"/>
        <v>"WEIGHT (LBS/CF)":100,</v>
      </c>
      <c r="N400" t="str">
        <f t="shared" si="49"/>
        <v>"MATERIAL FACTOR":1.7}</v>
      </c>
      <c r="O400" t="str">
        <f t="shared" si="50"/>
        <v>"Sand Dry Bank (Dry)":{"MATERIAL CLASS CODE":"100B37","CONVEY LOADING":"15","COMPONENT GROUP":"3D","WEIGHT (LBS/CF)":100,"MATERIAL FACTOR":1.7},</v>
      </c>
    </row>
    <row r="401" spans="1:15" hidden="1" x14ac:dyDescent="0.25">
      <c r="A401" s="13" t="s">
        <v>813</v>
      </c>
      <c r="B401" s="14" t="s">
        <v>814</v>
      </c>
      <c r="C401" s="14" t="s">
        <v>71</v>
      </c>
      <c r="D401" s="14" t="s">
        <v>160</v>
      </c>
      <c r="E401" s="14">
        <v>31</v>
      </c>
      <c r="F401" s="14">
        <v>31</v>
      </c>
      <c r="G401" s="14">
        <f t="shared" si="44"/>
        <v>31</v>
      </c>
      <c r="H401" s="14">
        <v>0.6</v>
      </c>
      <c r="I401" s="14" t="s">
        <v>73</v>
      </c>
      <c r="J401" t="str">
        <f t="shared" si="45"/>
        <v>"Sand Dry Silica":{"MATERIAL CLASS CODE":"95B27",</v>
      </c>
      <c r="K401" t="str">
        <f t="shared" si="46"/>
        <v>"CONVEY LOADING":"15",</v>
      </c>
      <c r="L401" t="str">
        <f t="shared" si="47"/>
        <v>"COMPONENT GROUP":"3D",</v>
      </c>
      <c r="M401" t="str">
        <f t="shared" si="48"/>
        <v>"WEIGHT (LBS/CF)":95,</v>
      </c>
      <c r="N401" t="str">
        <f t="shared" si="49"/>
        <v>"MATERIAL FACTOR":2}</v>
      </c>
      <c r="O401" t="str">
        <f t="shared" si="50"/>
        <v>"Sand Dry Silica":{"MATERIAL CLASS CODE":"95B27","CONVEY LOADING":"15","COMPONENT GROUP":"3D","WEIGHT (LBS/CF)":95,"MATERIAL FACTOR":2},</v>
      </c>
    </row>
    <row r="402" spans="1:15" hidden="1" x14ac:dyDescent="0.25">
      <c r="A402" s="15" t="s">
        <v>815</v>
      </c>
      <c r="B402" s="16" t="s">
        <v>816</v>
      </c>
      <c r="C402" s="16">
        <v>15</v>
      </c>
      <c r="D402" s="16" t="s">
        <v>87</v>
      </c>
      <c r="E402" s="16">
        <v>45</v>
      </c>
      <c r="F402" s="16">
        <v>45</v>
      </c>
      <c r="G402" s="16">
        <f t="shared" si="44"/>
        <v>45</v>
      </c>
      <c r="H402" s="16">
        <v>2</v>
      </c>
      <c r="I402" s="30"/>
      <c r="J402" t="str">
        <f t="shared" si="45"/>
        <v>"Sand Foundry (Shake Out)":{"MATERIAL CLASS CODE":"95D37Z",</v>
      </c>
      <c r="K402" t="str">
        <f t="shared" si="46"/>
        <v>"CONVEY LOADING":"15",</v>
      </c>
      <c r="L402" t="str">
        <f t="shared" si="47"/>
        <v>"COMPONENT GROUP":"3D",</v>
      </c>
      <c r="M402" t="str">
        <f t="shared" si="48"/>
        <v>"WEIGHT (LBS/CF)":95,</v>
      </c>
      <c r="N402" t="str">
        <f t="shared" si="49"/>
        <v>"MATERIAL FACTOR":2.6}</v>
      </c>
      <c r="O402" t="str">
        <f t="shared" si="50"/>
        <v>"Sand Foundry (Shake Out)":{"MATERIAL CLASS CODE":"95D37Z","CONVEY LOADING":"15","COMPONENT GROUP":"3D","WEIGHT (LBS/CF)":95,"MATERIAL FACTOR":2.6},</v>
      </c>
    </row>
    <row r="403" spans="1:15" hidden="1" x14ac:dyDescent="0.25">
      <c r="A403" s="13" t="s">
        <v>817</v>
      </c>
      <c r="B403" s="14" t="s">
        <v>818</v>
      </c>
      <c r="C403" s="14" t="s">
        <v>99</v>
      </c>
      <c r="D403" s="14" t="s">
        <v>76</v>
      </c>
      <c r="E403" s="14">
        <v>80</v>
      </c>
      <c r="F403" s="14">
        <v>80</v>
      </c>
      <c r="G403" s="14">
        <f t="shared" si="44"/>
        <v>80</v>
      </c>
      <c r="H403" s="14">
        <v>1.5</v>
      </c>
      <c r="I403" s="29"/>
      <c r="J403" t="str">
        <f t="shared" si="45"/>
        <v>"Sawdust, Dry":{"MATERIAL CLASS CODE":"12B45UX",</v>
      </c>
      <c r="K403" t="str">
        <f t="shared" si="46"/>
        <v>"CONVEY LOADING":"30A",</v>
      </c>
      <c r="L403" t="str">
        <f t="shared" si="47"/>
        <v>"COMPONENT GROUP":"1A,1B,1C",</v>
      </c>
      <c r="M403" t="str">
        <f t="shared" si="48"/>
        <v>"WEIGHT (LBS/CF)":11.5,</v>
      </c>
      <c r="N403" t="str">
        <f t="shared" si="49"/>
        <v>"MATERIAL FACTOR":0.7}</v>
      </c>
      <c r="O403" t="str">
        <f t="shared" si="50"/>
        <v>"Sawdust, Dry":{"MATERIAL CLASS CODE":"12B45UX","CONVEY LOADING":"30A","COMPONENT GROUP":"1A,1B,1C","WEIGHT (LBS/CF)":11.5,"MATERIAL FACTOR":0.7},</v>
      </c>
    </row>
    <row r="404" spans="1:15" hidden="1" x14ac:dyDescent="0.25">
      <c r="A404" s="15" t="s">
        <v>819</v>
      </c>
      <c r="B404" s="30"/>
      <c r="C404" s="30"/>
      <c r="D404" s="30"/>
      <c r="E404" s="30"/>
      <c r="F404" s="30"/>
      <c r="G404" s="30">
        <f t="shared" si="44"/>
        <v>0</v>
      </c>
      <c r="H404" s="30">
        <v>0.4</v>
      </c>
      <c r="I404" s="30"/>
      <c r="J404" t="str">
        <f t="shared" si="45"/>
        <v>"Sea-Coal":{"MATERIAL CLASS CODE":"65B36",</v>
      </c>
      <c r="K404" t="str">
        <f t="shared" si="46"/>
        <v>"CONVEY LOADING":"30B",</v>
      </c>
      <c r="L404" t="str">
        <f t="shared" si="47"/>
        <v>"COMPONENT GROUP":"2D",</v>
      </c>
      <c r="M404" t="str">
        <f t="shared" si="48"/>
        <v>"WEIGHT (LBS/CF)":65,</v>
      </c>
      <c r="N404" t="str">
        <f t="shared" si="49"/>
        <v>"MATERIAL FACTOR":1}</v>
      </c>
      <c r="O404" t="str">
        <f t="shared" si="50"/>
        <v>"Sea-Coal":{"MATERIAL CLASS CODE":"65B36","CONVEY LOADING":"30B","COMPONENT GROUP":"2D","WEIGHT (LBS/CF)":65,"MATERIAL FACTOR":1},</v>
      </c>
    </row>
    <row r="405" spans="1:15" hidden="1" x14ac:dyDescent="0.25">
      <c r="A405" s="13" t="s">
        <v>820</v>
      </c>
      <c r="B405" s="14" t="s">
        <v>821</v>
      </c>
      <c r="C405" s="14">
        <v>15</v>
      </c>
      <c r="D405" s="14" t="s">
        <v>87</v>
      </c>
      <c r="E405" s="14">
        <v>130</v>
      </c>
      <c r="F405" s="14">
        <v>180</v>
      </c>
      <c r="G405" s="14">
        <f t="shared" si="44"/>
        <v>155</v>
      </c>
      <c r="H405" s="14">
        <v>2.4</v>
      </c>
      <c r="I405" s="29"/>
      <c r="J405" t="str">
        <f t="shared" si="45"/>
        <v>"Sesame Seed":{"MATERIAL CLASS CODE":"34B26",</v>
      </c>
      <c r="K405" t="str">
        <f t="shared" si="46"/>
        <v>"CONVEY LOADING":"30B",</v>
      </c>
      <c r="L405" t="str">
        <f t="shared" si="47"/>
        <v>"COMPONENT GROUP":"2D",</v>
      </c>
      <c r="M405" t="str">
        <f t="shared" si="48"/>
        <v>"WEIGHT (LBS/CF)":34,</v>
      </c>
      <c r="N405" t="str">
        <f t="shared" si="49"/>
        <v>"MATERIAL FACTOR":0.6}</v>
      </c>
      <c r="O405" t="str">
        <f t="shared" si="50"/>
        <v>"Sesame Seed":{"MATERIAL CLASS CODE":"34B26","CONVEY LOADING":"30B","COMPONENT GROUP":"2D","WEIGHT (LBS/CF)":34,"MATERIAL FACTOR":0.6},</v>
      </c>
    </row>
    <row r="406" spans="1:15" hidden="1" x14ac:dyDescent="0.25">
      <c r="A406" s="15" t="s">
        <v>822</v>
      </c>
      <c r="B406" s="16" t="s">
        <v>823</v>
      </c>
      <c r="C406" s="16">
        <v>15</v>
      </c>
      <c r="D406" s="16" t="s">
        <v>87</v>
      </c>
      <c r="E406" s="16">
        <v>60</v>
      </c>
      <c r="F406" s="16">
        <v>65</v>
      </c>
      <c r="G406" s="16">
        <f t="shared" si="44"/>
        <v>62.5</v>
      </c>
      <c r="H406" s="16">
        <v>2.2000000000000002</v>
      </c>
      <c r="I406" s="16" t="s">
        <v>116</v>
      </c>
      <c r="J406" t="str">
        <f t="shared" si="45"/>
        <v>"Shale, Crushed":{"MATERIAL CLASS CODE":"88C36",</v>
      </c>
      <c r="K406" t="str">
        <f t="shared" si="46"/>
        <v>"CONVEY LOADING":"30B",</v>
      </c>
      <c r="L406" t="str">
        <f t="shared" si="47"/>
        <v>"COMPONENT GROUP":"2D",</v>
      </c>
      <c r="M406" t="str">
        <f t="shared" si="48"/>
        <v>"WEIGHT (LBS/CF)":87.5,</v>
      </c>
      <c r="N406" t="str">
        <f t="shared" si="49"/>
        <v>"MATERIAL FACTOR":2}</v>
      </c>
      <c r="O406" t="str">
        <f t="shared" si="50"/>
        <v>"Shale, Crushed":{"MATERIAL CLASS CODE":"88C36","CONVEY LOADING":"30B","COMPONENT GROUP":"2D","WEIGHT (LBS/CF)":87.5,"MATERIAL FACTOR":2},</v>
      </c>
    </row>
    <row r="407" spans="1:15" hidden="1" x14ac:dyDescent="0.25">
      <c r="A407" s="13" t="s">
        <v>824</v>
      </c>
      <c r="B407" s="14" t="s">
        <v>825</v>
      </c>
      <c r="C407" s="14" t="s">
        <v>99</v>
      </c>
      <c r="D407" s="14" t="s">
        <v>76</v>
      </c>
      <c r="E407" s="14">
        <v>80</v>
      </c>
      <c r="F407" s="14">
        <v>90</v>
      </c>
      <c r="G407" s="14">
        <f t="shared" si="44"/>
        <v>85</v>
      </c>
      <c r="H407" s="14">
        <v>2</v>
      </c>
      <c r="I407" s="29"/>
      <c r="J407" t="str">
        <f t="shared" si="45"/>
        <v>"Shellac, Powdered or Granulated":{"MATERIAL CLASS CODE":"31B35P",</v>
      </c>
      <c r="K407" t="str">
        <f t="shared" si="46"/>
        <v>"CONVEY LOADING":"30A",</v>
      </c>
      <c r="L407" t="str">
        <f t="shared" si="47"/>
        <v>"COMPONENT GROUP":"1B",</v>
      </c>
      <c r="M407" t="str">
        <f t="shared" si="48"/>
        <v>"WEIGHT (LBS/CF)":31,</v>
      </c>
      <c r="N407" t="str">
        <f t="shared" si="49"/>
        <v>"MATERIAL FACTOR":0.6}</v>
      </c>
      <c r="O407" t="str">
        <f t="shared" si="50"/>
        <v>"Shellac, Powdered or Granulated":{"MATERIAL CLASS CODE":"31B35P","CONVEY LOADING":"30A","COMPONENT GROUP":"1B","WEIGHT (LBS/CF)":31,"MATERIAL FACTOR":0.6},</v>
      </c>
    </row>
    <row r="408" spans="1:15" hidden="1" x14ac:dyDescent="0.25">
      <c r="A408" s="15" t="s">
        <v>826</v>
      </c>
      <c r="B408" s="16" t="s">
        <v>827</v>
      </c>
      <c r="C408" s="16" t="s">
        <v>99</v>
      </c>
      <c r="D408" s="16" t="s">
        <v>76</v>
      </c>
      <c r="E408" s="16">
        <v>82</v>
      </c>
      <c r="F408" s="16">
        <v>85</v>
      </c>
      <c r="G408" s="16">
        <f t="shared" si="44"/>
        <v>83.5</v>
      </c>
      <c r="H408" s="16">
        <v>1.6</v>
      </c>
      <c r="I408" s="30"/>
      <c r="J408" t="str">
        <f t="shared" si="45"/>
        <v>"Silica Gel, 1⁄2” to 3”":{"MATERIAL CLASS CODE":"45D37HKQU",</v>
      </c>
      <c r="K408" t="str">
        <f t="shared" si="46"/>
        <v>"CONVEY LOADING":"15",</v>
      </c>
      <c r="L408" t="str">
        <f t="shared" si="47"/>
        <v>"COMPONENT GROUP":"3D",</v>
      </c>
      <c r="M408" t="str">
        <f t="shared" si="48"/>
        <v>"WEIGHT (LBS/CF)":45,</v>
      </c>
      <c r="N408" t="str">
        <f t="shared" si="49"/>
        <v>"MATERIAL FACTOR":2}</v>
      </c>
      <c r="O408" t="str">
        <f t="shared" si="50"/>
        <v>"Silica Gel, 1⁄2” to 3”":{"MATERIAL CLASS CODE":"45D37HKQU","CONVEY LOADING":"15","COMPONENT GROUP":"3D","WEIGHT (LBS/CF)":45,"MATERIAL FACTOR":2},</v>
      </c>
    </row>
    <row r="409" spans="1:15" hidden="1" x14ac:dyDescent="0.25">
      <c r="A409" s="13" t="s">
        <v>828</v>
      </c>
      <c r="B409" s="14" t="s">
        <v>829</v>
      </c>
      <c r="C409" s="14">
        <v>15</v>
      </c>
      <c r="D409" s="14" t="s">
        <v>87</v>
      </c>
      <c r="E409" s="14">
        <v>40</v>
      </c>
      <c r="F409" s="14">
        <v>50</v>
      </c>
      <c r="G409" s="14">
        <f t="shared" si="44"/>
        <v>45</v>
      </c>
      <c r="H409" s="14">
        <v>0.8</v>
      </c>
      <c r="I409" s="14" t="s">
        <v>116</v>
      </c>
      <c r="J409" t="str">
        <f t="shared" si="45"/>
        <v>"Silica, Flour":{"MATERIAL CLASS CODE":"80A46",</v>
      </c>
      <c r="K409" t="str">
        <f t="shared" si="46"/>
        <v>"CONVEY LOADING":"30B",</v>
      </c>
      <c r="L409" t="str">
        <f t="shared" si="47"/>
        <v>"COMPONENT GROUP":"2D",</v>
      </c>
      <c r="M409" t="str">
        <f t="shared" si="48"/>
        <v>"WEIGHT (LBS/CF)":80,</v>
      </c>
      <c r="N409" t="str">
        <f t="shared" si="49"/>
        <v>"MATERIAL FACTOR":1.5}</v>
      </c>
      <c r="O409" t="str">
        <f t="shared" si="50"/>
        <v>"Silica, Flour":{"MATERIAL CLASS CODE":"80A46","CONVEY LOADING":"30B","COMPONENT GROUP":"2D","WEIGHT (LBS/CF)":80,"MATERIAL FACTOR":1.5},</v>
      </c>
    </row>
    <row r="410" spans="1:15" hidden="1" x14ac:dyDescent="0.25">
      <c r="A410" s="15" t="s">
        <v>830</v>
      </c>
      <c r="B410" s="16" t="s">
        <v>831</v>
      </c>
      <c r="C410" s="16" t="s">
        <v>99</v>
      </c>
      <c r="D410" s="16" t="s">
        <v>76</v>
      </c>
      <c r="E410" s="16">
        <v>45</v>
      </c>
      <c r="F410" s="16">
        <v>55</v>
      </c>
      <c r="G410" s="16">
        <f t="shared" si="44"/>
        <v>50</v>
      </c>
      <c r="H410" s="16">
        <v>0.8</v>
      </c>
      <c r="I410" s="30"/>
      <c r="J410" t="str">
        <f t="shared" si="45"/>
        <v>"Silicon Dioxide (see Quartz)":{"MATERIAL CLASS CODE":"",</v>
      </c>
      <c r="K410" t="str">
        <f t="shared" si="46"/>
        <v>"CONVEY LOADING":"",</v>
      </c>
      <c r="L410" t="str">
        <f t="shared" si="47"/>
        <v>"COMPONENT GROUP":"",</v>
      </c>
      <c r="M410" t="str">
        <f t="shared" si="48"/>
        <v>"WEIGHT (LBS/CF)":0,</v>
      </c>
      <c r="N410" t="str">
        <f t="shared" si="49"/>
        <v>"MATERIAL FACTOR":0.4}</v>
      </c>
      <c r="O410" t="str">
        <f t="shared" si="50"/>
        <v>"Silicon Dioxide (see Quartz)":{"MATERIAL CLASS CODE":"","CONVEY LOADING":"","COMPONENT GROUP":"","WEIGHT (LBS/CF)":0,"MATERIAL FACTOR":0.4},</v>
      </c>
    </row>
    <row r="411" spans="1:15" hidden="1" x14ac:dyDescent="0.25">
      <c r="A411" s="13" t="s">
        <v>832</v>
      </c>
      <c r="B411" s="14" t="s">
        <v>833</v>
      </c>
      <c r="C411" s="14" t="s">
        <v>71</v>
      </c>
      <c r="D411" s="14" t="s">
        <v>81</v>
      </c>
      <c r="E411" s="14">
        <v>15</v>
      </c>
      <c r="F411" s="14">
        <v>50</v>
      </c>
      <c r="G411" s="14">
        <f t="shared" si="44"/>
        <v>32.5</v>
      </c>
      <c r="H411" s="14">
        <v>0.8</v>
      </c>
      <c r="I411" s="29"/>
      <c r="J411" t="str">
        <f t="shared" si="45"/>
        <v>"Slag, Blast Furnace Crushed":{"MATERIAL CLASS CODE":"155D37Y",</v>
      </c>
      <c r="K411" t="str">
        <f t="shared" si="46"/>
        <v>"CONVEY LOADING":"15",</v>
      </c>
      <c r="L411" t="str">
        <f t="shared" si="47"/>
        <v>"COMPONENT GROUP":"3D",</v>
      </c>
      <c r="M411" t="str">
        <f t="shared" si="48"/>
        <v>"WEIGHT (LBS/CF)":155,</v>
      </c>
      <c r="N411" t="str">
        <f t="shared" si="49"/>
        <v>"MATERIAL FACTOR":2.4}</v>
      </c>
      <c r="O411" t="str">
        <f t="shared" si="50"/>
        <v>"Slag, Blast Furnace Crushed":{"MATERIAL CLASS CODE":"155D37Y","CONVEY LOADING":"15","COMPONENT GROUP":"3D","WEIGHT (LBS/CF)":155,"MATERIAL FACTOR":2.4},</v>
      </c>
    </row>
    <row r="412" spans="1:15" hidden="1" x14ac:dyDescent="0.25">
      <c r="A412" s="15" t="s">
        <v>834</v>
      </c>
      <c r="B412" s="16" t="s">
        <v>835</v>
      </c>
      <c r="C412" s="16" t="s">
        <v>71</v>
      </c>
      <c r="D412" s="16" t="s">
        <v>81</v>
      </c>
      <c r="E412" s="16">
        <v>15</v>
      </c>
      <c r="F412" s="16">
        <v>35</v>
      </c>
      <c r="G412" s="16">
        <f t="shared" si="44"/>
        <v>25</v>
      </c>
      <c r="H412" s="16">
        <v>0.6</v>
      </c>
      <c r="I412" s="30"/>
      <c r="J412" t="str">
        <f t="shared" si="45"/>
        <v>"Slag, Furnace Granular, Dry":{"MATERIAL CLASS CODE":"63C37",</v>
      </c>
      <c r="K412" t="str">
        <f t="shared" si="46"/>
        <v>"CONVEY LOADING":"15",</v>
      </c>
      <c r="L412" t="str">
        <f t="shared" si="47"/>
        <v>"COMPONENT GROUP":"3D",</v>
      </c>
      <c r="M412" t="str">
        <f t="shared" si="48"/>
        <v>"WEIGHT (LBS/CF)":62.5,</v>
      </c>
      <c r="N412" t="str">
        <f t="shared" si="49"/>
        <v>"MATERIAL FACTOR":2.2}</v>
      </c>
      <c r="O412" t="str">
        <f t="shared" si="50"/>
        <v>"Slag, Furnace Granular, Dry":{"MATERIAL CLASS CODE":"63C37","CONVEY LOADING":"15","COMPONENT GROUP":"3D","WEIGHT (LBS/CF)":62.5,"MATERIAL FACTOR":2.2},</v>
      </c>
    </row>
    <row r="413" spans="1:15" hidden="1" x14ac:dyDescent="0.25">
      <c r="A413" s="13" t="s">
        <v>836</v>
      </c>
      <c r="B413" s="14" t="s">
        <v>837</v>
      </c>
      <c r="C413" s="14" t="s">
        <v>71</v>
      </c>
      <c r="D413" s="14" t="s">
        <v>81</v>
      </c>
      <c r="E413" s="14">
        <v>15</v>
      </c>
      <c r="F413" s="14">
        <v>25</v>
      </c>
      <c r="G413" s="14">
        <f t="shared" si="44"/>
        <v>20</v>
      </c>
      <c r="H413" s="14">
        <v>0.6</v>
      </c>
      <c r="I413" s="29"/>
      <c r="J413" t="str">
        <f t="shared" si="45"/>
        <v>"Slate, Crushed, 1⁄2”":{"MATERIAL CLASS CODE":"85C36",</v>
      </c>
      <c r="K413" t="str">
        <f t="shared" si="46"/>
        <v>"CONVEY LOADING":"30B",</v>
      </c>
      <c r="L413" t="str">
        <f t="shared" si="47"/>
        <v>"COMPONENT GROUP":"2D",</v>
      </c>
      <c r="M413" t="str">
        <f t="shared" si="48"/>
        <v>"WEIGHT (LBS/CF)":85,</v>
      </c>
      <c r="N413" t="str">
        <f t="shared" si="49"/>
        <v>"MATERIAL FACTOR":2}</v>
      </c>
      <c r="O413" t="str">
        <f t="shared" si="50"/>
        <v>"Slate, Crushed, 1⁄2”":{"MATERIAL CLASS CODE":"85C36","CONVEY LOADING":"30B","COMPONENT GROUP":"2D","WEIGHT (LBS/CF)":85,"MATERIAL FACTOR":2},</v>
      </c>
    </row>
    <row r="414" spans="1:15" hidden="1" x14ac:dyDescent="0.25">
      <c r="A414" s="15" t="s">
        <v>838</v>
      </c>
      <c r="B414" s="16" t="s">
        <v>839</v>
      </c>
      <c r="C414" s="16" t="s">
        <v>71</v>
      </c>
      <c r="D414" s="16" t="s">
        <v>81</v>
      </c>
      <c r="E414" s="16">
        <v>5</v>
      </c>
      <c r="F414" s="16">
        <v>15</v>
      </c>
      <c r="G414" s="16">
        <f t="shared" si="44"/>
        <v>10</v>
      </c>
      <c r="H414" s="16">
        <v>0.6</v>
      </c>
      <c r="I414" s="30"/>
      <c r="J414" t="str">
        <f t="shared" si="45"/>
        <v>"Slate, Ground, 1⁄8”":{"MATERIAL CLASS CODE":"84B36",</v>
      </c>
      <c r="K414" t="str">
        <f t="shared" si="46"/>
        <v>"CONVEY LOADING":"30B",</v>
      </c>
      <c r="L414" t="str">
        <f t="shared" si="47"/>
        <v>"COMPONENT GROUP":"2D",</v>
      </c>
      <c r="M414" t="str">
        <f t="shared" si="48"/>
        <v>"WEIGHT (LBS/CF)":83.5,</v>
      </c>
      <c r="N414" t="str">
        <f t="shared" si="49"/>
        <v>"MATERIAL FACTOR":1.6}</v>
      </c>
      <c r="O414" t="str">
        <f t="shared" si="50"/>
        <v>"Slate, Ground, 1⁄8”":{"MATERIAL CLASS CODE":"84B36","CONVEY LOADING":"30B","COMPONENT GROUP":"2D","WEIGHT (LBS/CF)":83.5,"MATERIAL FACTOR":1.6},</v>
      </c>
    </row>
    <row r="415" spans="1:15" hidden="1" x14ac:dyDescent="0.25">
      <c r="A415" s="13" t="s">
        <v>840</v>
      </c>
      <c r="B415" s="14" t="s">
        <v>841</v>
      </c>
      <c r="C415" s="14">
        <v>45</v>
      </c>
      <c r="D415" s="14" t="s">
        <v>81</v>
      </c>
      <c r="E415" s="14">
        <v>20</v>
      </c>
      <c r="F415" s="14">
        <v>25</v>
      </c>
      <c r="G415" s="14">
        <f t="shared" si="44"/>
        <v>22.5</v>
      </c>
      <c r="H415" s="14">
        <v>0.9</v>
      </c>
      <c r="I415" s="29"/>
      <c r="J415" t="str">
        <f t="shared" si="45"/>
        <v>"Sludge, Sewage, Dried":{"MATERIAL CLASS CODE":"45E47TW",</v>
      </c>
      <c r="K415" t="str">
        <f t="shared" si="46"/>
        <v>"CONVEY LOADING":"15",</v>
      </c>
      <c r="L415" t="str">
        <f t="shared" si="47"/>
        <v>"COMPONENT GROUP":"3D",</v>
      </c>
      <c r="M415" t="str">
        <f t="shared" si="48"/>
        <v>"WEIGHT (LBS/CF)":45,</v>
      </c>
      <c r="N415" t="str">
        <f t="shared" si="49"/>
        <v>"MATERIAL FACTOR":0.8}</v>
      </c>
      <c r="O415" t="str">
        <f t="shared" si="50"/>
        <v>"Sludge, Sewage, Dried":{"MATERIAL CLASS CODE":"45E47TW","CONVEY LOADING":"15","COMPONENT GROUP":"3D","WEIGHT (LBS/CF)":45,"MATERIAL FACTOR":0.8},</v>
      </c>
    </row>
    <row r="416" spans="1:15" hidden="1" x14ac:dyDescent="0.25">
      <c r="A416" s="15" t="s">
        <v>842</v>
      </c>
      <c r="B416" s="16" t="s">
        <v>843</v>
      </c>
      <c r="C416" s="16" t="s">
        <v>71</v>
      </c>
      <c r="D416" s="16" t="s">
        <v>81</v>
      </c>
      <c r="E416" s="16">
        <v>40</v>
      </c>
      <c r="F416" s="16">
        <v>50</v>
      </c>
      <c r="G416" s="16">
        <f t="shared" si="44"/>
        <v>45</v>
      </c>
      <c r="H416" s="16">
        <v>2</v>
      </c>
      <c r="I416" s="30"/>
      <c r="J416" t="str">
        <f t="shared" si="45"/>
        <v>"Sludge, Sewage, Dry Ground":{"MATERIAL CLASS CODE":"50B46S",</v>
      </c>
      <c r="K416" t="str">
        <f t="shared" si="46"/>
        <v>"CONVEY LOADING":"30B",</v>
      </c>
      <c r="L416" t="str">
        <f t="shared" si="47"/>
        <v>"COMPONENT GROUP":"2D",</v>
      </c>
      <c r="M416" t="str">
        <f t="shared" si="48"/>
        <v>"WEIGHT (LBS/CF)":50,</v>
      </c>
      <c r="N416" t="str">
        <f t="shared" si="49"/>
        <v>"MATERIAL FACTOR":0.8}</v>
      </c>
      <c r="O416" t="str">
        <f t="shared" si="50"/>
        <v>"Sludge, Sewage, Dry Ground":{"MATERIAL CLASS CODE":"50B46S","CONVEY LOADING":"30B","COMPONENT GROUP":"2D","WEIGHT (LBS/CF)":50,"MATERIAL FACTOR":0.8},</v>
      </c>
    </row>
    <row r="417" spans="1:15" hidden="1" x14ac:dyDescent="0.25">
      <c r="A417" s="13" t="s">
        <v>844</v>
      </c>
      <c r="B417" s="14" t="s">
        <v>712</v>
      </c>
      <c r="C417" s="14" t="s">
        <v>99</v>
      </c>
      <c r="D417" s="14" t="s">
        <v>76</v>
      </c>
      <c r="E417" s="14">
        <v>55</v>
      </c>
      <c r="F417" s="14">
        <v>65</v>
      </c>
      <c r="G417" s="14">
        <f t="shared" si="44"/>
        <v>60</v>
      </c>
      <c r="H417" s="14">
        <v>1</v>
      </c>
      <c r="I417" s="29"/>
      <c r="J417" t="str">
        <f t="shared" si="45"/>
        <v>"Soap Detergent":{"MATERIAL CLASS CODE":"33B35FQ",</v>
      </c>
      <c r="K417" t="str">
        <f t="shared" si="46"/>
        <v>"CONVEY LOADING":"30A",</v>
      </c>
      <c r="L417" t="str">
        <f t="shared" si="47"/>
        <v>"COMPONENT GROUP":"1A,1B,1C",</v>
      </c>
      <c r="M417" t="str">
        <f t="shared" si="48"/>
        <v>"WEIGHT (LBS/CF)":32.5,</v>
      </c>
      <c r="N417" t="str">
        <f t="shared" si="49"/>
        <v>"MATERIAL FACTOR":0.8}</v>
      </c>
      <c r="O417" t="str">
        <f t="shared" si="50"/>
        <v>"Soap Detergent":{"MATERIAL CLASS CODE":"33B35FQ","CONVEY LOADING":"30A","COMPONENT GROUP":"1A,1B,1C","WEIGHT (LBS/CF)":32.5,"MATERIAL FACTOR":0.8},</v>
      </c>
    </row>
    <row r="418" spans="1:15" hidden="1" x14ac:dyDescent="0.25">
      <c r="A418" s="15" t="s">
        <v>845</v>
      </c>
      <c r="B418" s="16" t="s">
        <v>846</v>
      </c>
      <c r="C418" s="16" t="s">
        <v>99</v>
      </c>
      <c r="D418" s="16" t="s">
        <v>76</v>
      </c>
      <c r="E418" s="16">
        <v>20</v>
      </c>
      <c r="F418" s="16">
        <v>35</v>
      </c>
      <c r="G418" s="16">
        <f t="shared" si="44"/>
        <v>27.5</v>
      </c>
      <c r="H418" s="16">
        <v>0.8</v>
      </c>
      <c r="I418" s="16" t="s">
        <v>73</v>
      </c>
      <c r="J418" t="str">
        <f t="shared" si="45"/>
        <v>"Soap, Beads or Granules":{"MATERIAL CLASS CODE":"25B35Q",</v>
      </c>
      <c r="K418" t="str">
        <f t="shared" si="46"/>
        <v>"CONVEY LOADING":"30A",</v>
      </c>
      <c r="L418" t="str">
        <f t="shared" si="47"/>
        <v>"COMPONENT GROUP":"1A,1B,1C",</v>
      </c>
      <c r="M418" t="str">
        <f t="shared" si="48"/>
        <v>"WEIGHT (LBS/CF)":25,</v>
      </c>
      <c r="N418" t="str">
        <f t="shared" si="49"/>
        <v>"MATERIAL FACTOR":0.6}</v>
      </c>
      <c r="O418" t="str">
        <f t="shared" si="50"/>
        <v>"Soap, Beads or Granules":{"MATERIAL CLASS CODE":"25B35Q","CONVEY LOADING":"30A","COMPONENT GROUP":"1A,1B,1C","WEIGHT (LBS/CF)":25,"MATERIAL FACTOR":0.6},</v>
      </c>
    </row>
    <row r="419" spans="1:15" hidden="1" x14ac:dyDescent="0.25">
      <c r="A419" s="13" t="s">
        <v>847</v>
      </c>
      <c r="B419" s="14" t="s">
        <v>848</v>
      </c>
      <c r="C419" s="14" t="s">
        <v>99</v>
      </c>
      <c r="D419" s="14" t="s">
        <v>76</v>
      </c>
      <c r="E419" s="14">
        <v>72</v>
      </c>
      <c r="F419" s="14">
        <v>72</v>
      </c>
      <c r="G419" s="14">
        <f t="shared" si="44"/>
        <v>72</v>
      </c>
      <c r="H419" s="14">
        <v>1</v>
      </c>
      <c r="I419" s="29"/>
      <c r="J419" t="str">
        <f t="shared" si="45"/>
        <v>"Soap, Chips":{"MATERIAL CLASS CODE":"20C35Q",</v>
      </c>
      <c r="K419" t="str">
        <f t="shared" si="46"/>
        <v>"CONVEY LOADING":"30A",</v>
      </c>
      <c r="L419" t="str">
        <f t="shared" si="47"/>
        <v>"COMPONENT GROUP":"1A,1B,1C",</v>
      </c>
      <c r="M419" t="str">
        <f t="shared" si="48"/>
        <v>"WEIGHT (LBS/CF)":20,</v>
      </c>
      <c r="N419" t="str">
        <f t="shared" si="49"/>
        <v>"MATERIAL FACTOR":0.6}</v>
      </c>
      <c r="O419" t="str">
        <f t="shared" si="50"/>
        <v>"Soap, Chips":{"MATERIAL CLASS CODE":"20C35Q","CONVEY LOADING":"30A","COMPONENT GROUP":"1A,1B,1C","WEIGHT (LBS/CF)":20,"MATERIAL FACTOR":0.6},</v>
      </c>
    </row>
    <row r="420" spans="1:15" hidden="1" x14ac:dyDescent="0.25">
      <c r="A420" s="15" t="s">
        <v>849</v>
      </c>
      <c r="B420" s="30"/>
      <c r="C420" s="30"/>
      <c r="D420" s="30"/>
      <c r="E420" s="30"/>
      <c r="F420" s="30"/>
      <c r="G420" s="30">
        <f t="shared" si="44"/>
        <v>0</v>
      </c>
      <c r="H420" s="30">
        <v>0.4</v>
      </c>
      <c r="I420" s="30"/>
      <c r="J420" t="str">
        <f t="shared" si="45"/>
        <v>"Soap, Flakes":{"MATERIAL CLASS CODE":"10B35QXY",</v>
      </c>
      <c r="K420" t="str">
        <f t="shared" si="46"/>
        <v>"CONVEY LOADING":"30A",</v>
      </c>
      <c r="L420" t="str">
        <f t="shared" si="47"/>
        <v>"COMPONENT GROUP":"1A,1B,1C",</v>
      </c>
      <c r="M420" t="str">
        <f t="shared" si="48"/>
        <v>"WEIGHT (LBS/CF)":10,</v>
      </c>
      <c r="N420" t="str">
        <f t="shared" si="49"/>
        <v>"MATERIAL FACTOR":0.6}</v>
      </c>
      <c r="O420" t="str">
        <f t="shared" si="50"/>
        <v>"Soap, Flakes":{"MATERIAL CLASS CODE":"10B35QXY","CONVEY LOADING":"30A","COMPONENT GROUP":"1A,1B,1C","WEIGHT (LBS/CF)":10,"MATERIAL FACTOR":0.6},</v>
      </c>
    </row>
    <row r="421" spans="1:15" hidden="1" x14ac:dyDescent="0.25">
      <c r="A421" s="13" t="s">
        <v>850</v>
      </c>
      <c r="B421" s="14" t="s">
        <v>851</v>
      </c>
      <c r="C421" s="14" t="s">
        <v>99</v>
      </c>
      <c r="D421" s="14" t="s">
        <v>76</v>
      </c>
      <c r="E421" s="14">
        <v>75</v>
      </c>
      <c r="F421" s="14">
        <v>75</v>
      </c>
      <c r="G421" s="14">
        <f t="shared" si="44"/>
        <v>75</v>
      </c>
      <c r="H421" s="14">
        <v>1</v>
      </c>
      <c r="I421" s="29"/>
      <c r="J421" t="str">
        <f t="shared" si="45"/>
        <v>"Soap, Powder":{"MATERIAL CLASS CODE":"23B25X",</v>
      </c>
      <c r="K421" t="str">
        <f t="shared" si="46"/>
        <v>"CONVEY LOADING":"45",</v>
      </c>
      <c r="L421" t="str">
        <f t="shared" si="47"/>
        <v>"COMPONENT GROUP":"1A,1B,1C",</v>
      </c>
      <c r="M421" t="str">
        <f t="shared" si="48"/>
        <v>"WEIGHT (LBS/CF)":22.5,</v>
      </c>
      <c r="N421" t="str">
        <f t="shared" si="49"/>
        <v>"MATERIAL FACTOR":0.9}</v>
      </c>
      <c r="O421" t="str">
        <f t="shared" si="50"/>
        <v>"Soap, Powder":{"MATERIAL CLASS CODE":"23B25X","CONVEY LOADING":"45","COMPONENT GROUP":"1A,1B,1C","WEIGHT (LBS/CF)":22.5,"MATERIAL FACTOR":0.9},</v>
      </c>
    </row>
    <row r="422" spans="1:15" hidden="1" x14ac:dyDescent="0.25">
      <c r="A422" s="15" t="s">
        <v>852</v>
      </c>
      <c r="B422" s="30"/>
      <c r="C422" s="30"/>
      <c r="D422" s="30"/>
      <c r="E422" s="30"/>
      <c r="F422" s="30"/>
      <c r="G422" s="30">
        <f t="shared" si="44"/>
        <v>0</v>
      </c>
      <c r="H422" s="30">
        <v>0.4</v>
      </c>
      <c r="I422" s="30"/>
      <c r="J422" t="str">
        <f t="shared" si="45"/>
        <v>"Soapstone, Talc, Fine":{"MATERIAL CLASS CODE":"45A45XY",</v>
      </c>
      <c r="K422" t="str">
        <f t="shared" si="46"/>
        <v>"CONVEY LOADING":"30A",</v>
      </c>
      <c r="L422" t="str">
        <f t="shared" si="47"/>
        <v>"COMPONENT GROUP":"1A,1B,1C",</v>
      </c>
      <c r="M422" t="str">
        <f t="shared" si="48"/>
        <v>"WEIGHT (LBS/CF)":45,</v>
      </c>
      <c r="N422" t="str">
        <f t="shared" si="49"/>
        <v>"MATERIAL FACTOR":2}</v>
      </c>
      <c r="O422" t="str">
        <f t="shared" si="50"/>
        <v>"Soapstone, Talc, Fine":{"MATERIAL CLASS CODE":"45A45XY","CONVEY LOADING":"30A","COMPONENT GROUP":"1A,1B,1C","WEIGHT (LBS/CF)":45,"MATERIAL FACTOR":2},</v>
      </c>
    </row>
    <row r="423" spans="1:15" hidden="1" x14ac:dyDescent="0.25">
      <c r="A423" s="13" t="s">
        <v>853</v>
      </c>
      <c r="B423" s="14" t="s">
        <v>162</v>
      </c>
      <c r="C423" s="14">
        <v>45</v>
      </c>
      <c r="D423" s="14" t="s">
        <v>160</v>
      </c>
      <c r="E423" s="14">
        <v>40</v>
      </c>
      <c r="F423" s="14">
        <v>55</v>
      </c>
      <c r="G423" s="14">
        <f t="shared" si="44"/>
        <v>47.5</v>
      </c>
      <c r="H423" s="14">
        <v>0.6</v>
      </c>
      <c r="I423" s="14" t="s">
        <v>116</v>
      </c>
      <c r="J423" t="str">
        <f t="shared" si="45"/>
        <v>"Soda Ash, Heavy (Sodium Carbonate)":{"MATERIAL CLASS CODE":"60B36",</v>
      </c>
      <c r="K423" t="str">
        <f t="shared" si="46"/>
        <v>"CONVEY LOADING":"30B",</v>
      </c>
      <c r="L423" t="str">
        <f t="shared" si="47"/>
        <v>"COMPONENT GROUP":"2D",</v>
      </c>
      <c r="M423" t="str">
        <f t="shared" si="48"/>
        <v>"WEIGHT (LBS/CF)":60,</v>
      </c>
      <c r="N423" t="str">
        <f t="shared" si="49"/>
        <v>"MATERIAL FACTOR":1}</v>
      </c>
      <c r="O423" t="str">
        <f t="shared" si="50"/>
        <v>"Soda Ash, Heavy (Sodium Carbonate)":{"MATERIAL CLASS CODE":"60B36","CONVEY LOADING":"30B","COMPONENT GROUP":"2D","WEIGHT (LBS/CF)":60,"MATERIAL FACTOR":1},</v>
      </c>
    </row>
    <row r="424" spans="1:15" hidden="1" x14ac:dyDescent="0.25">
      <c r="A424" s="15" t="s">
        <v>854</v>
      </c>
      <c r="B424" s="30"/>
      <c r="C424" s="30"/>
      <c r="D424" s="30"/>
      <c r="E424" s="30"/>
      <c r="F424" s="30"/>
      <c r="G424" s="30">
        <f t="shared" si="44"/>
        <v>0</v>
      </c>
      <c r="H424" s="30">
        <v>0.4</v>
      </c>
      <c r="I424" s="30"/>
      <c r="J424" t="str">
        <f t="shared" si="45"/>
        <v>"Soda Ash, Light (Sodium Carbonate)":{"MATERIAL CLASS CODE":"28A36Y",</v>
      </c>
      <c r="K424" t="str">
        <f t="shared" si="46"/>
        <v>"CONVEY LOADING":"30B",</v>
      </c>
      <c r="L424" t="str">
        <f t="shared" si="47"/>
        <v>"COMPONENT GROUP":"2D",</v>
      </c>
      <c r="M424" t="str">
        <f t="shared" si="48"/>
        <v>"WEIGHT (LBS/CF)":27.5,</v>
      </c>
      <c r="N424" t="str">
        <f t="shared" si="49"/>
        <v>"MATERIAL FACTOR":0.8}</v>
      </c>
      <c r="O424" t="str">
        <f t="shared" si="50"/>
        <v>"Soda Ash, Light (Sodium Carbonate)":{"MATERIAL CLASS CODE":"28A36Y","CONVEY LOADING":"30B","COMPONENT GROUP":"2D","WEIGHT (LBS/CF)":27.5,"MATERIAL FACTOR":0.8},</v>
      </c>
    </row>
    <row r="425" spans="1:15" hidden="1" x14ac:dyDescent="0.25">
      <c r="A425" s="13" t="s">
        <v>855</v>
      </c>
      <c r="B425" s="29"/>
      <c r="C425" s="29"/>
      <c r="D425" s="29"/>
      <c r="E425" s="29"/>
      <c r="F425" s="29"/>
      <c r="G425" s="29">
        <f t="shared" si="44"/>
        <v>0</v>
      </c>
      <c r="H425" s="29">
        <v>0.4</v>
      </c>
      <c r="I425" s="29"/>
      <c r="J425" t="str">
        <f t="shared" si="45"/>
        <v>"Sodium Aluminate, Ground":{"MATERIAL CLASS CODE":"72B36",</v>
      </c>
      <c r="K425" t="str">
        <f t="shared" si="46"/>
        <v>"CONVEY LOADING":"30B",</v>
      </c>
      <c r="L425" t="str">
        <f t="shared" si="47"/>
        <v>"COMPONENT GROUP":"2D",</v>
      </c>
      <c r="M425" t="str">
        <f t="shared" si="48"/>
        <v>"WEIGHT (LBS/CF)":72,</v>
      </c>
      <c r="N425" t="str">
        <f t="shared" si="49"/>
        <v>"MATERIAL FACTOR":1}</v>
      </c>
      <c r="O425" t="str">
        <f t="shared" si="50"/>
        <v>"Sodium Aluminate, Ground":{"MATERIAL CLASS CODE":"72B36","CONVEY LOADING":"30B","COMPONENT GROUP":"2D","WEIGHT (LBS/CF)":72,"MATERIAL FACTOR":1},</v>
      </c>
    </row>
    <row r="426" spans="1:15" hidden="1" x14ac:dyDescent="0.25">
      <c r="A426" s="15" t="s">
        <v>856</v>
      </c>
      <c r="B426" s="30"/>
      <c r="C426" s="30"/>
      <c r="D426" s="30"/>
      <c r="E426" s="30"/>
      <c r="F426" s="30"/>
      <c r="G426" s="30">
        <f t="shared" si="44"/>
        <v>0</v>
      </c>
      <c r="H426" s="30">
        <v>0.4</v>
      </c>
      <c r="I426" s="30"/>
      <c r="J426" t="str">
        <f t="shared" si="45"/>
        <v>"Sodium Aluminum Fluoride (see Cryolite)":{"MATERIAL CLASS CODE":"",</v>
      </c>
      <c r="K426" t="str">
        <f t="shared" si="46"/>
        <v>"CONVEY LOADING":"",</v>
      </c>
      <c r="L426" t="str">
        <f t="shared" si="47"/>
        <v>"COMPONENT GROUP":"",</v>
      </c>
      <c r="M426" t="str">
        <f t="shared" si="48"/>
        <v>"WEIGHT (LBS/CF)":0,</v>
      </c>
      <c r="N426" t="str">
        <f t="shared" si="49"/>
        <v>"MATERIAL FACTOR":0.4}</v>
      </c>
      <c r="O426" t="str">
        <f t="shared" si="50"/>
        <v>"Sodium Aluminum Fluoride (see Cryolite)":{"MATERIAL CLASS CODE":"","CONVEY LOADING":"","COMPONENT GROUP":"","WEIGHT (LBS/CF)":0,"MATERIAL FACTOR":0.4},</v>
      </c>
    </row>
    <row r="427" spans="1:15" hidden="1" x14ac:dyDescent="0.25">
      <c r="A427" s="13" t="s">
        <v>857</v>
      </c>
      <c r="B427" s="29"/>
      <c r="C427" s="29"/>
      <c r="D427" s="29"/>
      <c r="E427" s="29"/>
      <c r="F427" s="29"/>
      <c r="G427" s="29">
        <f t="shared" si="44"/>
        <v>0</v>
      </c>
      <c r="H427" s="29">
        <v>0.4</v>
      </c>
      <c r="I427" s="29"/>
      <c r="J427" t="str">
        <f t="shared" si="45"/>
        <v>"Sodium Aluminum Sulphate**":{"MATERIAL CLASS CODE":"75A36",</v>
      </c>
      <c r="K427" t="str">
        <f t="shared" si="46"/>
        <v>"CONVEY LOADING":"30B",</v>
      </c>
      <c r="L427" t="str">
        <f t="shared" si="47"/>
        <v>"COMPONENT GROUP":"2D",</v>
      </c>
      <c r="M427" t="str">
        <f t="shared" si="48"/>
        <v>"WEIGHT (LBS/CF)":75,</v>
      </c>
      <c r="N427" t="str">
        <f t="shared" si="49"/>
        <v>"MATERIAL FACTOR":1}</v>
      </c>
      <c r="O427" t="str">
        <f t="shared" si="50"/>
        <v>"Sodium Aluminum Sulphate**":{"MATERIAL CLASS CODE":"75A36","CONVEY LOADING":"30B","COMPONENT GROUP":"2D","WEIGHT (LBS/CF)":75,"MATERIAL FACTOR":1},</v>
      </c>
    </row>
    <row r="428" spans="1:15" hidden="1" x14ac:dyDescent="0.25">
      <c r="A428" s="15" t="s">
        <v>858</v>
      </c>
      <c r="B428" s="16" t="s">
        <v>859</v>
      </c>
      <c r="C428" s="16" t="s">
        <v>71</v>
      </c>
      <c r="D428" s="16" t="s">
        <v>90</v>
      </c>
      <c r="E428" s="16">
        <v>70</v>
      </c>
      <c r="F428" s="16">
        <v>80</v>
      </c>
      <c r="G428" s="16">
        <f t="shared" si="44"/>
        <v>75</v>
      </c>
      <c r="H428" s="16">
        <v>1.2</v>
      </c>
      <c r="I428" s="30"/>
      <c r="J428" t="str">
        <f t="shared" si="45"/>
        <v>"Sodium Bentonite (see Bentonite)":{"MATERIAL CLASS CODE":"",</v>
      </c>
      <c r="K428" t="str">
        <f t="shared" si="46"/>
        <v>"CONVEY LOADING":"",</v>
      </c>
      <c r="L428" t="str">
        <f t="shared" si="47"/>
        <v>"COMPONENT GROUP":"",</v>
      </c>
      <c r="M428" t="str">
        <f t="shared" si="48"/>
        <v>"WEIGHT (LBS/CF)":0,</v>
      </c>
      <c r="N428" t="str">
        <f t="shared" si="49"/>
        <v>"MATERIAL FACTOR":0.4}</v>
      </c>
      <c r="O428" t="str">
        <f t="shared" si="50"/>
        <v>"Sodium Bentonite (see Bentonite)":{"MATERIAL CLASS CODE":"","CONVEY LOADING":"","COMPONENT GROUP":"","WEIGHT (LBS/CF)":0,"MATERIAL FACTOR":0.4},</v>
      </c>
    </row>
    <row r="429" spans="1:15" hidden="1" x14ac:dyDescent="0.25">
      <c r="A429" s="13" t="s">
        <v>860</v>
      </c>
      <c r="B429" s="14" t="s">
        <v>709</v>
      </c>
      <c r="C429" s="14" t="s">
        <v>71</v>
      </c>
      <c r="D429" s="14" t="s">
        <v>207</v>
      </c>
      <c r="E429" s="14">
        <v>50</v>
      </c>
      <c r="F429" s="14">
        <v>60</v>
      </c>
      <c r="G429" s="14">
        <f t="shared" si="44"/>
        <v>55</v>
      </c>
      <c r="H429" s="14">
        <v>0.9</v>
      </c>
      <c r="I429" s="29"/>
      <c r="J429" t="str">
        <f t="shared" si="45"/>
        <v>"Sodium Bicarbonate (Baking Soda)":{"MATERIAL CLASS CODE":"48A25",</v>
      </c>
      <c r="K429" t="str">
        <f t="shared" si="46"/>
        <v>"CONVEY LOADING":"45",</v>
      </c>
      <c r="L429" t="str">
        <f t="shared" si="47"/>
        <v>"COMPONENT GROUP":"1B",</v>
      </c>
      <c r="M429" t="str">
        <f t="shared" si="48"/>
        <v>"WEIGHT (LBS/CF)":47.5,</v>
      </c>
      <c r="N429" t="str">
        <f t="shared" si="49"/>
        <v>"MATERIAL FACTOR":0.6}</v>
      </c>
      <c r="O429" t="str">
        <f t="shared" si="50"/>
        <v>"Sodium Bicarbonate (Baking Soda)":{"MATERIAL CLASS CODE":"48A25","CONVEY LOADING":"45","COMPONENT GROUP":"1B","WEIGHT (LBS/CF)":47.5,"MATERIAL FACTOR":0.6},</v>
      </c>
    </row>
    <row r="430" spans="1:15" hidden="1" x14ac:dyDescent="0.25">
      <c r="A430" s="15" t="s">
        <v>861</v>
      </c>
      <c r="B430" s="30"/>
      <c r="C430" s="30"/>
      <c r="D430" s="30"/>
      <c r="E430" s="30"/>
      <c r="F430" s="30"/>
      <c r="G430" s="30">
        <f t="shared" si="44"/>
        <v>0</v>
      </c>
      <c r="H430" s="30">
        <v>0.4</v>
      </c>
      <c r="I430" s="30"/>
      <c r="J430" t="str">
        <f t="shared" si="45"/>
        <v>"Sodium Borate (see Borax)":{"MATERIAL CLASS CODE":"",</v>
      </c>
      <c r="K430" t="str">
        <f t="shared" si="46"/>
        <v>"CONVEY LOADING":"",</v>
      </c>
      <c r="L430" t="str">
        <f t="shared" si="47"/>
        <v>"COMPONENT GROUP":"",</v>
      </c>
      <c r="M430" t="str">
        <f t="shared" si="48"/>
        <v>"WEIGHT (LBS/CF)":0,</v>
      </c>
      <c r="N430" t="str">
        <f t="shared" si="49"/>
        <v>"MATERIAL FACTOR":0.4}</v>
      </c>
      <c r="O430" t="str">
        <f t="shared" si="50"/>
        <v>"Sodium Borate (see Borax)":{"MATERIAL CLASS CODE":"","CONVEY LOADING":"","COMPONENT GROUP":"","WEIGHT (LBS/CF)":0,"MATERIAL FACTOR":0.4},</v>
      </c>
    </row>
    <row r="431" spans="1:15" hidden="1" x14ac:dyDescent="0.25">
      <c r="A431" s="13" t="s">
        <v>862</v>
      </c>
      <c r="B431" s="14" t="s">
        <v>863</v>
      </c>
      <c r="C431" s="14" t="s">
        <v>99</v>
      </c>
      <c r="D431" s="14" t="s">
        <v>76</v>
      </c>
      <c r="E431" s="14">
        <v>96</v>
      </c>
      <c r="F431" s="14">
        <v>96</v>
      </c>
      <c r="G431" s="14">
        <f t="shared" si="44"/>
        <v>96</v>
      </c>
      <c r="H431" s="14">
        <v>1.5</v>
      </c>
      <c r="I431" s="29"/>
      <c r="J431" t="str">
        <f t="shared" si="45"/>
        <v>"Sodium Carbonate (see Soda Ash)":{"MATERIAL CLASS CODE":"",</v>
      </c>
      <c r="K431" t="str">
        <f t="shared" si="46"/>
        <v>"CONVEY LOADING":"",</v>
      </c>
      <c r="L431" t="str">
        <f t="shared" si="47"/>
        <v>"COMPONENT GROUP":"",</v>
      </c>
      <c r="M431" t="str">
        <f t="shared" si="48"/>
        <v>"WEIGHT (LBS/CF)":0,</v>
      </c>
      <c r="N431" t="str">
        <f t="shared" si="49"/>
        <v>"MATERIAL FACTOR":0.4}</v>
      </c>
      <c r="O431" t="str">
        <f t="shared" si="50"/>
        <v>"Sodium Carbonate (see Soda Ash)":{"MATERIAL CLASS CODE":"","CONVEY LOADING":"","COMPONENT GROUP":"","WEIGHT (LBS/CF)":0,"MATERIAL FACTOR":0.4},</v>
      </c>
    </row>
    <row r="432" spans="1:15" hidden="1" x14ac:dyDescent="0.25">
      <c r="A432" s="15" t="s">
        <v>864</v>
      </c>
      <c r="B432" s="30"/>
      <c r="C432" s="30"/>
      <c r="D432" s="30"/>
      <c r="E432" s="30"/>
      <c r="F432" s="30"/>
      <c r="G432" s="30">
        <f t="shared" si="44"/>
        <v>0</v>
      </c>
      <c r="H432" s="30">
        <v>0.4</v>
      </c>
      <c r="I432" s="30"/>
      <c r="J432" t="str">
        <f t="shared" si="45"/>
        <v>"Sodium Chloride (see Salt)":{"MATERIAL CLASS CODE":"",</v>
      </c>
      <c r="K432" t="str">
        <f t="shared" si="46"/>
        <v>"CONVEY LOADING":"",</v>
      </c>
      <c r="L432" t="str">
        <f t="shared" si="47"/>
        <v>"COMPONENT GROUP":"",</v>
      </c>
      <c r="M432" t="str">
        <f t="shared" si="48"/>
        <v>"WEIGHT (LBS/CF)":0,</v>
      </c>
      <c r="N432" t="str">
        <f t="shared" si="49"/>
        <v>"MATERIAL FACTOR":0.4}</v>
      </c>
      <c r="O432" t="str">
        <f t="shared" si="50"/>
        <v>"Sodium Chloride (see Salt)":{"MATERIAL CLASS CODE":"","CONVEY LOADING":"","COMPONENT GROUP":"","WEIGHT (LBS/CF)":0,"MATERIAL FACTOR":0.4},</v>
      </c>
    </row>
    <row r="433" spans="1:15" hidden="1" x14ac:dyDescent="0.25">
      <c r="A433" s="13" t="s">
        <v>865</v>
      </c>
      <c r="B433" s="29"/>
      <c r="C433" s="29"/>
      <c r="D433" s="29"/>
      <c r="E433" s="29"/>
      <c r="F433" s="29"/>
      <c r="G433" s="29">
        <f t="shared" si="44"/>
        <v>0</v>
      </c>
      <c r="H433" s="29">
        <v>0.4</v>
      </c>
      <c r="I433" s="29"/>
      <c r="J433" t="str">
        <f t="shared" si="45"/>
        <v>"Sodium Hydroxide (see Caustic Soda)":{"MATERIAL CLASS CODE":"",</v>
      </c>
      <c r="K433" t="str">
        <f t="shared" si="46"/>
        <v>"CONVEY LOADING":"",</v>
      </c>
      <c r="L433" t="str">
        <f t="shared" si="47"/>
        <v>"COMPONENT GROUP":"",</v>
      </c>
      <c r="M433" t="str">
        <f t="shared" si="48"/>
        <v>"WEIGHT (LBS/CF)":0,</v>
      </c>
      <c r="N433" t="str">
        <f t="shared" si="49"/>
        <v>"MATERIAL FACTOR":0.4}</v>
      </c>
      <c r="O433" t="str">
        <f t="shared" si="50"/>
        <v>"Sodium Hydroxide (see Caustic Soda)":{"MATERIAL CLASS CODE":"","CONVEY LOADING":"","COMPONENT GROUP":"","WEIGHT (LBS/CF)":0,"MATERIAL FACTOR":0.4},</v>
      </c>
    </row>
    <row r="434" spans="1:15" hidden="1" x14ac:dyDescent="0.25">
      <c r="A434" s="15" t="s">
        <v>866</v>
      </c>
      <c r="B434" s="16" t="s">
        <v>867</v>
      </c>
      <c r="C434" s="16" t="s">
        <v>71</v>
      </c>
      <c r="D434" s="16" t="s">
        <v>90</v>
      </c>
      <c r="E434" s="16">
        <v>40</v>
      </c>
      <c r="F434" s="16">
        <v>40</v>
      </c>
      <c r="G434" s="16">
        <f t="shared" si="44"/>
        <v>40</v>
      </c>
      <c r="H434" s="16">
        <v>0.5</v>
      </c>
      <c r="I434" s="16" t="s">
        <v>73</v>
      </c>
      <c r="J434" t="str">
        <f t="shared" si="45"/>
        <v>"Sodium Nitrate":{"MATERIAL CLASS CODE":"75D25NS",</v>
      </c>
      <c r="K434" t="str">
        <f t="shared" si="46"/>
        <v>"CONVEY LOADING":"30A",</v>
      </c>
      <c r="L434" t="str">
        <f t="shared" si="47"/>
        <v>"COMPONENT GROUP":"2A,2B",</v>
      </c>
      <c r="M434" t="str">
        <f t="shared" si="48"/>
        <v>"WEIGHT (LBS/CF)":75,</v>
      </c>
      <c r="N434" t="str">
        <f t="shared" si="49"/>
        <v>"MATERIAL FACTOR":1.2}</v>
      </c>
      <c r="O434" t="str">
        <f t="shared" si="50"/>
        <v>"Sodium Nitrate":{"MATERIAL CLASS CODE":"75D25NS","CONVEY LOADING":"30A","COMPONENT GROUP":"2A,2B","WEIGHT (LBS/CF)":75,"MATERIAL FACTOR":1.2},</v>
      </c>
    </row>
    <row r="435" spans="1:15" hidden="1" x14ac:dyDescent="0.25">
      <c r="A435" s="13" t="s">
        <v>868</v>
      </c>
      <c r="B435" s="14" t="s">
        <v>869</v>
      </c>
      <c r="C435" s="14" t="s">
        <v>71</v>
      </c>
      <c r="D435" s="14" t="s">
        <v>81</v>
      </c>
      <c r="E435" s="14">
        <v>40</v>
      </c>
      <c r="F435" s="14">
        <v>40</v>
      </c>
      <c r="G435" s="14">
        <f t="shared" si="44"/>
        <v>40</v>
      </c>
      <c r="H435" s="14">
        <v>0.5</v>
      </c>
      <c r="I435" s="14" t="s">
        <v>73</v>
      </c>
      <c r="J435" t="str">
        <f t="shared" si="45"/>
        <v>"Sodium Phosphate":{"MATERIAL CLASS CODE":"55A35",</v>
      </c>
      <c r="K435" t="str">
        <f t="shared" si="46"/>
        <v>"CONVEY LOADING":"30A",</v>
      </c>
      <c r="L435" t="str">
        <f t="shared" si="47"/>
        <v>"COMPONENT GROUP":"1A,1B",</v>
      </c>
      <c r="M435" t="str">
        <f t="shared" si="48"/>
        <v>"WEIGHT (LBS/CF)":55,</v>
      </c>
      <c r="N435" t="str">
        <f t="shared" si="49"/>
        <v>"MATERIAL FACTOR":0.9}</v>
      </c>
      <c r="O435" t="str">
        <f t="shared" si="50"/>
        <v>"Sodium Phosphate":{"MATERIAL CLASS CODE":"55A35","CONVEY LOADING":"30A","COMPONENT GROUP":"1A,1B","WEIGHT (LBS/CF)":55,"MATERIAL FACTOR":0.9},</v>
      </c>
    </row>
    <row r="436" spans="1:15" ht="15.75" hidden="1" thickBot="1" x14ac:dyDescent="0.3">
      <c r="A436" s="19" t="s">
        <v>870</v>
      </c>
      <c r="B436" s="20" t="s">
        <v>871</v>
      </c>
      <c r="C436" s="20" t="s">
        <v>71</v>
      </c>
      <c r="D436" s="20" t="s">
        <v>872</v>
      </c>
      <c r="E436" s="20">
        <v>40</v>
      </c>
      <c r="F436" s="20">
        <v>43</v>
      </c>
      <c r="G436" s="20">
        <f t="shared" si="44"/>
        <v>41.5</v>
      </c>
      <c r="H436" s="20">
        <v>1</v>
      </c>
      <c r="I436" s="20" t="s">
        <v>73</v>
      </c>
      <c r="J436" t="str">
        <f t="shared" si="45"/>
        <v>"Sodium Sulfate (see Salt Cake)":{"MATERIAL CLASS CODE":"",</v>
      </c>
      <c r="K436" t="str">
        <f t="shared" si="46"/>
        <v>"CONVEY LOADING":"",</v>
      </c>
      <c r="L436" t="str">
        <f t="shared" si="47"/>
        <v>"COMPONENT GROUP":"",</v>
      </c>
      <c r="M436" t="str">
        <f t="shared" si="48"/>
        <v>"WEIGHT (LBS/CF)":0,</v>
      </c>
      <c r="N436" t="str">
        <f t="shared" si="49"/>
        <v>"MATERIAL FACTOR":0.4}</v>
      </c>
      <c r="O436" t="str">
        <f t="shared" si="50"/>
        <v>"Sodium Sulfate (see Salt Cake)":{"MATERIAL CLASS CODE":"","CONVEY LOADING":"","COMPONENT GROUP":"","WEIGHT (LBS/CF)":0,"MATERIAL FACTOR":0.4},</v>
      </c>
    </row>
    <row r="437" spans="1:15" hidden="1" x14ac:dyDescent="0.25">
      <c r="J437" t="str">
        <f t="shared" si="45"/>
        <v>"Sodium Sulfite":{"MATERIAL CLASS CODE":"96B46X",</v>
      </c>
      <c r="K437" t="str">
        <f t="shared" si="46"/>
        <v>"CONVEY LOADING":"30B",</v>
      </c>
      <c r="L437" t="str">
        <f t="shared" si="47"/>
        <v>"COMPONENT GROUP":"2D",</v>
      </c>
      <c r="M437" t="str">
        <f t="shared" si="48"/>
        <v>"WEIGHT (LBS/CF)":96,</v>
      </c>
      <c r="N437" t="str">
        <f t="shared" si="49"/>
        <v>"MATERIAL FACTOR":1.5}</v>
      </c>
      <c r="O437" t="str">
        <f t="shared" si="50"/>
        <v>"Sodium Sulfite":{"MATERIAL CLASS CODE":"96B46X","CONVEY LOADING":"30B","COMPONENT GROUP":"2D","WEIGHT (LBS/CF)":96,"MATERIAL FACTOR":1.5},</v>
      </c>
    </row>
    <row r="438" spans="1:15" hidden="1" x14ac:dyDescent="0.25">
      <c r="J438" t="str">
        <f t="shared" si="45"/>
        <v>"Sodium, Hydrate (see Caustic Soda)":{"MATERIAL CLASS CODE":"",</v>
      </c>
      <c r="K438" t="str">
        <f t="shared" si="46"/>
        <v>"CONVEY LOADING":"",</v>
      </c>
      <c r="L438" t="str">
        <f t="shared" si="47"/>
        <v>"COMPONENT GROUP":"",</v>
      </c>
      <c r="M438" t="str">
        <f t="shared" si="48"/>
        <v>"WEIGHT (LBS/CF)":0,</v>
      </c>
      <c r="N438" t="str">
        <f t="shared" si="49"/>
        <v>"MATERIAL FACTOR":0.4}</v>
      </c>
      <c r="O438" t="str">
        <f t="shared" si="50"/>
        <v>"Sodium, Hydrate (see Caustic Soda)":{"MATERIAL CLASS CODE":"","CONVEY LOADING":"","COMPONENT GROUP":"","WEIGHT (LBS/CF)":0,"MATERIAL FACTOR":0.4},</v>
      </c>
    </row>
    <row r="439" spans="1:15" hidden="1" x14ac:dyDescent="0.25">
      <c r="J439" t="str">
        <f t="shared" si="45"/>
        <v>"Sorghum, Seed (see Kafir or Milo)":{"MATERIAL CLASS CODE":"",</v>
      </c>
      <c r="K439" t="str">
        <f t="shared" si="46"/>
        <v>"CONVEY LOADING":"",</v>
      </c>
      <c r="L439" t="str">
        <f t="shared" si="47"/>
        <v>"COMPONENT GROUP":"",</v>
      </c>
      <c r="M439" t="str">
        <f t="shared" si="48"/>
        <v>"WEIGHT (LBS/CF)":0,</v>
      </c>
      <c r="N439" t="str">
        <f t="shared" si="49"/>
        <v>"MATERIAL FACTOR":0.4}</v>
      </c>
      <c r="O439" t="str">
        <f t="shared" si="50"/>
        <v>"Sorghum, Seed (see Kafir or Milo)":{"MATERIAL CLASS CODE":"","CONVEY LOADING":"","COMPONENT GROUP":"","WEIGHT (LBS/CF)":0,"MATERIAL FACTOR":0.4},</v>
      </c>
    </row>
    <row r="440" spans="1:15" hidden="1" x14ac:dyDescent="0.25">
      <c r="J440" t="str">
        <f t="shared" si="45"/>
        <v>"Soybean Meal Hot":{"MATERIAL CLASS CODE":"40B35T",</v>
      </c>
      <c r="K440" t="str">
        <f t="shared" si="46"/>
        <v>"CONVEY LOADING":"30A",</v>
      </c>
      <c r="L440" t="str">
        <f t="shared" si="47"/>
        <v>"COMPONENT GROUP":"2A,2B",</v>
      </c>
      <c r="M440" t="str">
        <f t="shared" si="48"/>
        <v>"WEIGHT (LBS/CF)":40,</v>
      </c>
      <c r="N440" t="str">
        <f t="shared" si="49"/>
        <v>"MATERIAL FACTOR":0.5}</v>
      </c>
      <c r="O440" t="str">
        <f t="shared" si="50"/>
        <v>"Soybean Meal Hot":{"MATERIAL CLASS CODE":"40B35T","CONVEY LOADING":"30A","COMPONENT GROUP":"2A,2B","WEIGHT (LBS/CF)":40,"MATERIAL FACTOR":0.5},</v>
      </c>
    </row>
    <row r="441" spans="1:15" hidden="1" x14ac:dyDescent="0.25">
      <c r="J441" t="str">
        <f t="shared" si="45"/>
        <v>"Soybean Meal, Cold":{"MATERIAL CLASS CODE":"40B35",</v>
      </c>
      <c r="K441" t="str">
        <f t="shared" si="46"/>
        <v>"CONVEY LOADING":"30A",</v>
      </c>
      <c r="L441" t="str">
        <f t="shared" si="47"/>
        <v>"COMPONENT GROUP":"1A,1B,1C",</v>
      </c>
      <c r="M441" t="str">
        <f t="shared" si="48"/>
        <v>"WEIGHT (LBS/CF)":40,</v>
      </c>
      <c r="N441" t="str">
        <f t="shared" si="49"/>
        <v>"MATERIAL FACTOR":0.5}</v>
      </c>
      <c r="O441" t="str">
        <f t="shared" si="50"/>
        <v>"Soybean Meal, Cold":{"MATERIAL CLASS CODE":"40B35","CONVEY LOADING":"30A","COMPONENT GROUP":"1A,1B,1C","WEIGHT (LBS/CF)":40,"MATERIAL FACTOR":0.5},</v>
      </c>
    </row>
  </sheetData>
  <autoFilter ref="A4:I441" xr:uid="{413720D1-BB06-4257-A8F1-9478FE7C9A05}">
    <filterColumn colId="0">
      <filters>
        <filter val="Bones, Crushed"/>
        <filter val="Bones, Ground"/>
        <filter val="Bones, Whole**"/>
      </filters>
    </filterColumn>
    <sortState ref="A5:I441">
      <sortCondition ref="A4"/>
    </sortState>
  </autoFilter>
  <mergeCells count="8">
    <mergeCell ref="K2:L7"/>
    <mergeCell ref="C1:C3"/>
    <mergeCell ref="H1:H2"/>
    <mergeCell ref="I1:I3"/>
    <mergeCell ref="A1:A3"/>
    <mergeCell ref="B1:B3"/>
    <mergeCell ref="D1:D3"/>
    <mergeCell ref="E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B239-D848-4D54-9314-20A6AE4F11D6}">
  <dimension ref="A1:E53"/>
  <sheetViews>
    <sheetView topLeftCell="A31" workbookViewId="0">
      <selection activeCell="E44" sqref="E44:E53"/>
    </sheetView>
  </sheetViews>
  <sheetFormatPr baseColWidth="10" defaultRowHeight="15" x14ac:dyDescent="0.25"/>
  <cols>
    <col min="1" max="1" width="28.28515625" customWidth="1"/>
  </cols>
  <sheetData>
    <row r="1" spans="1:5" ht="15.75" thickBot="1" x14ac:dyDescent="0.3">
      <c r="A1" s="346" t="s">
        <v>928</v>
      </c>
      <c r="B1" s="347"/>
      <c r="C1" s="347"/>
      <c r="D1" s="347"/>
      <c r="E1" s="348"/>
    </row>
    <row r="2" spans="1:5" x14ac:dyDescent="0.25">
      <c r="A2" s="21" t="s">
        <v>909</v>
      </c>
      <c r="B2" s="362" t="s">
        <v>911</v>
      </c>
      <c r="C2" s="27" t="s">
        <v>912</v>
      </c>
      <c r="D2" s="362" t="s">
        <v>914</v>
      </c>
      <c r="E2" s="362" t="s">
        <v>915</v>
      </c>
    </row>
    <row r="3" spans="1:5" ht="23.25" thickBot="1" x14ac:dyDescent="0.3">
      <c r="A3" s="22" t="s">
        <v>910</v>
      </c>
      <c r="B3" s="363"/>
      <c r="C3" s="2" t="s">
        <v>913</v>
      </c>
      <c r="D3" s="363"/>
      <c r="E3" s="363"/>
    </row>
    <row r="4" spans="1:5" x14ac:dyDescent="0.25">
      <c r="A4" s="449">
        <v>0.15</v>
      </c>
      <c r="B4" s="8">
        <v>6</v>
      </c>
      <c r="C4" s="8">
        <v>60</v>
      </c>
      <c r="D4" s="8">
        <v>45</v>
      </c>
      <c r="E4" s="8">
        <v>0.8</v>
      </c>
    </row>
    <row r="5" spans="1:5" x14ac:dyDescent="0.25">
      <c r="A5" s="450"/>
      <c r="B5" s="6">
        <v>9</v>
      </c>
      <c r="C5" s="6">
        <v>55</v>
      </c>
      <c r="D5" s="6">
        <v>150</v>
      </c>
      <c r="E5" s="6">
        <v>2.7</v>
      </c>
    </row>
    <row r="6" spans="1:5" x14ac:dyDescent="0.25">
      <c r="A6" s="450"/>
      <c r="B6" s="8">
        <v>12</v>
      </c>
      <c r="C6" s="8">
        <v>50</v>
      </c>
      <c r="D6" s="8">
        <v>325</v>
      </c>
      <c r="E6" s="8">
        <v>6.5</v>
      </c>
    </row>
    <row r="7" spans="1:5" x14ac:dyDescent="0.25">
      <c r="A7" s="450"/>
      <c r="B7" s="6">
        <v>14</v>
      </c>
      <c r="C7" s="6">
        <v>50</v>
      </c>
      <c r="D7" s="6">
        <v>520</v>
      </c>
      <c r="E7" s="6">
        <v>10.4</v>
      </c>
    </row>
    <row r="8" spans="1:5" x14ac:dyDescent="0.25">
      <c r="A8" s="450"/>
      <c r="B8" s="8">
        <v>16</v>
      </c>
      <c r="C8" s="8">
        <v>45</v>
      </c>
      <c r="D8" s="8">
        <v>700</v>
      </c>
      <c r="E8" s="8">
        <v>15.6</v>
      </c>
    </row>
    <row r="9" spans="1:5" x14ac:dyDescent="0.25">
      <c r="A9" s="450"/>
      <c r="B9" s="6">
        <v>18</v>
      </c>
      <c r="C9" s="6">
        <v>45</v>
      </c>
      <c r="D9" s="48">
        <v>1010</v>
      </c>
      <c r="E9" s="6">
        <v>22.5</v>
      </c>
    </row>
    <row r="10" spans="1:5" x14ac:dyDescent="0.25">
      <c r="A10" s="450"/>
      <c r="B10" s="8">
        <v>20</v>
      </c>
      <c r="C10" s="8">
        <v>40</v>
      </c>
      <c r="D10" s="49">
        <v>1250</v>
      </c>
      <c r="E10" s="8">
        <v>31.2</v>
      </c>
    </row>
    <row r="11" spans="1:5" x14ac:dyDescent="0.25">
      <c r="A11" s="450"/>
      <c r="B11" s="6">
        <v>24</v>
      </c>
      <c r="C11" s="6">
        <v>40</v>
      </c>
      <c r="D11" s="48">
        <v>2180</v>
      </c>
      <c r="E11" s="6">
        <v>54.6</v>
      </c>
    </row>
    <row r="12" spans="1:5" x14ac:dyDescent="0.25">
      <c r="A12" s="450"/>
      <c r="B12" s="8">
        <v>30</v>
      </c>
      <c r="C12" s="8">
        <v>30</v>
      </c>
      <c r="D12" s="49">
        <v>3152</v>
      </c>
      <c r="E12" s="8">
        <v>105</v>
      </c>
    </row>
    <row r="13" spans="1:5" ht="15.75" thickBot="1" x14ac:dyDescent="0.3">
      <c r="A13" s="451"/>
      <c r="B13" s="10">
        <v>36</v>
      </c>
      <c r="C13" s="10">
        <v>20</v>
      </c>
      <c r="D13" s="50">
        <v>3597</v>
      </c>
      <c r="E13" s="10">
        <v>184</v>
      </c>
    </row>
    <row r="14" spans="1:5" x14ac:dyDescent="0.25">
      <c r="A14" s="452" t="s">
        <v>916</v>
      </c>
      <c r="B14" s="8">
        <v>6</v>
      </c>
      <c r="C14" s="8">
        <v>120</v>
      </c>
      <c r="D14" s="8">
        <v>180</v>
      </c>
      <c r="E14" s="8">
        <v>1.5</v>
      </c>
    </row>
    <row r="15" spans="1:5" x14ac:dyDescent="0.25">
      <c r="A15" s="453"/>
      <c r="B15" s="6">
        <v>9</v>
      </c>
      <c r="C15" s="6">
        <v>100</v>
      </c>
      <c r="D15" s="6">
        <v>545</v>
      </c>
      <c r="E15" s="6">
        <v>5.5</v>
      </c>
    </row>
    <row r="16" spans="1:5" x14ac:dyDescent="0.25">
      <c r="A16" s="453"/>
      <c r="B16" s="8">
        <v>12</v>
      </c>
      <c r="C16" s="8">
        <v>90</v>
      </c>
      <c r="D16" s="49">
        <v>1160</v>
      </c>
      <c r="E16" s="8">
        <v>12.9</v>
      </c>
    </row>
    <row r="17" spans="1:5" x14ac:dyDescent="0.25">
      <c r="A17" s="453"/>
      <c r="B17" s="6">
        <v>14</v>
      </c>
      <c r="C17" s="6">
        <v>85</v>
      </c>
      <c r="D17" s="48">
        <v>1770</v>
      </c>
      <c r="E17" s="6">
        <v>20.8</v>
      </c>
    </row>
    <row r="18" spans="1:5" x14ac:dyDescent="0.25">
      <c r="A18" s="453"/>
      <c r="B18" s="8">
        <v>16</v>
      </c>
      <c r="C18" s="8">
        <v>80</v>
      </c>
      <c r="D18" s="49">
        <v>2500</v>
      </c>
      <c r="E18" s="8">
        <v>31.2</v>
      </c>
    </row>
    <row r="19" spans="1:5" x14ac:dyDescent="0.25">
      <c r="A19" s="453"/>
      <c r="B19" s="6">
        <v>18</v>
      </c>
      <c r="C19" s="6">
        <v>75</v>
      </c>
      <c r="D19" s="48">
        <v>3380</v>
      </c>
      <c r="E19" s="6">
        <v>45</v>
      </c>
    </row>
    <row r="20" spans="1:5" x14ac:dyDescent="0.25">
      <c r="A20" s="453"/>
      <c r="B20" s="8">
        <v>20</v>
      </c>
      <c r="C20" s="8">
        <v>70</v>
      </c>
      <c r="D20" s="49">
        <v>4370</v>
      </c>
      <c r="E20" s="8">
        <v>62.5</v>
      </c>
    </row>
    <row r="21" spans="1:5" x14ac:dyDescent="0.25">
      <c r="A21" s="453"/>
      <c r="B21" s="6">
        <v>24</v>
      </c>
      <c r="C21" s="6">
        <v>65</v>
      </c>
      <c r="D21" s="48">
        <v>7100</v>
      </c>
      <c r="E21" s="6">
        <v>109</v>
      </c>
    </row>
    <row r="22" spans="1:5" x14ac:dyDescent="0.25">
      <c r="A22" s="453"/>
      <c r="B22" s="8">
        <v>30</v>
      </c>
      <c r="C22" s="8">
        <v>50</v>
      </c>
      <c r="D22" s="49">
        <v>10506</v>
      </c>
      <c r="E22" s="8">
        <v>210</v>
      </c>
    </row>
    <row r="23" spans="1:5" ht="15.75" thickBot="1" x14ac:dyDescent="0.3">
      <c r="A23" s="454"/>
      <c r="B23" s="10">
        <v>36</v>
      </c>
      <c r="C23" s="10">
        <v>35</v>
      </c>
      <c r="D23" s="50">
        <v>12593</v>
      </c>
      <c r="E23" s="10">
        <v>369</v>
      </c>
    </row>
    <row r="24" spans="1:5" x14ac:dyDescent="0.25">
      <c r="A24" s="452" t="s">
        <v>917</v>
      </c>
      <c r="B24" s="8">
        <v>6</v>
      </c>
      <c r="C24" s="8">
        <v>60</v>
      </c>
      <c r="D24" s="8">
        <v>90</v>
      </c>
      <c r="E24" s="8">
        <v>1.5</v>
      </c>
    </row>
    <row r="25" spans="1:5" x14ac:dyDescent="0.25">
      <c r="A25" s="453"/>
      <c r="B25" s="6">
        <v>9</v>
      </c>
      <c r="C25" s="6">
        <v>55</v>
      </c>
      <c r="D25" s="6">
        <v>295</v>
      </c>
      <c r="E25" s="6">
        <v>5.7</v>
      </c>
    </row>
    <row r="26" spans="1:5" x14ac:dyDescent="0.25">
      <c r="A26" s="453"/>
      <c r="B26" s="8">
        <v>12</v>
      </c>
      <c r="C26" s="8">
        <v>50</v>
      </c>
      <c r="D26" s="8">
        <v>646</v>
      </c>
      <c r="E26" s="8">
        <v>12.9</v>
      </c>
    </row>
    <row r="27" spans="1:5" x14ac:dyDescent="0.25">
      <c r="A27" s="453"/>
      <c r="B27" s="6">
        <v>14</v>
      </c>
      <c r="C27" s="6">
        <v>47</v>
      </c>
      <c r="D27" s="6">
        <v>696</v>
      </c>
      <c r="E27" s="6">
        <v>14.8</v>
      </c>
    </row>
    <row r="28" spans="1:5" x14ac:dyDescent="0.25">
      <c r="A28" s="453"/>
      <c r="B28" s="8">
        <v>16</v>
      </c>
      <c r="C28" s="8">
        <v>44</v>
      </c>
      <c r="D28" s="49">
        <v>1382</v>
      </c>
      <c r="E28" s="8">
        <v>31.4</v>
      </c>
    </row>
    <row r="29" spans="1:5" x14ac:dyDescent="0.25">
      <c r="A29" s="453"/>
      <c r="B29" s="6">
        <v>18</v>
      </c>
      <c r="C29" s="6">
        <v>41</v>
      </c>
      <c r="D29" s="48">
        <v>1834</v>
      </c>
      <c r="E29" s="6">
        <v>44.7</v>
      </c>
    </row>
    <row r="30" spans="1:5" x14ac:dyDescent="0.25">
      <c r="A30" s="453"/>
      <c r="B30" s="8">
        <v>20</v>
      </c>
      <c r="C30" s="8">
        <v>38</v>
      </c>
      <c r="D30" s="49">
        <v>2361</v>
      </c>
      <c r="E30" s="8">
        <v>62.1</v>
      </c>
    </row>
    <row r="31" spans="1:5" x14ac:dyDescent="0.25">
      <c r="A31" s="453"/>
      <c r="B31" s="6">
        <v>24</v>
      </c>
      <c r="C31" s="6">
        <v>36</v>
      </c>
      <c r="D31" s="48">
        <v>3928</v>
      </c>
      <c r="E31" s="6">
        <v>109.1</v>
      </c>
    </row>
    <row r="32" spans="1:5" x14ac:dyDescent="0.25">
      <c r="A32" s="453"/>
      <c r="B32" s="8">
        <v>30</v>
      </c>
      <c r="C32" s="8">
        <v>27</v>
      </c>
      <c r="D32" s="49">
        <v>5673</v>
      </c>
      <c r="E32" s="8">
        <v>210</v>
      </c>
    </row>
    <row r="33" spans="1:5" ht="15.75" thickBot="1" x14ac:dyDescent="0.3">
      <c r="A33" s="454"/>
      <c r="B33" s="10">
        <v>36</v>
      </c>
      <c r="C33" s="10">
        <v>19</v>
      </c>
      <c r="D33" s="50">
        <v>6836</v>
      </c>
      <c r="E33" s="10">
        <v>360</v>
      </c>
    </row>
    <row r="34" spans="1:5" x14ac:dyDescent="0.25">
      <c r="A34" s="446">
        <v>0.45</v>
      </c>
      <c r="B34" s="8">
        <v>6</v>
      </c>
      <c r="C34" s="8">
        <v>165</v>
      </c>
      <c r="D34" s="8">
        <v>368</v>
      </c>
      <c r="E34" s="8">
        <v>2.2000000000000002</v>
      </c>
    </row>
    <row r="35" spans="1:5" x14ac:dyDescent="0.25">
      <c r="A35" s="447"/>
      <c r="B35" s="6">
        <v>9</v>
      </c>
      <c r="C35" s="6">
        <v>155</v>
      </c>
      <c r="D35" s="48">
        <v>1270</v>
      </c>
      <c r="E35" s="6">
        <v>8.1999999999999993</v>
      </c>
    </row>
    <row r="36" spans="1:5" x14ac:dyDescent="0.25">
      <c r="A36" s="447"/>
      <c r="B36" s="8">
        <v>12</v>
      </c>
      <c r="C36" s="8">
        <v>145</v>
      </c>
      <c r="D36" s="49">
        <v>2820</v>
      </c>
      <c r="E36" s="8">
        <v>19.399999999999999</v>
      </c>
    </row>
    <row r="37" spans="1:5" x14ac:dyDescent="0.25">
      <c r="A37" s="447"/>
      <c r="B37" s="6">
        <v>14</v>
      </c>
      <c r="C37" s="6">
        <v>140</v>
      </c>
      <c r="D37" s="48">
        <v>4370</v>
      </c>
      <c r="E37" s="6">
        <v>31.2</v>
      </c>
    </row>
    <row r="38" spans="1:5" x14ac:dyDescent="0.25">
      <c r="A38" s="447"/>
      <c r="B38" s="8">
        <v>16</v>
      </c>
      <c r="C38" s="8">
        <v>130</v>
      </c>
      <c r="D38" s="49">
        <v>6060</v>
      </c>
      <c r="E38" s="8">
        <v>46.7</v>
      </c>
    </row>
    <row r="39" spans="1:5" x14ac:dyDescent="0.25">
      <c r="A39" s="447"/>
      <c r="B39" s="6">
        <v>18</v>
      </c>
      <c r="C39" s="6">
        <v>120</v>
      </c>
      <c r="D39" s="48">
        <v>8120</v>
      </c>
      <c r="E39" s="6">
        <v>67.599999999999994</v>
      </c>
    </row>
    <row r="40" spans="1:5" x14ac:dyDescent="0.25">
      <c r="A40" s="447"/>
      <c r="B40" s="8">
        <v>20</v>
      </c>
      <c r="C40" s="8">
        <v>110</v>
      </c>
      <c r="D40" s="49">
        <v>10300</v>
      </c>
      <c r="E40" s="8">
        <v>93.7</v>
      </c>
    </row>
    <row r="41" spans="1:5" x14ac:dyDescent="0.25">
      <c r="A41" s="447"/>
      <c r="B41" s="6">
        <v>24</v>
      </c>
      <c r="C41" s="6">
        <v>100</v>
      </c>
      <c r="D41" s="48">
        <v>16400</v>
      </c>
      <c r="E41" s="6">
        <v>164</v>
      </c>
    </row>
    <row r="42" spans="1:5" x14ac:dyDescent="0.25">
      <c r="A42" s="447"/>
      <c r="B42" s="8">
        <v>30</v>
      </c>
      <c r="C42" s="8">
        <v>70</v>
      </c>
      <c r="D42" s="49">
        <v>22062</v>
      </c>
      <c r="E42" s="8">
        <v>315</v>
      </c>
    </row>
    <row r="43" spans="1:5" ht="15.75" thickBot="1" x14ac:dyDescent="0.3">
      <c r="A43" s="448"/>
      <c r="B43" s="10">
        <v>36</v>
      </c>
      <c r="C43" s="10">
        <v>40</v>
      </c>
      <c r="D43" s="50">
        <v>21587</v>
      </c>
      <c r="E43" s="10">
        <v>540</v>
      </c>
    </row>
    <row r="44" spans="1:5" x14ac:dyDescent="0.25">
      <c r="A44" s="446">
        <v>0.95</v>
      </c>
      <c r="B44" s="8">
        <v>6</v>
      </c>
      <c r="C44" s="8" t="s">
        <v>918</v>
      </c>
      <c r="D44" s="49">
        <v>1415</v>
      </c>
      <c r="E44" s="8">
        <v>4.7</v>
      </c>
    </row>
    <row r="45" spans="1:5" x14ac:dyDescent="0.25">
      <c r="A45" s="447"/>
      <c r="B45" s="6">
        <v>9</v>
      </c>
      <c r="C45" s="6" t="s">
        <v>919</v>
      </c>
      <c r="D45" s="48">
        <v>4832</v>
      </c>
      <c r="E45" s="6">
        <v>17.600000000000001</v>
      </c>
    </row>
    <row r="46" spans="1:5" x14ac:dyDescent="0.25">
      <c r="A46" s="447"/>
      <c r="B46" s="8">
        <v>12</v>
      </c>
      <c r="C46" s="8" t="s">
        <v>920</v>
      </c>
      <c r="D46" s="49">
        <v>10760</v>
      </c>
      <c r="E46" s="8">
        <v>42</v>
      </c>
    </row>
    <row r="47" spans="1:5" x14ac:dyDescent="0.25">
      <c r="A47" s="447"/>
      <c r="B47" s="6">
        <v>14</v>
      </c>
      <c r="C47" s="6" t="s">
        <v>921</v>
      </c>
      <c r="D47" s="48">
        <v>16342</v>
      </c>
      <c r="E47" s="6">
        <v>68</v>
      </c>
    </row>
    <row r="48" spans="1:5" x14ac:dyDescent="0.25">
      <c r="A48" s="447"/>
      <c r="B48" s="8">
        <v>16</v>
      </c>
      <c r="C48" s="8" t="s">
        <v>922</v>
      </c>
      <c r="D48" s="49">
        <v>22280</v>
      </c>
      <c r="E48" s="8">
        <v>101</v>
      </c>
    </row>
    <row r="49" spans="1:5" x14ac:dyDescent="0.25">
      <c r="A49" s="447"/>
      <c r="B49" s="6">
        <v>18</v>
      </c>
      <c r="C49" s="6" t="s">
        <v>923</v>
      </c>
      <c r="D49" s="48">
        <v>30529</v>
      </c>
      <c r="E49" s="6">
        <v>145</v>
      </c>
    </row>
    <row r="50" spans="1:5" x14ac:dyDescent="0.25">
      <c r="A50" s="447"/>
      <c r="B50" s="8">
        <v>20</v>
      </c>
      <c r="C50" s="8" t="s">
        <v>924</v>
      </c>
      <c r="D50" s="49">
        <v>37385</v>
      </c>
      <c r="E50" s="8">
        <v>196</v>
      </c>
    </row>
    <row r="51" spans="1:5" x14ac:dyDescent="0.25">
      <c r="A51" s="447"/>
      <c r="B51" s="6">
        <v>24</v>
      </c>
      <c r="C51" s="6" t="s">
        <v>925</v>
      </c>
      <c r="D51" s="48">
        <v>58858</v>
      </c>
      <c r="E51" s="6">
        <v>346</v>
      </c>
    </row>
    <row r="52" spans="1:5" x14ac:dyDescent="0.25">
      <c r="A52" s="447"/>
      <c r="B52" s="8">
        <v>30</v>
      </c>
      <c r="C52" s="8" t="s">
        <v>926</v>
      </c>
      <c r="D52" s="49">
        <v>76519</v>
      </c>
      <c r="E52" s="8">
        <v>665</v>
      </c>
    </row>
    <row r="53" spans="1:5" ht="15.75" thickBot="1" x14ac:dyDescent="0.3">
      <c r="A53" s="448"/>
      <c r="B53" s="10">
        <v>36</v>
      </c>
      <c r="C53" s="10" t="s">
        <v>927</v>
      </c>
      <c r="D53" s="50">
        <v>79754</v>
      </c>
      <c r="E53" s="51">
        <v>1139</v>
      </c>
    </row>
  </sheetData>
  <mergeCells count="9">
    <mergeCell ref="A44:A53"/>
    <mergeCell ref="A1:E1"/>
    <mergeCell ref="D2:D3"/>
    <mergeCell ref="E2:E3"/>
    <mergeCell ref="A4:A13"/>
    <mergeCell ref="A14:A23"/>
    <mergeCell ref="A24:A33"/>
    <mergeCell ref="A34:A43"/>
    <mergeCell ref="B2:B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4F96A-867F-47F8-9A13-04D7161A4F6C}">
  <dimension ref="A1:K50"/>
  <sheetViews>
    <sheetView zoomScale="115" zoomScaleNormal="115" workbookViewId="0">
      <selection activeCell="D27" sqref="D27"/>
    </sheetView>
  </sheetViews>
  <sheetFormatPr baseColWidth="10" defaultRowHeight="15" x14ac:dyDescent="0.25"/>
  <sheetData>
    <row r="1" spans="1:11" ht="15.75" customHeight="1" thickBot="1" x14ac:dyDescent="0.3">
      <c r="A1" s="346" t="s">
        <v>1150</v>
      </c>
      <c r="B1" s="347"/>
      <c r="C1" s="347"/>
      <c r="D1" s="347"/>
      <c r="E1" s="347"/>
      <c r="F1" s="347"/>
      <c r="G1" s="347"/>
      <c r="H1" s="347"/>
      <c r="I1" s="347"/>
      <c r="J1" s="347"/>
      <c r="K1" s="348"/>
    </row>
    <row r="2" spans="1:11" ht="15.75" thickBot="1" x14ac:dyDescent="0.3">
      <c r="A2" s="455"/>
      <c r="B2" s="456"/>
      <c r="C2" s="465" t="s">
        <v>1096</v>
      </c>
      <c r="D2" s="466"/>
      <c r="E2" s="362" t="s">
        <v>1097</v>
      </c>
      <c r="F2" s="459" t="s">
        <v>1098</v>
      </c>
      <c r="G2" s="460"/>
      <c r="H2" s="460"/>
      <c r="I2" s="460"/>
      <c r="J2" s="460"/>
      <c r="K2" s="461"/>
    </row>
    <row r="3" spans="1:11" ht="15.75" thickBot="1" x14ac:dyDescent="0.3">
      <c r="A3" s="455"/>
      <c r="B3" s="456"/>
      <c r="C3" s="445"/>
      <c r="D3" s="359"/>
      <c r="E3" s="363"/>
      <c r="F3" s="462" t="s">
        <v>1099</v>
      </c>
      <c r="G3" s="464"/>
      <c r="H3" s="462" t="s">
        <v>1100</v>
      </c>
      <c r="I3" s="463"/>
      <c r="J3" s="463"/>
      <c r="K3" s="464"/>
    </row>
    <row r="4" spans="1:11" ht="15.75" thickBot="1" x14ac:dyDescent="0.3">
      <c r="A4" s="457"/>
      <c r="B4" s="458"/>
      <c r="C4" s="344" t="s">
        <v>873</v>
      </c>
      <c r="D4" s="345"/>
      <c r="E4" s="32" t="s">
        <v>1101</v>
      </c>
      <c r="F4" s="180"/>
      <c r="G4" s="180"/>
      <c r="H4" s="181" t="s">
        <v>1102</v>
      </c>
      <c r="I4" s="181" t="s">
        <v>1102</v>
      </c>
      <c r="J4" s="181" t="s">
        <v>1103</v>
      </c>
      <c r="K4" s="181" t="s">
        <v>1103</v>
      </c>
    </row>
    <row r="5" spans="1:11" ht="15.75" thickBot="1" x14ac:dyDescent="0.3">
      <c r="A5" s="182" t="s">
        <v>1104</v>
      </c>
      <c r="B5" s="11" t="s">
        <v>1097</v>
      </c>
      <c r="C5" s="183" t="s">
        <v>1105</v>
      </c>
      <c r="D5" s="12">
        <v>4140</v>
      </c>
      <c r="E5" s="183" t="s">
        <v>1106</v>
      </c>
      <c r="F5" s="28" t="s">
        <v>1107</v>
      </c>
      <c r="G5" s="28" t="s">
        <v>1108</v>
      </c>
      <c r="H5" s="11" t="s">
        <v>1107</v>
      </c>
      <c r="I5" s="11" t="s">
        <v>1108</v>
      </c>
      <c r="J5" s="12" t="s">
        <v>1107</v>
      </c>
      <c r="K5" s="12" t="s">
        <v>1108</v>
      </c>
    </row>
    <row r="6" spans="1:11" x14ac:dyDescent="0.25">
      <c r="A6" s="184" t="s">
        <v>1109</v>
      </c>
      <c r="B6" s="14" t="s">
        <v>1110</v>
      </c>
      <c r="C6" s="185">
        <v>2565</v>
      </c>
      <c r="D6" s="185">
        <v>3552</v>
      </c>
      <c r="E6" s="185">
        <v>7288</v>
      </c>
      <c r="F6" s="185">
        <v>3829</v>
      </c>
      <c r="G6" s="185">
        <v>5743</v>
      </c>
      <c r="H6" s="185">
        <v>5016</v>
      </c>
      <c r="I6" s="185">
        <v>7524</v>
      </c>
      <c r="J6" s="185">
        <v>16641</v>
      </c>
      <c r="K6" s="185">
        <v>24962</v>
      </c>
    </row>
    <row r="7" spans="1:11" x14ac:dyDescent="0.25">
      <c r="A7" s="186" t="s">
        <v>1109</v>
      </c>
      <c r="B7" s="16" t="s">
        <v>1111</v>
      </c>
      <c r="C7" s="187">
        <v>2565</v>
      </c>
      <c r="D7" s="187">
        <v>3552</v>
      </c>
      <c r="E7" s="187">
        <v>9501</v>
      </c>
      <c r="F7" s="187">
        <v>3829</v>
      </c>
      <c r="G7" s="187">
        <v>5743</v>
      </c>
      <c r="H7" s="187">
        <v>5016</v>
      </c>
      <c r="I7" s="187">
        <v>7524</v>
      </c>
      <c r="J7" s="187">
        <v>16641</v>
      </c>
      <c r="K7" s="187">
        <v>24962</v>
      </c>
    </row>
    <row r="8" spans="1:11" x14ac:dyDescent="0.25">
      <c r="A8" s="184" t="s">
        <v>1109</v>
      </c>
      <c r="B8" s="14" t="s">
        <v>1112</v>
      </c>
      <c r="C8" s="185">
        <v>2565</v>
      </c>
      <c r="D8" s="185">
        <v>3552</v>
      </c>
      <c r="E8" s="185">
        <v>13832</v>
      </c>
      <c r="F8" s="185">
        <v>3829</v>
      </c>
      <c r="G8" s="185">
        <v>5743</v>
      </c>
      <c r="H8" s="185">
        <v>8945</v>
      </c>
      <c r="I8" s="185">
        <v>13417</v>
      </c>
      <c r="J8" s="185">
        <v>22070</v>
      </c>
      <c r="K8" s="185">
        <v>33105</v>
      </c>
    </row>
    <row r="9" spans="1:11" x14ac:dyDescent="0.25">
      <c r="A9" s="186" t="s">
        <v>1109</v>
      </c>
      <c r="B9" s="16" t="s">
        <v>1113</v>
      </c>
      <c r="C9" s="187">
        <v>2565</v>
      </c>
      <c r="D9" s="187">
        <v>3552</v>
      </c>
      <c r="E9" s="187">
        <v>17402</v>
      </c>
      <c r="F9" s="187">
        <v>3829</v>
      </c>
      <c r="G9" s="187">
        <v>5743</v>
      </c>
      <c r="H9" s="187">
        <v>8945</v>
      </c>
      <c r="I9" s="187">
        <v>13417</v>
      </c>
      <c r="J9" s="187">
        <v>22070</v>
      </c>
      <c r="K9" s="187">
        <v>33105</v>
      </c>
    </row>
    <row r="10" spans="1:11" x14ac:dyDescent="0.25">
      <c r="A10" s="184" t="s">
        <v>1114</v>
      </c>
      <c r="B10" s="14" t="s">
        <v>1112</v>
      </c>
      <c r="C10" s="185">
        <v>6354</v>
      </c>
      <c r="D10" s="185">
        <v>8798</v>
      </c>
      <c r="E10" s="185">
        <v>13832</v>
      </c>
      <c r="F10" s="185">
        <v>7977</v>
      </c>
      <c r="G10" s="185">
        <v>11965</v>
      </c>
      <c r="H10" s="185">
        <v>7888</v>
      </c>
      <c r="I10" s="185">
        <v>11833</v>
      </c>
      <c r="J10" s="185">
        <v>26170</v>
      </c>
      <c r="K10" s="185">
        <v>39254</v>
      </c>
    </row>
    <row r="11" spans="1:11" ht="22.5" x14ac:dyDescent="0.25">
      <c r="A11" s="186" t="s">
        <v>1114</v>
      </c>
      <c r="B11" s="18" t="s">
        <v>1115</v>
      </c>
      <c r="C11" s="187">
        <v>6354</v>
      </c>
      <c r="D11" s="187">
        <v>8798</v>
      </c>
      <c r="E11" s="187">
        <v>17402</v>
      </c>
      <c r="F11" s="187">
        <v>7977</v>
      </c>
      <c r="G11" s="187">
        <v>11965</v>
      </c>
      <c r="H11" s="187">
        <v>7888</v>
      </c>
      <c r="I11" s="187">
        <v>11833</v>
      </c>
      <c r="J11" s="187">
        <v>26170</v>
      </c>
      <c r="K11" s="187">
        <v>39254</v>
      </c>
    </row>
    <row r="12" spans="1:11" x14ac:dyDescent="0.25">
      <c r="A12" s="184" t="s">
        <v>1114</v>
      </c>
      <c r="B12" s="14" t="s">
        <v>1116</v>
      </c>
      <c r="C12" s="185">
        <v>6354</v>
      </c>
      <c r="D12" s="185">
        <v>8798</v>
      </c>
      <c r="E12" s="185">
        <v>22413</v>
      </c>
      <c r="F12" s="185">
        <v>7977</v>
      </c>
      <c r="G12" s="185">
        <v>11965</v>
      </c>
      <c r="H12" s="185">
        <v>15345</v>
      </c>
      <c r="I12" s="185">
        <v>23018</v>
      </c>
      <c r="J12" s="185">
        <v>35970</v>
      </c>
      <c r="K12" s="185">
        <v>53955</v>
      </c>
    </row>
    <row r="13" spans="1:11" x14ac:dyDescent="0.25">
      <c r="A13" s="186" t="s">
        <v>1114</v>
      </c>
      <c r="B13" s="16" t="s">
        <v>1117</v>
      </c>
      <c r="C13" s="187">
        <v>6354</v>
      </c>
      <c r="D13" s="187">
        <v>8798</v>
      </c>
      <c r="E13" s="187">
        <v>28929</v>
      </c>
      <c r="F13" s="187">
        <v>7977</v>
      </c>
      <c r="G13" s="187">
        <v>11965</v>
      </c>
      <c r="H13" s="187">
        <v>15345</v>
      </c>
      <c r="I13" s="187">
        <v>23018</v>
      </c>
      <c r="J13" s="187">
        <v>35970</v>
      </c>
      <c r="K13" s="187">
        <v>53955</v>
      </c>
    </row>
    <row r="14" spans="1:11" x14ac:dyDescent="0.25">
      <c r="A14" s="184" t="s">
        <v>1114</v>
      </c>
      <c r="B14" s="14" t="s">
        <v>1118</v>
      </c>
      <c r="C14" s="185">
        <v>6354</v>
      </c>
      <c r="D14" s="185">
        <v>8798</v>
      </c>
      <c r="E14" s="185">
        <v>42631</v>
      </c>
      <c r="F14" s="185">
        <v>7977</v>
      </c>
      <c r="G14" s="185">
        <v>11965</v>
      </c>
      <c r="H14" s="185">
        <v>18598</v>
      </c>
      <c r="I14" s="185">
        <v>27896</v>
      </c>
      <c r="J14" s="185">
        <v>40123</v>
      </c>
      <c r="K14" s="185">
        <v>60184</v>
      </c>
    </row>
    <row r="15" spans="1:11" x14ac:dyDescent="0.25">
      <c r="A15" s="186" t="s">
        <v>1119</v>
      </c>
      <c r="B15" s="16" t="s">
        <v>1116</v>
      </c>
      <c r="C15" s="187">
        <v>12558</v>
      </c>
      <c r="D15" s="187">
        <v>17388</v>
      </c>
      <c r="E15" s="187">
        <v>22413</v>
      </c>
      <c r="F15" s="187">
        <v>9722</v>
      </c>
      <c r="G15" s="187">
        <v>14582</v>
      </c>
      <c r="H15" s="187">
        <v>11689</v>
      </c>
      <c r="I15" s="187">
        <v>17534</v>
      </c>
      <c r="J15" s="187">
        <v>33955</v>
      </c>
      <c r="K15" s="187">
        <v>50933</v>
      </c>
    </row>
    <row r="16" spans="1:11" x14ac:dyDescent="0.25">
      <c r="A16" s="184" t="s">
        <v>1119</v>
      </c>
      <c r="B16" s="14" t="s">
        <v>1117</v>
      </c>
      <c r="C16" s="185">
        <v>12558</v>
      </c>
      <c r="D16" s="185">
        <v>17388</v>
      </c>
      <c r="E16" s="185">
        <v>28929</v>
      </c>
      <c r="F16" s="185">
        <v>9722</v>
      </c>
      <c r="G16" s="185">
        <v>14582</v>
      </c>
      <c r="H16" s="185">
        <v>11689</v>
      </c>
      <c r="I16" s="185">
        <v>17534</v>
      </c>
      <c r="J16" s="185">
        <v>33955</v>
      </c>
      <c r="K16" s="185">
        <v>50933</v>
      </c>
    </row>
    <row r="17" spans="1:11" x14ac:dyDescent="0.25">
      <c r="A17" s="186" t="s">
        <v>1119</v>
      </c>
      <c r="B17" s="16" t="s">
        <v>1118</v>
      </c>
      <c r="C17" s="187">
        <v>12558</v>
      </c>
      <c r="D17" s="187">
        <v>17388</v>
      </c>
      <c r="E17" s="187">
        <v>42631</v>
      </c>
      <c r="F17" s="187">
        <v>9722</v>
      </c>
      <c r="G17" s="187">
        <v>14582</v>
      </c>
      <c r="H17" s="187">
        <v>14942</v>
      </c>
      <c r="I17" s="187">
        <v>22413</v>
      </c>
      <c r="J17" s="187">
        <v>38107</v>
      </c>
      <c r="K17" s="187">
        <v>57161</v>
      </c>
    </row>
    <row r="18" spans="1:11" x14ac:dyDescent="0.25">
      <c r="A18" s="184" t="s">
        <v>1119</v>
      </c>
      <c r="B18" s="14" t="s">
        <v>1120</v>
      </c>
      <c r="C18" s="185">
        <v>12558</v>
      </c>
      <c r="D18" s="185">
        <v>17388</v>
      </c>
      <c r="E18" s="185">
        <v>31120</v>
      </c>
      <c r="F18" s="185">
        <v>9722</v>
      </c>
      <c r="G18" s="185">
        <v>14582</v>
      </c>
      <c r="H18" s="185">
        <v>18709</v>
      </c>
      <c r="I18" s="185">
        <v>28063</v>
      </c>
      <c r="J18" s="185">
        <v>42850</v>
      </c>
      <c r="K18" s="185">
        <v>64274</v>
      </c>
    </row>
    <row r="19" spans="1:11" x14ac:dyDescent="0.25">
      <c r="A19" s="186" t="s">
        <v>1119</v>
      </c>
      <c r="B19" s="16" t="s">
        <v>1121</v>
      </c>
      <c r="C19" s="187">
        <v>12558</v>
      </c>
      <c r="D19" s="187">
        <v>17388</v>
      </c>
      <c r="E19" s="187">
        <v>40821</v>
      </c>
      <c r="F19" s="187">
        <v>9722</v>
      </c>
      <c r="G19" s="187">
        <v>14582</v>
      </c>
      <c r="H19" s="187">
        <v>18709</v>
      </c>
      <c r="I19" s="187">
        <v>28063</v>
      </c>
      <c r="J19" s="187">
        <v>42850</v>
      </c>
      <c r="K19" s="187">
        <v>64274</v>
      </c>
    </row>
    <row r="20" spans="1:11" ht="22.5" x14ac:dyDescent="0.25">
      <c r="A20" s="184" t="s">
        <v>1119</v>
      </c>
      <c r="B20" s="17" t="s">
        <v>1122</v>
      </c>
      <c r="C20" s="185">
        <v>12558</v>
      </c>
      <c r="D20" s="185">
        <v>17388</v>
      </c>
      <c r="E20" s="185">
        <v>58736</v>
      </c>
      <c r="F20" s="185">
        <v>9722</v>
      </c>
      <c r="G20" s="185">
        <v>14582</v>
      </c>
      <c r="H20" s="185">
        <v>22411</v>
      </c>
      <c r="I20" s="185">
        <v>33617</v>
      </c>
      <c r="J20" s="185">
        <v>47452</v>
      </c>
      <c r="K20" s="185">
        <v>71178</v>
      </c>
    </row>
    <row r="21" spans="1:11" x14ac:dyDescent="0.25">
      <c r="A21" s="186" t="s">
        <v>1123</v>
      </c>
      <c r="B21" s="16" t="s">
        <v>1120</v>
      </c>
      <c r="C21" s="187">
        <v>23693</v>
      </c>
      <c r="D21" s="187">
        <v>32806</v>
      </c>
      <c r="E21" s="187">
        <v>31120</v>
      </c>
      <c r="F21" s="187">
        <v>17230</v>
      </c>
      <c r="G21" s="187">
        <v>25845</v>
      </c>
      <c r="H21" s="187">
        <v>15537</v>
      </c>
      <c r="I21" s="187">
        <v>23306</v>
      </c>
      <c r="J21" s="187">
        <v>47037</v>
      </c>
      <c r="K21" s="187">
        <v>70556</v>
      </c>
    </row>
    <row r="22" spans="1:11" ht="22.5" x14ac:dyDescent="0.25">
      <c r="A22" s="184" t="s">
        <v>1123</v>
      </c>
      <c r="B22" s="17" t="s">
        <v>1124</v>
      </c>
      <c r="C22" s="185">
        <v>23693</v>
      </c>
      <c r="D22" s="185">
        <v>32806</v>
      </c>
      <c r="E22" s="185">
        <v>40821</v>
      </c>
      <c r="F22" s="185">
        <v>17230</v>
      </c>
      <c r="G22" s="185">
        <v>25845</v>
      </c>
      <c r="H22" s="185">
        <v>15537</v>
      </c>
      <c r="I22" s="185">
        <v>23306</v>
      </c>
      <c r="J22" s="185">
        <v>47037</v>
      </c>
      <c r="K22" s="185">
        <v>70556</v>
      </c>
    </row>
    <row r="23" spans="1:11" ht="22.5" x14ac:dyDescent="0.25">
      <c r="A23" s="186" t="s">
        <v>1123</v>
      </c>
      <c r="B23" s="18" t="s">
        <v>1122</v>
      </c>
      <c r="C23" s="187">
        <v>23693</v>
      </c>
      <c r="D23" s="187">
        <v>32806</v>
      </c>
      <c r="E23" s="187">
        <v>58736</v>
      </c>
      <c r="F23" s="187">
        <v>17230</v>
      </c>
      <c r="G23" s="187">
        <v>25845</v>
      </c>
      <c r="H23" s="187">
        <v>19980</v>
      </c>
      <c r="I23" s="187">
        <v>29970</v>
      </c>
      <c r="J23" s="187">
        <v>52560</v>
      </c>
      <c r="K23" s="187">
        <v>78840</v>
      </c>
    </row>
    <row r="24" spans="1:11" x14ac:dyDescent="0.25">
      <c r="A24" s="184" t="s">
        <v>1123</v>
      </c>
      <c r="B24" s="14" t="s">
        <v>1125</v>
      </c>
      <c r="C24" s="185">
        <v>23693</v>
      </c>
      <c r="D24" s="185">
        <v>32806</v>
      </c>
      <c r="E24" s="185">
        <v>41788</v>
      </c>
      <c r="F24" s="185">
        <v>17230</v>
      </c>
      <c r="G24" s="185">
        <v>25845</v>
      </c>
      <c r="H24" s="185">
        <v>25085</v>
      </c>
      <c r="I24" s="185">
        <v>37627</v>
      </c>
      <c r="J24" s="185">
        <v>58835</v>
      </c>
      <c r="K24" s="185">
        <v>88252</v>
      </c>
    </row>
    <row r="25" spans="1:11" x14ac:dyDescent="0.25">
      <c r="A25" s="186" t="s">
        <v>1123</v>
      </c>
      <c r="B25" s="16" t="s">
        <v>1126</v>
      </c>
      <c r="C25" s="187">
        <v>23693</v>
      </c>
      <c r="D25" s="187">
        <v>32806</v>
      </c>
      <c r="E25" s="187">
        <v>55527</v>
      </c>
      <c r="F25" s="187">
        <v>17230</v>
      </c>
      <c r="G25" s="187">
        <v>25845</v>
      </c>
      <c r="H25" s="187">
        <v>25085</v>
      </c>
      <c r="I25" s="187">
        <v>37627</v>
      </c>
      <c r="J25" s="187">
        <v>58835</v>
      </c>
      <c r="K25" s="187">
        <v>88252</v>
      </c>
    </row>
    <row r="26" spans="1:11" x14ac:dyDescent="0.25">
      <c r="A26" s="184" t="s">
        <v>1123</v>
      </c>
      <c r="B26" s="14" t="s">
        <v>1127</v>
      </c>
      <c r="C26" s="185">
        <v>23693</v>
      </c>
      <c r="D26" s="185">
        <v>32806</v>
      </c>
      <c r="E26" s="185">
        <v>78223</v>
      </c>
      <c r="F26" s="185">
        <v>17230</v>
      </c>
      <c r="G26" s="185">
        <v>25845</v>
      </c>
      <c r="H26" s="185">
        <v>30067</v>
      </c>
      <c r="I26" s="185">
        <v>45100</v>
      </c>
      <c r="J26" s="185">
        <v>64897</v>
      </c>
      <c r="K26" s="185">
        <v>97345</v>
      </c>
    </row>
    <row r="27" spans="1:11" x14ac:dyDescent="0.25">
      <c r="A27" s="186" t="s">
        <v>1128</v>
      </c>
      <c r="B27" s="16" t="s">
        <v>1125</v>
      </c>
      <c r="C27" s="187">
        <v>35490</v>
      </c>
      <c r="D27" s="187">
        <v>49140</v>
      </c>
      <c r="E27" s="187">
        <v>41788</v>
      </c>
      <c r="F27" s="187">
        <v>26872</v>
      </c>
      <c r="G27" s="187">
        <v>40307</v>
      </c>
      <c r="H27" s="187">
        <v>21857</v>
      </c>
      <c r="I27" s="187">
        <v>32785</v>
      </c>
      <c r="J27" s="187">
        <v>63529</v>
      </c>
      <c r="K27" s="187">
        <v>95293</v>
      </c>
    </row>
    <row r="28" spans="1:11" x14ac:dyDescent="0.25">
      <c r="A28" s="184" t="s">
        <v>1128</v>
      </c>
      <c r="B28" s="14" t="s">
        <v>1129</v>
      </c>
      <c r="C28" s="185">
        <v>35490</v>
      </c>
      <c r="D28" s="185">
        <v>49140</v>
      </c>
      <c r="E28" s="185">
        <v>55527</v>
      </c>
      <c r="F28" s="185">
        <v>26872</v>
      </c>
      <c r="G28" s="185">
        <v>40307</v>
      </c>
      <c r="H28" s="185">
        <v>21857</v>
      </c>
      <c r="I28" s="185">
        <v>32785</v>
      </c>
      <c r="J28" s="185">
        <v>63529</v>
      </c>
      <c r="K28" s="185">
        <v>95293</v>
      </c>
    </row>
    <row r="29" spans="1:11" x14ac:dyDescent="0.25">
      <c r="A29" s="186" t="s">
        <v>1128</v>
      </c>
      <c r="B29" s="16" t="s">
        <v>1127</v>
      </c>
      <c r="C29" s="187">
        <v>35490</v>
      </c>
      <c r="D29" s="187">
        <v>49140</v>
      </c>
      <c r="E29" s="187">
        <v>78223</v>
      </c>
      <c r="F29" s="187">
        <v>26872</v>
      </c>
      <c r="G29" s="187">
        <v>40307</v>
      </c>
      <c r="H29" s="187">
        <v>27670</v>
      </c>
      <c r="I29" s="187">
        <v>41504</v>
      </c>
      <c r="J29" s="187">
        <v>70601</v>
      </c>
      <c r="K29" s="187">
        <v>105902</v>
      </c>
    </row>
    <row r="30" spans="1:11" x14ac:dyDescent="0.25">
      <c r="A30" s="184" t="s">
        <v>1128</v>
      </c>
      <c r="B30" s="14" t="s">
        <v>1130</v>
      </c>
      <c r="C30" s="185">
        <v>35490</v>
      </c>
      <c r="D30" s="185">
        <v>49140</v>
      </c>
      <c r="E30" s="185">
        <v>70791</v>
      </c>
      <c r="F30" s="185">
        <v>26872</v>
      </c>
      <c r="G30" s="185">
        <v>40307</v>
      </c>
      <c r="H30" s="185">
        <v>49884</v>
      </c>
      <c r="I30" s="185">
        <v>74826</v>
      </c>
      <c r="J30" s="185">
        <v>97134</v>
      </c>
      <c r="K30" s="185">
        <v>145701</v>
      </c>
    </row>
    <row r="31" spans="1:11" x14ac:dyDescent="0.25">
      <c r="A31" s="186" t="s">
        <v>1128</v>
      </c>
      <c r="B31" s="16" t="s">
        <v>1131</v>
      </c>
      <c r="C31" s="187">
        <v>35490</v>
      </c>
      <c r="D31" s="187">
        <v>49140</v>
      </c>
      <c r="E31" s="187">
        <v>96539</v>
      </c>
      <c r="F31" s="187">
        <v>26872</v>
      </c>
      <c r="G31" s="187">
        <v>40307</v>
      </c>
      <c r="H31" s="187">
        <v>49884</v>
      </c>
      <c r="I31" s="187">
        <v>74826</v>
      </c>
      <c r="J31" s="187">
        <v>97134</v>
      </c>
      <c r="K31" s="187">
        <v>145701</v>
      </c>
    </row>
    <row r="32" spans="1:11" x14ac:dyDescent="0.25">
      <c r="A32" s="184" t="s">
        <v>1128</v>
      </c>
      <c r="B32" s="14" t="s">
        <v>1132</v>
      </c>
      <c r="C32" s="185">
        <v>35490</v>
      </c>
      <c r="D32" s="185">
        <v>49140</v>
      </c>
      <c r="E32" s="185">
        <v>135502</v>
      </c>
      <c r="F32" s="185">
        <v>26872</v>
      </c>
      <c r="G32" s="185">
        <v>40307</v>
      </c>
      <c r="H32" s="185">
        <v>57890</v>
      </c>
      <c r="I32" s="185">
        <v>86834</v>
      </c>
      <c r="J32" s="185">
        <v>106547</v>
      </c>
      <c r="K32" s="185">
        <v>159820</v>
      </c>
    </row>
    <row r="33" spans="1:11" ht="15.75" customHeight="1" x14ac:dyDescent="0.25">
      <c r="A33" s="186" t="s">
        <v>1128</v>
      </c>
      <c r="B33" s="16" t="s">
        <v>1133</v>
      </c>
      <c r="C33" s="187">
        <v>35490</v>
      </c>
      <c r="D33" s="187">
        <v>49140</v>
      </c>
      <c r="E33" s="187">
        <v>110445</v>
      </c>
      <c r="F33" s="187">
        <v>26872</v>
      </c>
      <c r="G33" s="187">
        <v>40307</v>
      </c>
      <c r="H33" s="187">
        <v>83838</v>
      </c>
      <c r="I33" s="187">
        <v>125757</v>
      </c>
      <c r="J33" s="187">
        <v>136666</v>
      </c>
      <c r="K33" s="187">
        <v>205000</v>
      </c>
    </row>
    <row r="34" spans="1:11" ht="15.75" customHeight="1" x14ac:dyDescent="0.25">
      <c r="A34" s="184" t="s">
        <v>1128</v>
      </c>
      <c r="B34" s="14" t="s">
        <v>1134</v>
      </c>
      <c r="C34" s="185">
        <v>35490</v>
      </c>
      <c r="D34" s="185">
        <v>49140</v>
      </c>
      <c r="E34" s="185">
        <v>158907</v>
      </c>
      <c r="F34" s="185">
        <v>26872</v>
      </c>
      <c r="G34" s="185">
        <v>40307</v>
      </c>
      <c r="H34" s="185">
        <v>83838</v>
      </c>
      <c r="I34" s="185">
        <v>125757</v>
      </c>
      <c r="J34" s="185">
        <v>136666</v>
      </c>
      <c r="K34" s="185">
        <v>205000</v>
      </c>
    </row>
    <row r="35" spans="1:11" x14ac:dyDescent="0.25">
      <c r="A35" s="186" t="s">
        <v>1128</v>
      </c>
      <c r="B35" s="16" t="s">
        <v>1135</v>
      </c>
      <c r="C35" s="187">
        <v>35490</v>
      </c>
      <c r="D35" s="187">
        <v>49140</v>
      </c>
      <c r="E35" s="187">
        <v>214041</v>
      </c>
      <c r="F35" s="187">
        <v>26872</v>
      </c>
      <c r="G35" s="187">
        <v>40307</v>
      </c>
      <c r="H35" s="187">
        <v>93339</v>
      </c>
      <c r="I35" s="187">
        <v>140008</v>
      </c>
      <c r="J35" s="187">
        <v>147574</v>
      </c>
      <c r="K35" s="187">
        <v>221361</v>
      </c>
    </row>
    <row r="36" spans="1:11" x14ac:dyDescent="0.25">
      <c r="A36" s="184" t="s">
        <v>1136</v>
      </c>
      <c r="B36" s="14" t="s">
        <v>1133</v>
      </c>
      <c r="C36" s="185">
        <v>50538</v>
      </c>
      <c r="D36" s="185">
        <v>69975</v>
      </c>
      <c r="E36" s="185">
        <v>110445</v>
      </c>
      <c r="F36" s="185">
        <v>50881</v>
      </c>
      <c r="G36" s="185">
        <v>76322</v>
      </c>
      <c r="H36" s="185">
        <v>95253</v>
      </c>
      <c r="I36" s="185">
        <v>142879</v>
      </c>
      <c r="J36" s="185">
        <v>166550</v>
      </c>
      <c r="K36" s="185">
        <v>249824</v>
      </c>
    </row>
    <row r="37" spans="1:11" x14ac:dyDescent="0.25">
      <c r="A37" s="186" t="s">
        <v>1136</v>
      </c>
      <c r="B37" s="16" t="s">
        <v>1134</v>
      </c>
      <c r="C37" s="187">
        <v>50538</v>
      </c>
      <c r="D37" s="187">
        <v>69975</v>
      </c>
      <c r="E37" s="187">
        <v>158907</v>
      </c>
      <c r="F37" s="187">
        <v>50881</v>
      </c>
      <c r="G37" s="187">
        <v>76322</v>
      </c>
      <c r="H37" s="187">
        <v>95253</v>
      </c>
      <c r="I37" s="187">
        <v>142879</v>
      </c>
      <c r="J37" s="187">
        <v>166550</v>
      </c>
      <c r="K37" s="187">
        <v>249824</v>
      </c>
    </row>
    <row r="38" spans="1:11" x14ac:dyDescent="0.25">
      <c r="A38" s="184" t="s">
        <v>1136</v>
      </c>
      <c r="B38" s="14" t="s">
        <v>1135</v>
      </c>
      <c r="C38" s="185">
        <v>50538</v>
      </c>
      <c r="D38" s="185">
        <v>69975</v>
      </c>
      <c r="E38" s="185">
        <v>214041</v>
      </c>
      <c r="F38" s="185">
        <v>50881</v>
      </c>
      <c r="G38" s="185">
        <v>76322</v>
      </c>
      <c r="H38" s="185">
        <v>107466</v>
      </c>
      <c r="I38" s="185">
        <v>161198</v>
      </c>
      <c r="J38" s="185">
        <v>180572</v>
      </c>
      <c r="K38" s="185">
        <v>270857</v>
      </c>
    </row>
    <row r="39" spans="1:11" x14ac:dyDescent="0.25">
      <c r="A39" s="186" t="s">
        <v>1136</v>
      </c>
      <c r="B39" s="16" t="s">
        <v>1137</v>
      </c>
      <c r="C39" s="187">
        <v>50538</v>
      </c>
      <c r="D39" s="187">
        <v>69975</v>
      </c>
      <c r="E39" s="187">
        <v>218518</v>
      </c>
      <c r="F39" s="187">
        <v>50881</v>
      </c>
      <c r="G39" s="187">
        <v>76322</v>
      </c>
      <c r="H39" s="187">
        <v>198086</v>
      </c>
      <c r="I39" s="187">
        <v>297128</v>
      </c>
      <c r="J39" s="187">
        <v>282882</v>
      </c>
      <c r="K39" s="187">
        <v>424324</v>
      </c>
    </row>
    <row r="40" spans="1:11" x14ac:dyDescent="0.25">
      <c r="A40" s="184" t="s">
        <v>1136</v>
      </c>
      <c r="B40" s="14" t="s">
        <v>1138</v>
      </c>
      <c r="C40" s="185">
        <v>50538</v>
      </c>
      <c r="D40" s="185">
        <v>69975</v>
      </c>
      <c r="E40" s="185">
        <v>318681</v>
      </c>
      <c r="F40" s="185">
        <v>50881</v>
      </c>
      <c r="G40" s="185">
        <v>76322</v>
      </c>
      <c r="H40" s="185">
        <v>198086</v>
      </c>
      <c r="I40" s="185">
        <v>297128</v>
      </c>
      <c r="J40" s="185">
        <v>282882</v>
      </c>
      <c r="K40" s="185">
        <v>424324</v>
      </c>
    </row>
    <row r="41" spans="1:11" x14ac:dyDescent="0.25">
      <c r="A41" s="186" t="s">
        <v>1136</v>
      </c>
      <c r="B41" s="16" t="s">
        <v>1139</v>
      </c>
      <c r="C41" s="187">
        <v>50538</v>
      </c>
      <c r="D41" s="187">
        <v>69975</v>
      </c>
      <c r="E41" s="187">
        <v>413200</v>
      </c>
      <c r="F41" s="187">
        <v>50881</v>
      </c>
      <c r="G41" s="187">
        <v>76322</v>
      </c>
      <c r="H41" s="187">
        <v>214036</v>
      </c>
      <c r="I41" s="187">
        <v>321055</v>
      </c>
      <c r="J41" s="187">
        <v>300656</v>
      </c>
      <c r="K41" s="187">
        <v>450984</v>
      </c>
    </row>
    <row r="42" spans="1:11" x14ac:dyDescent="0.25">
      <c r="A42" s="184" t="s">
        <v>1140</v>
      </c>
      <c r="B42" s="14" t="s">
        <v>1133</v>
      </c>
      <c r="C42" s="185">
        <v>72966</v>
      </c>
      <c r="D42" s="188">
        <v>101030</v>
      </c>
      <c r="E42" s="185">
        <v>110445</v>
      </c>
      <c r="F42" s="185">
        <v>70793</v>
      </c>
      <c r="G42" s="188">
        <v>106190</v>
      </c>
      <c r="H42" s="185">
        <v>90104</v>
      </c>
      <c r="I42" s="185">
        <v>135156</v>
      </c>
      <c r="J42" s="185">
        <v>173073</v>
      </c>
      <c r="K42" s="185">
        <v>259609</v>
      </c>
    </row>
    <row r="43" spans="1:11" x14ac:dyDescent="0.25">
      <c r="A43" s="186" t="s">
        <v>1140</v>
      </c>
      <c r="B43" s="16" t="s">
        <v>1134</v>
      </c>
      <c r="C43" s="187">
        <v>72966</v>
      </c>
      <c r="D43" s="189">
        <v>101030</v>
      </c>
      <c r="E43" s="187">
        <v>158907</v>
      </c>
      <c r="F43" s="187">
        <v>70793</v>
      </c>
      <c r="G43" s="189">
        <v>106190</v>
      </c>
      <c r="H43" s="187">
        <v>90104</v>
      </c>
      <c r="I43" s="187">
        <v>135156</v>
      </c>
      <c r="J43" s="187">
        <v>173073</v>
      </c>
      <c r="K43" s="187">
        <v>259609</v>
      </c>
    </row>
    <row r="44" spans="1:11" x14ac:dyDescent="0.25">
      <c r="A44" s="184" t="s">
        <v>1140</v>
      </c>
      <c r="B44" s="14" t="s">
        <v>1135</v>
      </c>
      <c r="C44" s="185">
        <v>72966</v>
      </c>
      <c r="D44" s="188">
        <v>101030</v>
      </c>
      <c r="E44" s="185">
        <v>214041</v>
      </c>
      <c r="F44" s="185">
        <v>70793</v>
      </c>
      <c r="G44" s="188">
        <v>106190</v>
      </c>
      <c r="H44" s="185">
        <v>103674</v>
      </c>
      <c r="I44" s="185">
        <v>155511</v>
      </c>
      <c r="J44" s="185">
        <v>188653</v>
      </c>
      <c r="K44" s="185">
        <v>282979</v>
      </c>
    </row>
    <row r="45" spans="1:11" x14ac:dyDescent="0.25">
      <c r="A45" s="186" t="s">
        <v>1140</v>
      </c>
      <c r="B45" s="16" t="s">
        <v>1137</v>
      </c>
      <c r="C45" s="187">
        <v>72966</v>
      </c>
      <c r="D45" s="189">
        <v>101030</v>
      </c>
      <c r="E45" s="187">
        <v>218518</v>
      </c>
      <c r="F45" s="187">
        <v>70793</v>
      </c>
      <c r="G45" s="189">
        <v>106190</v>
      </c>
      <c r="H45" s="187">
        <v>204363</v>
      </c>
      <c r="I45" s="187">
        <v>306544</v>
      </c>
      <c r="J45" s="187">
        <v>302332</v>
      </c>
      <c r="K45" s="187">
        <v>453497</v>
      </c>
    </row>
    <row r="46" spans="1:11" x14ac:dyDescent="0.25">
      <c r="A46" s="184" t="s">
        <v>1140</v>
      </c>
      <c r="B46" s="14" t="s">
        <v>1138</v>
      </c>
      <c r="C46" s="185">
        <v>72966</v>
      </c>
      <c r="D46" s="188">
        <v>101030</v>
      </c>
      <c r="E46" s="185">
        <v>318681</v>
      </c>
      <c r="F46" s="185">
        <v>70793</v>
      </c>
      <c r="G46" s="188">
        <v>106190</v>
      </c>
      <c r="H46" s="185">
        <v>204363</v>
      </c>
      <c r="I46" s="185">
        <v>306544</v>
      </c>
      <c r="J46" s="185">
        <v>302332</v>
      </c>
      <c r="K46" s="185">
        <v>453497</v>
      </c>
    </row>
    <row r="47" spans="1:11" x14ac:dyDescent="0.25">
      <c r="A47" s="186" t="s">
        <v>1140</v>
      </c>
      <c r="B47" s="16" t="s">
        <v>1139</v>
      </c>
      <c r="C47" s="187">
        <v>72966</v>
      </c>
      <c r="D47" s="189">
        <v>101030</v>
      </c>
      <c r="E47" s="187">
        <v>413200</v>
      </c>
      <c r="F47" s="187">
        <v>70793</v>
      </c>
      <c r="G47" s="189">
        <v>106190</v>
      </c>
      <c r="H47" s="187">
        <v>222086</v>
      </c>
      <c r="I47" s="187">
        <v>333129</v>
      </c>
      <c r="J47" s="187">
        <v>322080</v>
      </c>
      <c r="K47" s="187">
        <v>483120</v>
      </c>
    </row>
    <row r="48" spans="1:11" x14ac:dyDescent="0.25">
      <c r="A48" s="184" t="s">
        <v>1141</v>
      </c>
      <c r="B48" s="14" t="s">
        <v>1137</v>
      </c>
      <c r="C48" s="185">
        <v>97404</v>
      </c>
      <c r="D48" s="188">
        <v>119882</v>
      </c>
      <c r="E48" s="185">
        <v>218518</v>
      </c>
      <c r="F48" s="188">
        <v>113429</v>
      </c>
      <c r="G48" s="188">
        <v>170143</v>
      </c>
      <c r="H48" s="185">
        <v>223985</v>
      </c>
      <c r="I48" s="185">
        <v>335977</v>
      </c>
      <c r="J48" s="185">
        <v>346047</v>
      </c>
      <c r="K48" s="185">
        <v>519071</v>
      </c>
    </row>
    <row r="49" spans="1:11" x14ac:dyDescent="0.25">
      <c r="A49" s="186" t="s">
        <v>1141</v>
      </c>
      <c r="B49" s="16" t="s">
        <v>1138</v>
      </c>
      <c r="C49" s="187">
        <v>97404</v>
      </c>
      <c r="D49" s="189">
        <v>119882</v>
      </c>
      <c r="E49" s="187">
        <v>318681</v>
      </c>
      <c r="F49" s="189">
        <v>113429</v>
      </c>
      <c r="G49" s="189">
        <v>170143</v>
      </c>
      <c r="H49" s="187">
        <v>223985</v>
      </c>
      <c r="I49" s="187">
        <v>335977</v>
      </c>
      <c r="J49" s="187">
        <v>346047</v>
      </c>
      <c r="K49" s="187">
        <v>519071</v>
      </c>
    </row>
    <row r="50" spans="1:11" ht="15.75" thickBot="1" x14ac:dyDescent="0.3">
      <c r="A50" s="190" t="s">
        <v>1141</v>
      </c>
      <c r="B50" s="191" t="s">
        <v>1139</v>
      </c>
      <c r="C50" s="192">
        <v>97404</v>
      </c>
      <c r="D50" s="193">
        <v>119882</v>
      </c>
      <c r="E50" s="192">
        <v>413200</v>
      </c>
      <c r="F50" s="193">
        <v>113429</v>
      </c>
      <c r="G50" s="193">
        <v>170143</v>
      </c>
      <c r="H50" s="192">
        <v>245250</v>
      </c>
      <c r="I50" s="192">
        <v>367875</v>
      </c>
      <c r="J50" s="192">
        <v>369743</v>
      </c>
      <c r="K50" s="192">
        <v>554614</v>
      </c>
    </row>
  </sheetData>
  <mergeCells count="8">
    <mergeCell ref="A2:B4"/>
    <mergeCell ref="F2:K2"/>
    <mergeCell ref="H3:K3"/>
    <mergeCell ref="C4:D4"/>
    <mergeCell ref="A1:K1"/>
    <mergeCell ref="C2:D3"/>
    <mergeCell ref="E2:E3"/>
    <mergeCell ref="F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500D-CEDF-44A2-8F5C-719699171635}">
  <dimension ref="A1:K32"/>
  <sheetViews>
    <sheetView zoomScale="98" zoomScaleNormal="98" workbookViewId="0">
      <selection activeCell="J3" sqref="A3:J3"/>
    </sheetView>
  </sheetViews>
  <sheetFormatPr baseColWidth="10" defaultRowHeight="15" x14ac:dyDescent="0.25"/>
  <sheetData>
    <row r="1" spans="1:10" ht="25.5" thickTop="1" thickBot="1" x14ac:dyDescent="0.3">
      <c r="A1" s="249" t="s">
        <v>1197</v>
      </c>
      <c r="B1" s="250" t="s">
        <v>1199</v>
      </c>
      <c r="C1" s="467" t="s">
        <v>1197</v>
      </c>
      <c r="D1" s="468"/>
      <c r="E1" s="250" t="s">
        <v>1201</v>
      </c>
      <c r="F1" s="251" t="s">
        <v>937</v>
      </c>
      <c r="G1" s="469" t="s">
        <v>1203</v>
      </c>
      <c r="H1" s="470"/>
      <c r="I1" s="470"/>
      <c r="J1" s="468"/>
    </row>
    <row r="2" spans="1:10" ht="16.5" thickTop="1" thickBot="1" x14ac:dyDescent="0.3">
      <c r="A2" s="252" t="s">
        <v>1198</v>
      </c>
      <c r="B2" s="253" t="s">
        <v>1200</v>
      </c>
      <c r="C2" s="255" t="s">
        <v>1198</v>
      </c>
      <c r="D2" s="256" t="s">
        <v>1202</v>
      </c>
      <c r="E2" s="253" t="s">
        <v>1202</v>
      </c>
      <c r="F2" s="254" t="s">
        <v>1202</v>
      </c>
      <c r="G2" s="256">
        <v>2</v>
      </c>
      <c r="H2" s="256">
        <v>5</v>
      </c>
      <c r="I2" s="256">
        <v>8</v>
      </c>
      <c r="J2" s="256" t="s">
        <v>1204</v>
      </c>
    </row>
    <row r="3" spans="1:10" ht="16.5" thickTop="1" thickBot="1" x14ac:dyDescent="0.3">
      <c r="A3" s="247" t="s">
        <v>1183</v>
      </c>
      <c r="B3" s="246">
        <v>20</v>
      </c>
      <c r="C3" s="246">
        <v>0.25</v>
      </c>
      <c r="D3" s="246">
        <v>6.35</v>
      </c>
      <c r="E3" s="246">
        <v>5.35</v>
      </c>
      <c r="F3" s="248">
        <v>1.27</v>
      </c>
      <c r="G3" s="246">
        <v>1750</v>
      </c>
      <c r="H3" s="246">
        <v>2700</v>
      </c>
      <c r="I3" s="246">
        <v>3800</v>
      </c>
      <c r="J3" s="246">
        <v>4600</v>
      </c>
    </row>
    <row r="4" spans="1:10" ht="15.75" thickBot="1" x14ac:dyDescent="0.3">
      <c r="A4" s="247" t="s">
        <v>1184</v>
      </c>
      <c r="B4" s="246">
        <v>18</v>
      </c>
      <c r="C4" s="246">
        <v>0.313</v>
      </c>
      <c r="D4" s="246">
        <v>7.9379999999999997</v>
      </c>
      <c r="E4" s="246">
        <v>6.8</v>
      </c>
      <c r="F4" s="248">
        <v>1.411</v>
      </c>
      <c r="G4" s="246">
        <v>2900</v>
      </c>
      <c r="H4" s="246">
        <v>4450</v>
      </c>
      <c r="I4" s="246">
        <v>6300</v>
      </c>
      <c r="J4" s="246">
        <v>7600</v>
      </c>
    </row>
    <row r="5" spans="1:10" ht="15.75" thickBot="1" x14ac:dyDescent="0.3">
      <c r="A5" s="247" t="s">
        <v>1185</v>
      </c>
      <c r="B5" s="246">
        <v>16</v>
      </c>
      <c r="C5" s="246">
        <v>0.375</v>
      </c>
      <c r="D5" s="246">
        <v>9.5250000000000004</v>
      </c>
      <c r="E5" s="246">
        <v>8.25</v>
      </c>
      <c r="F5" s="248">
        <v>1.587</v>
      </c>
      <c r="G5" s="246">
        <v>4250</v>
      </c>
      <c r="H5" s="246">
        <v>6600</v>
      </c>
      <c r="I5" s="246">
        <v>9300</v>
      </c>
      <c r="J5" s="246">
        <v>11250</v>
      </c>
    </row>
    <row r="6" spans="1:10" ht="15.75" thickBot="1" x14ac:dyDescent="0.3">
      <c r="A6" s="247" t="s">
        <v>1186</v>
      </c>
      <c r="B6" s="246">
        <v>14</v>
      </c>
      <c r="C6" s="246">
        <v>0.438</v>
      </c>
      <c r="D6" s="246">
        <v>11.112</v>
      </c>
      <c r="E6" s="246">
        <v>9.65</v>
      </c>
      <c r="F6" s="248">
        <v>1.8140000000000001</v>
      </c>
      <c r="G6" s="246">
        <v>5850</v>
      </c>
      <c r="H6" s="246">
        <v>9050</v>
      </c>
      <c r="I6" s="246">
        <v>12800</v>
      </c>
      <c r="J6" s="246">
        <v>15400</v>
      </c>
    </row>
    <row r="7" spans="1:10" ht="15.75" thickBot="1" x14ac:dyDescent="0.3">
      <c r="A7" s="247" t="s">
        <v>1187</v>
      </c>
      <c r="B7" s="246">
        <v>13</v>
      </c>
      <c r="C7" s="246">
        <v>0.5</v>
      </c>
      <c r="D7" s="246">
        <v>12.7</v>
      </c>
      <c r="E7" s="246">
        <v>11.15</v>
      </c>
      <c r="F7" s="248">
        <v>1.954</v>
      </c>
      <c r="G7" s="246">
        <v>7800</v>
      </c>
      <c r="H7" s="246">
        <v>12100</v>
      </c>
      <c r="I7" s="246">
        <v>17000</v>
      </c>
      <c r="J7" s="246">
        <v>20600</v>
      </c>
    </row>
    <row r="8" spans="1:10" ht="15.75" thickBot="1" x14ac:dyDescent="0.3">
      <c r="A8" s="247" t="s">
        <v>1188</v>
      </c>
      <c r="B8" s="246">
        <v>12</v>
      </c>
      <c r="C8" s="246">
        <v>0.56299999999999994</v>
      </c>
      <c r="D8" s="246">
        <v>14.288</v>
      </c>
      <c r="E8" s="246">
        <v>12.6</v>
      </c>
      <c r="F8" s="248">
        <v>2.117</v>
      </c>
      <c r="G8" s="246">
        <v>10000</v>
      </c>
      <c r="H8" s="246">
        <v>15500</v>
      </c>
      <c r="I8" s="246">
        <v>21800</v>
      </c>
      <c r="J8" s="246">
        <v>26400</v>
      </c>
    </row>
    <row r="9" spans="1:10" ht="15.75" thickBot="1" x14ac:dyDescent="0.3">
      <c r="A9" s="247" t="s">
        <v>1189</v>
      </c>
      <c r="B9" s="246">
        <v>11</v>
      </c>
      <c r="C9" s="246">
        <v>0.625</v>
      </c>
      <c r="D9" s="246">
        <v>15.875</v>
      </c>
      <c r="E9" s="246">
        <v>14.05</v>
      </c>
      <c r="F9" s="248">
        <v>2.3090000000000002</v>
      </c>
      <c r="G9" s="246">
        <v>12400</v>
      </c>
      <c r="H9" s="246">
        <v>19200</v>
      </c>
      <c r="I9" s="246">
        <v>27100</v>
      </c>
      <c r="J9" s="246">
        <v>32750</v>
      </c>
    </row>
    <row r="10" spans="1:10" ht="15.75" thickBot="1" x14ac:dyDescent="0.3">
      <c r="A10" s="247" t="s">
        <v>1190</v>
      </c>
      <c r="B10" s="246">
        <v>10</v>
      </c>
      <c r="C10" s="246">
        <v>0.75</v>
      </c>
      <c r="D10" s="246">
        <v>19.05</v>
      </c>
      <c r="E10" s="246">
        <v>17</v>
      </c>
      <c r="F10" s="248">
        <v>2.54</v>
      </c>
      <c r="G10" s="246">
        <v>15200</v>
      </c>
      <c r="H10" s="246">
        <v>28400</v>
      </c>
      <c r="I10" s="246">
        <v>40100</v>
      </c>
      <c r="J10" s="246">
        <v>48500</v>
      </c>
    </row>
    <row r="11" spans="1:10" ht="15.75" thickBot="1" x14ac:dyDescent="0.3">
      <c r="A11" s="247" t="s">
        <v>1191</v>
      </c>
      <c r="B11" s="246">
        <v>9</v>
      </c>
      <c r="C11" s="246">
        <v>0.875</v>
      </c>
      <c r="D11" s="246">
        <v>22.225000000000001</v>
      </c>
      <c r="E11" s="246">
        <v>20</v>
      </c>
      <c r="F11" s="248">
        <v>2.8220000000000001</v>
      </c>
      <c r="G11" s="246">
        <v>18400</v>
      </c>
      <c r="H11" s="246">
        <v>39300</v>
      </c>
      <c r="I11" s="246">
        <v>55400</v>
      </c>
      <c r="J11" s="246">
        <v>67000</v>
      </c>
    </row>
    <row r="12" spans="1:10" ht="15.75" thickBot="1" x14ac:dyDescent="0.3">
      <c r="A12" s="247" t="s">
        <v>1192</v>
      </c>
      <c r="B12" s="246">
        <v>8</v>
      </c>
      <c r="C12" s="246">
        <v>1</v>
      </c>
      <c r="D12" s="246">
        <v>25.4</v>
      </c>
      <c r="E12" s="246">
        <v>22.85</v>
      </c>
      <c r="F12" s="248">
        <v>3.1749999999999998</v>
      </c>
      <c r="G12" s="246">
        <v>20000</v>
      </c>
      <c r="H12" s="246">
        <v>51500</v>
      </c>
      <c r="I12" s="246">
        <v>72700</v>
      </c>
      <c r="J12" s="246">
        <v>87900</v>
      </c>
    </row>
    <row r="13" spans="1:10" ht="15.75" thickBot="1" x14ac:dyDescent="0.3">
      <c r="A13" s="247" t="s">
        <v>1193</v>
      </c>
      <c r="B13" s="246">
        <v>7</v>
      </c>
      <c r="C13" s="246">
        <v>1.125</v>
      </c>
      <c r="D13" s="246">
        <v>28.574999999999999</v>
      </c>
      <c r="E13" s="246">
        <v>25.65</v>
      </c>
      <c r="F13" s="248">
        <v>3.6280000000000001</v>
      </c>
      <c r="G13" s="246">
        <v>25200</v>
      </c>
      <c r="H13" s="246">
        <v>56500</v>
      </c>
      <c r="I13" s="246">
        <v>91600</v>
      </c>
      <c r="J13" s="246">
        <v>110700</v>
      </c>
    </row>
    <row r="14" spans="1:10" ht="15.75" thickBot="1" x14ac:dyDescent="0.3">
      <c r="A14" s="247" t="s">
        <v>1194</v>
      </c>
      <c r="B14" s="246">
        <v>7</v>
      </c>
      <c r="C14" s="246">
        <v>1.25</v>
      </c>
      <c r="D14" s="246">
        <v>31.75</v>
      </c>
      <c r="E14" s="246">
        <v>28.85</v>
      </c>
      <c r="F14" s="248">
        <v>3.6280000000000001</v>
      </c>
      <c r="G14" s="246">
        <v>32000</v>
      </c>
      <c r="H14" s="246">
        <v>71700</v>
      </c>
      <c r="I14" s="246">
        <v>116300</v>
      </c>
      <c r="J14" s="246">
        <v>140500</v>
      </c>
    </row>
    <row r="15" spans="1:10" ht="15.75" thickBot="1" x14ac:dyDescent="0.3">
      <c r="A15" s="247" t="s">
        <v>1195</v>
      </c>
      <c r="B15" s="246">
        <v>6</v>
      </c>
      <c r="C15" s="246">
        <v>1.375</v>
      </c>
      <c r="D15" s="246">
        <v>34.924999999999997</v>
      </c>
      <c r="E15" s="246">
        <v>31.55</v>
      </c>
      <c r="F15" s="248">
        <v>4.2329999999999997</v>
      </c>
      <c r="G15" s="246">
        <v>38100</v>
      </c>
      <c r="H15" s="246">
        <v>85500</v>
      </c>
      <c r="I15" s="246">
        <v>138600</v>
      </c>
      <c r="J15" s="246">
        <v>167500</v>
      </c>
    </row>
    <row r="16" spans="1:10" ht="15.75" thickBot="1" x14ac:dyDescent="0.3">
      <c r="A16" s="247" t="s">
        <v>1196</v>
      </c>
      <c r="B16" s="246">
        <v>6</v>
      </c>
      <c r="C16" s="246">
        <v>1.5</v>
      </c>
      <c r="D16" s="246">
        <v>38.1</v>
      </c>
      <c r="E16" s="246">
        <v>34.700000000000003</v>
      </c>
      <c r="F16" s="248">
        <v>4.2329999999999997</v>
      </c>
      <c r="G16" s="246">
        <v>46400</v>
      </c>
      <c r="H16" s="246">
        <v>104000</v>
      </c>
      <c r="I16" s="246">
        <v>168600</v>
      </c>
      <c r="J16" s="246">
        <v>203700</v>
      </c>
    </row>
    <row r="19" spans="7:11" x14ac:dyDescent="0.25">
      <c r="G19" s="257"/>
      <c r="H19" s="70"/>
      <c r="I19" s="70"/>
      <c r="J19" s="70"/>
      <c r="K19" s="70"/>
    </row>
    <row r="20" spans="7:11" x14ac:dyDescent="0.25">
      <c r="G20" s="257"/>
      <c r="H20" s="70"/>
      <c r="I20" s="70"/>
      <c r="J20" s="70"/>
      <c r="K20" s="70"/>
    </row>
    <row r="21" spans="7:11" x14ac:dyDescent="0.25">
      <c r="G21" s="257"/>
      <c r="H21" s="70"/>
      <c r="I21" s="70"/>
      <c r="J21" s="70"/>
      <c r="K21" s="70"/>
    </row>
    <row r="22" spans="7:11" x14ac:dyDescent="0.25">
      <c r="G22" s="257"/>
      <c r="H22" s="70"/>
      <c r="I22" s="70"/>
      <c r="J22" s="70"/>
      <c r="K22" s="70"/>
    </row>
    <row r="23" spans="7:11" x14ac:dyDescent="0.25">
      <c r="G23" s="257"/>
      <c r="H23" s="70"/>
      <c r="I23" s="70"/>
      <c r="J23" s="70"/>
      <c r="K23" s="70"/>
    </row>
    <row r="24" spans="7:11" x14ac:dyDescent="0.25">
      <c r="G24" s="257"/>
      <c r="H24" s="70"/>
      <c r="I24" s="70"/>
      <c r="J24" s="70"/>
      <c r="K24" s="70"/>
    </row>
    <row r="25" spans="7:11" x14ac:dyDescent="0.25">
      <c r="G25" s="257"/>
      <c r="H25" s="70"/>
      <c r="I25" s="70"/>
      <c r="J25" s="70"/>
      <c r="K25" s="70"/>
    </row>
    <row r="26" spans="7:11" x14ac:dyDescent="0.25">
      <c r="G26" s="257"/>
      <c r="H26" s="70"/>
      <c r="I26" s="70"/>
      <c r="J26" s="70"/>
      <c r="K26" s="70"/>
    </row>
    <row r="27" spans="7:11" x14ac:dyDescent="0.25">
      <c r="G27" s="257"/>
      <c r="H27" s="70"/>
      <c r="I27" s="70"/>
      <c r="J27" s="70"/>
      <c r="K27" s="70"/>
    </row>
    <row r="28" spans="7:11" x14ac:dyDescent="0.25">
      <c r="G28" s="257"/>
      <c r="H28" s="70"/>
      <c r="I28" s="70"/>
      <c r="J28" s="70"/>
      <c r="K28" s="70"/>
    </row>
    <row r="29" spans="7:11" x14ac:dyDescent="0.25">
      <c r="G29" s="257"/>
      <c r="H29" s="70"/>
      <c r="I29" s="70"/>
      <c r="J29" s="70"/>
      <c r="K29" s="70"/>
    </row>
    <row r="30" spans="7:11" x14ac:dyDescent="0.25">
      <c r="G30" s="257"/>
      <c r="H30" s="70"/>
      <c r="I30" s="70"/>
      <c r="J30" s="70"/>
      <c r="K30" s="70"/>
    </row>
    <row r="31" spans="7:11" x14ac:dyDescent="0.25">
      <c r="G31" s="257"/>
      <c r="H31" s="70"/>
      <c r="I31" s="70"/>
      <c r="J31" s="70"/>
      <c r="K31" s="70"/>
    </row>
    <row r="32" spans="7:11" x14ac:dyDescent="0.25">
      <c r="G32" s="257"/>
      <c r="H32" s="70"/>
      <c r="I32" s="70"/>
      <c r="J32" s="70"/>
      <c r="K32" s="70"/>
    </row>
  </sheetData>
  <mergeCells count="2">
    <mergeCell ref="C1:D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11</vt:i4>
      </vt:variant>
    </vt:vector>
  </HeadingPairs>
  <TitlesOfParts>
    <vt:vector size="17" baseType="lpstr">
      <vt:lpstr>Main</vt:lpstr>
      <vt:lpstr>Tables</vt:lpstr>
      <vt:lpstr>Table B</vt:lpstr>
      <vt:lpstr>Table D</vt:lpstr>
      <vt:lpstr>Table Q</vt:lpstr>
      <vt:lpstr>Thread table</vt:lpstr>
      <vt:lpstr>BearingType</vt:lpstr>
      <vt:lpstr>FlightThick</vt:lpstr>
      <vt:lpstr>FlightType</vt:lpstr>
      <vt:lpstr>MatType</vt:lpstr>
      <vt:lpstr>PipeSize</vt:lpstr>
      <vt:lpstr>QtyPaddles</vt:lpstr>
      <vt:lpstr>ScrewGrade</vt:lpstr>
      <vt:lpstr>ScrewInc</vt:lpstr>
      <vt:lpstr>ScrewSize</vt:lpstr>
      <vt:lpstr>ScrwDiam</vt:lpstr>
      <vt:lpstr>ScrwPitch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AG_PT-Daniel Alberto Cifuentes Castro</dc:creator>
  <cp:lastModifiedBy>AG_PT-Daniel Alberto Cifuentes Castro</cp:lastModifiedBy>
  <cp:lastPrinted>2022-08-16T21:40:15Z</cp:lastPrinted>
  <dcterms:created xsi:type="dcterms:W3CDTF">2022-05-25T15:19:16Z</dcterms:created>
  <dcterms:modified xsi:type="dcterms:W3CDTF">2022-08-18T14:02:33Z</dcterms:modified>
</cp:coreProperties>
</file>