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300EC094-92B8-4745-9F1F-F4D52292B376}" xr6:coauthVersionLast="46" xr6:coauthVersionMax="46" xr10:uidLastSave="{00000000-0000-0000-0000-000000000000}"/>
  <bookViews>
    <workbookView xWindow="13545" yWindow="6075" windowWidth="25200" windowHeight="13995" activeTab="3" xr2:uid="{00000000-000D-0000-FFFF-FFFF00000000}"/>
  </bookViews>
  <sheets>
    <sheet name="9481 2D" sheetId="3" r:id="rId1"/>
    <sheet name="job list" sheetId="5" r:id="rId2"/>
    <sheet name="efficiency" sheetId="6" r:id="rId3"/>
    <sheet name="parameter scan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E5" i="7" s="1"/>
  <c r="C4" i="7"/>
  <c r="E4" i="7" s="1"/>
  <c r="C3" i="7"/>
  <c r="E3" i="7" s="1"/>
  <c r="C2" i="7"/>
  <c r="E2" i="7"/>
  <c r="D4" i="7"/>
  <c r="D5" i="7"/>
  <c r="D3" i="7"/>
  <c r="E4" i="6"/>
  <c r="E3" i="6"/>
  <c r="E2" i="6"/>
  <c r="B5" i="6"/>
  <c r="D5" i="6" s="1"/>
  <c r="B3" i="6"/>
  <c r="B2" i="6"/>
  <c r="N21" i="3"/>
  <c r="I8" i="5"/>
  <c r="I7" i="5"/>
  <c r="I6" i="5"/>
  <c r="B25" i="3"/>
  <c r="D25" i="3"/>
  <c r="B26" i="3"/>
  <c r="I4" i="5"/>
  <c r="H4" i="5"/>
  <c r="I3" i="5"/>
  <c r="H3" i="5"/>
  <c r="I2" i="5"/>
  <c r="H2" i="5"/>
  <c r="V22" i="3"/>
  <c r="X22" i="3" s="1"/>
  <c r="P22" i="3"/>
  <c r="R22" i="3" s="1"/>
  <c r="T22" i="3" s="1"/>
  <c r="D22" i="3"/>
  <c r="F22" i="3" s="1"/>
  <c r="H22" i="3" s="1"/>
  <c r="J22" i="3" s="1"/>
  <c r="L22" i="3" s="1"/>
  <c r="N22" i="3" s="1"/>
  <c r="B22" i="3"/>
  <c r="B21" i="3"/>
  <c r="B18" i="3"/>
  <c r="D18" i="3" s="1"/>
  <c r="B17" i="3"/>
  <c r="B8" i="3"/>
  <c r="C19" i="3" s="1"/>
  <c r="N5" i="3"/>
  <c r="Q3" i="3" s="1"/>
  <c r="F5" i="3"/>
  <c r="I3" i="3" s="1"/>
  <c r="N4" i="3"/>
  <c r="Q2" i="3" s="1"/>
  <c r="F4" i="3"/>
  <c r="I2" i="3" s="1"/>
  <c r="D17" i="3" s="1"/>
  <c r="E5" i="6" l="1"/>
  <c r="E18" i="3"/>
  <c r="F18" i="3"/>
  <c r="H18" i="3" s="1"/>
  <c r="D21" i="3"/>
  <c r="E17" i="3" s="1"/>
  <c r="C17" i="3"/>
  <c r="B9" i="3"/>
  <c r="C18" i="3"/>
  <c r="J18" i="3"/>
  <c r="I18" i="3"/>
  <c r="F17" i="3"/>
  <c r="G18" i="3"/>
  <c r="F21" i="3" l="1"/>
  <c r="G17" i="3" s="1"/>
  <c r="B20" i="3"/>
  <c r="B10" i="3"/>
  <c r="B14" i="3" s="1"/>
  <c r="H17" i="3"/>
  <c r="L18" i="3"/>
  <c r="K18" i="3"/>
  <c r="H21" i="3" l="1"/>
  <c r="I17" i="3" s="1"/>
  <c r="C20" i="3"/>
  <c r="B23" i="3"/>
  <c r="B7" i="3"/>
  <c r="J17" i="3"/>
  <c r="M18" i="3"/>
  <c r="N18" i="3"/>
  <c r="J21" i="3" l="1"/>
  <c r="B19" i="3"/>
  <c r="Q4" i="3"/>
  <c r="I4" i="3"/>
  <c r="B24" i="3"/>
  <c r="L17" i="3"/>
  <c r="K17" i="3"/>
  <c r="L21" i="3"/>
  <c r="P18" i="3"/>
  <c r="O18" i="3"/>
  <c r="B28" i="3" l="1"/>
  <c r="B27" i="3"/>
  <c r="D19" i="3"/>
  <c r="E20" i="3" s="1"/>
  <c r="D23" i="3"/>
  <c r="R18" i="3"/>
  <c r="Q18" i="3"/>
  <c r="P21" i="3"/>
  <c r="M17" i="3"/>
  <c r="N17" i="3"/>
  <c r="B30" i="3" l="1"/>
  <c r="F19" i="3"/>
  <c r="H19" i="3" s="1"/>
  <c r="F23" i="3"/>
  <c r="D24" i="3"/>
  <c r="E19" i="3"/>
  <c r="D20" i="3" s="1"/>
  <c r="R21" i="3"/>
  <c r="P17" i="3"/>
  <c r="O17" i="3"/>
  <c r="T18" i="3"/>
  <c r="S18" i="3"/>
  <c r="D28" i="3" l="1"/>
  <c r="D27" i="3"/>
  <c r="G20" i="3"/>
  <c r="H23" i="3"/>
  <c r="I19" i="3" s="1"/>
  <c r="H20" i="3" s="1"/>
  <c r="F24" i="3"/>
  <c r="I20" i="3"/>
  <c r="J19" i="3"/>
  <c r="G19" i="3"/>
  <c r="F20" i="3" s="1"/>
  <c r="U18" i="3"/>
  <c r="V18" i="3"/>
  <c r="R17" i="3"/>
  <c r="Q17" i="3"/>
  <c r="T21" i="3"/>
  <c r="V21" i="3" s="1"/>
  <c r="D30" i="3" l="1"/>
  <c r="F28" i="3"/>
  <c r="F27" i="3"/>
  <c r="L19" i="3"/>
  <c r="K20" i="3"/>
  <c r="J23" i="3"/>
  <c r="H24" i="3"/>
  <c r="T17" i="3"/>
  <c r="S17" i="3"/>
  <c r="W18" i="3"/>
  <c r="X18" i="3"/>
  <c r="Y18" i="3" s="1"/>
  <c r="F30" i="3" l="1"/>
  <c r="H27" i="3"/>
  <c r="H28" i="3"/>
  <c r="L23" i="3"/>
  <c r="J24" i="3"/>
  <c r="K19" i="3"/>
  <c r="J20" i="3" s="1"/>
  <c r="N19" i="3"/>
  <c r="M20" i="3"/>
  <c r="U17" i="3"/>
  <c r="V17" i="3"/>
  <c r="X21" i="3"/>
  <c r="H30" i="3" l="1"/>
  <c r="J28" i="3"/>
  <c r="J27" i="3"/>
  <c r="N23" i="3"/>
  <c r="L24" i="3"/>
  <c r="M19" i="3"/>
  <c r="L20" i="3" s="1"/>
  <c r="P19" i="3"/>
  <c r="O20" i="3"/>
  <c r="W17" i="3"/>
  <c r="X17" i="3"/>
  <c r="Y17" i="3" s="1"/>
  <c r="J30" i="3" l="1"/>
  <c r="L27" i="3"/>
  <c r="L28" i="3"/>
  <c r="P23" i="3"/>
  <c r="N24" i="3"/>
  <c r="R19" i="3"/>
  <c r="Q20" i="3"/>
  <c r="O19" i="3"/>
  <c r="N20" i="3" s="1"/>
  <c r="L30" i="3" l="1"/>
  <c r="R23" i="3"/>
  <c r="S19" i="3" s="1"/>
  <c r="R20" i="3" s="1"/>
  <c r="P24" i="3"/>
  <c r="T19" i="3"/>
  <c r="S20" i="3"/>
  <c r="Q19" i="3"/>
  <c r="P20" i="3" s="1"/>
  <c r="P28" i="3" l="1"/>
  <c r="P27" i="3"/>
  <c r="V19" i="3"/>
  <c r="U20" i="3"/>
  <c r="T23" i="3"/>
  <c r="U19" i="3" s="1"/>
  <c r="T20" i="3" s="1"/>
  <c r="R24" i="3"/>
  <c r="P30" i="3" l="1"/>
  <c r="W20" i="3"/>
  <c r="X19" i="3"/>
  <c r="V23" i="3"/>
  <c r="W19" i="3" s="1"/>
  <c r="V20" i="3" s="1"/>
  <c r="T24" i="3"/>
  <c r="T28" i="3" l="1"/>
  <c r="T27" i="3"/>
  <c r="X23" i="3"/>
  <c r="X24" i="3" s="1"/>
  <c r="V24" i="3"/>
  <c r="Y20" i="3"/>
  <c r="I8" i="3" l="1"/>
  <c r="T30" i="3"/>
  <c r="V27" i="3"/>
  <c r="V28" i="3"/>
  <c r="Y19" i="3"/>
  <c r="X20" i="3" s="1"/>
  <c r="V30" i="3" l="1"/>
  <c r="F11" i="3" s="1"/>
  <c r="F9" i="3"/>
  <c r="F10" i="3" l="1"/>
</calcChain>
</file>

<file path=xl/sharedStrings.xml><?xml version="1.0" encoding="utf-8"?>
<sst xmlns="http://schemas.openxmlformats.org/spreadsheetml/2006/main" count="91" uniqueCount="83">
  <si>
    <t>T (fs)</t>
    <phoneticPr fontId="1" type="noConversion"/>
  </si>
  <si>
    <t>E (eV)</t>
    <phoneticPr fontId="1" type="noConversion"/>
  </si>
  <si>
    <t>HHLM1</t>
  </si>
  <si>
    <t>HHLM2</t>
  </si>
  <si>
    <t>HHLM3</t>
  </si>
  <si>
    <t>HHLM4</t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</si>
  <si>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</si>
  <si>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</si>
  <si>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</si>
  <si>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</si>
  <si>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</si>
  <si>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</si>
  <si>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</si>
  <si>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</si>
  <si>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</si>
  <si>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</si>
  <si>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</si>
  <si>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</si>
  <si>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Input Parameters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</si>
  <si>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</si>
  <si>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</si>
  <si>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</si>
  <si>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</si>
  <si>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</si>
  <si>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</si>
  <si>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</si>
  <si>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</si>
  <si>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</si>
  <si>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</si>
  <si>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</si>
  <si>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</si>
  <si>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</si>
  <si>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</si>
  <si>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</si>
  <si>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</si>
  <si>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</si>
  <si>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</si>
  <si>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</si>
  <si>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</si>
  <si>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</si>
  <si>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</si>
  <si>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</si>
  <si>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</si>
  <si>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Ny reduced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</si>
  <si>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</si>
  <si>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</si>
  <si>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</si>
  <si>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N/A</t>
  </si>
  <si>
    <t>Memory usage (MB)</t>
    <phoneticPr fontId="1" type="noConversion"/>
  </si>
  <si>
    <t>job ID</t>
    <phoneticPr fontId="1" type="noConversion"/>
  </si>
  <si>
    <t>resolution (meV)</t>
    <phoneticPr fontId="1" type="noConversion"/>
  </si>
  <si>
    <t>bandwidth (meV)</t>
    <phoneticPr fontId="1" type="noConversion"/>
  </si>
  <si>
    <t>Local time (s)</t>
  </si>
  <si>
    <t>Local time (s)</t>
    <phoneticPr fontId="1" type="noConversion"/>
  </si>
  <si>
    <t>NERSC time (s)</t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</si>
  <si>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</si>
  <si>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</si>
  <si>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</si>
  <si>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</si>
  <si>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</si>
  <si>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</si>
  <si>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</si>
  <si>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</si>
  <si>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</si>
  <si>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</si>
  <si>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</si>
  <si>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</si>
  <si>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</si>
  <si>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</si>
  <si>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-j 41220236 --format=JobID,JobName,MaxRSS,Elapsed</t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</si>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</sst>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83" formatCode="0.00_ "/>
    <numFmt numFmtId="18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83" fontId="0" fillId="0" borderId="0" xfId="0" applyNumberFormat="1"/>
    <xf numFmtId="21" fontId="0" fillId="0" borderId="0" xfId="0" applyNumberFormat="1"/>
    <xf numFmtId="0" fontId="0" fillId="0" borderId="0" xfId="0" applyNumberFormat="1"/>
    <xf numFmtId="18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activeCell="G11" sqref="G11"/>
    </sheetView>
  </sheetViews>
  <sheetFormatPr defaultRowHeight="14.25" x14ac:dyDescent="0.2"/>
  <cols>
    <col min="1" max="1" width="16.5" customWidth="1"/>
    <col min="2" max="2" width="11.625" bestFit="1" customWidth="1"/>
    <col min="3" max="3" width="9.125" bestFit="1" customWidth="1"/>
    <col min="4" max="4" width="12.75" bestFit="1" customWidth="1"/>
    <col min="5" max="5" width="13.375" bestFit="1" customWidth="1"/>
    <col min="6" max="6" width="12.5" bestFit="1" customWidth="1"/>
    <col min="7" max="7" width="9.125" bestFit="1" customWidth="1"/>
    <col min="8" max="8" width="13.5" customWidth="1"/>
    <col min="9" max="9" width="13" bestFit="1" customWidth="1"/>
    <col min="10" max="10" width="9.375" bestFit="1" customWidth="1"/>
    <col min="11" max="11" width="9.12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27" x14ac:dyDescent="0.2">
      <c r="A1" t="s">
        <v>18</v>
      </c>
      <c r="D1" s="12" t="s">
        <v>28</v>
      </c>
      <c r="E1" s="12"/>
      <c r="L1" s="12" t="s">
        <v>29</v>
      </c>
      <c r="M1" s="12"/>
    </row>
    <row r="2" spans="1:27" x14ac:dyDescent="0.2">
      <c r="A2" t="s">
        <v>1</v>
      </c>
      <c r="B2">
        <v>9481</v>
      </c>
      <c r="D2" s="12" t="s">
        <v>31</v>
      </c>
      <c r="E2" s="12"/>
      <c r="F2">
        <v>19.909876918386299</v>
      </c>
      <c r="H2" t="s">
        <v>23</v>
      </c>
      <c r="I2" s="2">
        <f>MAX(ROUND(1/F4,0),ROUND(F4,0))</f>
        <v>12</v>
      </c>
      <c r="L2" s="12" t="s">
        <v>31</v>
      </c>
      <c r="M2" s="12"/>
      <c r="N2">
        <v>42.926477759350803</v>
      </c>
      <c r="P2" t="s">
        <v>23</v>
      </c>
      <c r="Q2" s="2">
        <f>MAX(ROUND(1/N4,0),ROUND(N4,0))</f>
        <v>4</v>
      </c>
    </row>
    <row r="3" spans="1:27" x14ac:dyDescent="0.2">
      <c r="A3" t="s">
        <v>0</v>
      </c>
      <c r="B3">
        <v>1</v>
      </c>
      <c r="D3" s="12" t="s">
        <v>30</v>
      </c>
      <c r="E3" s="12"/>
      <c r="F3">
        <v>17</v>
      </c>
      <c r="H3" t="s">
        <v>41</v>
      </c>
      <c r="I3" s="2">
        <f>$B4*F5/300000000*1000000000000000</f>
        <v>52300.882458116022</v>
      </c>
      <c r="L3" s="12" t="s">
        <v>30</v>
      </c>
      <c r="M3" s="12"/>
      <c r="N3">
        <v>-29.5</v>
      </c>
      <c r="P3" t="s">
        <v>41</v>
      </c>
      <c r="Q3" s="2">
        <f>$B4*N5/300000000*1000000000000000</f>
        <v>9380.9992619267869</v>
      </c>
    </row>
    <row r="4" spans="1:27" x14ac:dyDescent="0.2">
      <c r="A4" t="s">
        <v>13</v>
      </c>
      <c r="B4" s="1">
        <v>4.0000000000000001E-3</v>
      </c>
      <c r="D4" s="12" t="s">
        <v>26</v>
      </c>
      <c r="E4" s="12"/>
      <c r="F4">
        <f>SIN(RADIANS(F2+F3))/SIN(RADIANS(F2-F3))</f>
        <v>11.830135875287004</v>
      </c>
      <c r="H4" t="s">
        <v>24</v>
      </c>
      <c r="I4" s="2">
        <f>MAX(ROUND(I3/$B7,0),1)</f>
        <v>13</v>
      </c>
      <c r="L4" s="12" t="s">
        <v>26</v>
      </c>
      <c r="M4" s="12"/>
      <c r="N4">
        <f>SIN(RADIANS(N2+N3))/SIN(RADIANS(N2-N3))</f>
        <v>0.24356450463759297</v>
      </c>
      <c r="P4" t="s">
        <v>24</v>
      </c>
      <c r="Q4" s="2">
        <f>MAX(ROUND(Q3/$B7,0),1)</f>
        <v>2</v>
      </c>
    </row>
    <row r="5" spans="1:27" x14ac:dyDescent="0.2">
      <c r="A5" t="s">
        <v>14</v>
      </c>
      <c r="B5" s="1">
        <v>4.0000000000000001E-3</v>
      </c>
      <c r="D5" s="12" t="s">
        <v>27</v>
      </c>
      <c r="E5" s="12"/>
      <c r="F5">
        <f>ABS((COS(RADIANS(F2-F3))-COS(RADIANS(F2+F3)))/SIN(RADIANS(F2-F3)))</f>
        <v>3.9225661843587014</v>
      </c>
      <c r="L5" s="12" t="s">
        <v>27</v>
      </c>
      <c r="M5" s="12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15</v>
      </c>
      <c r="B7">
        <f>B8*B14</f>
        <v>4000</v>
      </c>
    </row>
    <row r="8" spans="1:27" x14ac:dyDescent="0.2">
      <c r="A8" t="s">
        <v>16</v>
      </c>
      <c r="B8">
        <f>B3/10</f>
        <v>0.1</v>
      </c>
      <c r="D8" s="12" t="s">
        <v>25</v>
      </c>
      <c r="E8" s="12"/>
      <c r="F8" s="1">
        <v>5.9999999999999997E-7</v>
      </c>
      <c r="H8" t="s">
        <v>56</v>
      </c>
      <c r="I8" s="15">
        <f>22122874/1024/1024/3072/8/26000*MAX(24:24)</f>
        <v>421.96033477783197</v>
      </c>
    </row>
    <row r="9" spans="1:27" x14ac:dyDescent="0.2">
      <c r="A9" t="s">
        <v>17</v>
      </c>
      <c r="B9">
        <f>4/B8</f>
        <v>40</v>
      </c>
      <c r="D9" s="12" t="s">
        <v>63</v>
      </c>
      <c r="E9" s="12"/>
      <c r="F9" s="7">
        <f>SUM(27:27)/86400</f>
        <v>0.17025740740740741</v>
      </c>
    </row>
    <row r="10" spans="1:27" x14ac:dyDescent="0.2">
      <c r="A10" t="s">
        <v>19</v>
      </c>
      <c r="B10">
        <f>MIN(B9/400,0.001)</f>
        <v>1E-3</v>
      </c>
      <c r="D10" s="12" t="s">
        <v>64</v>
      </c>
      <c r="E10" s="12"/>
      <c r="F10" s="7">
        <f>SUM(30:30)-F9</f>
        <v>0.10848148148148146</v>
      </c>
    </row>
    <row r="11" spans="1:27" x14ac:dyDescent="0.2">
      <c r="D11" s="12" t="s">
        <v>62</v>
      </c>
      <c r="E11" s="12"/>
      <c r="F11" s="16">
        <f>SUM(30:30)</f>
        <v>0.27873888888888887</v>
      </c>
    </row>
    <row r="12" spans="1:27" x14ac:dyDescent="0.2">
      <c r="A12" s="4" t="s">
        <v>20</v>
      </c>
      <c r="B12">
        <v>256</v>
      </c>
      <c r="H12" s="4"/>
      <c r="I12" s="4"/>
      <c r="J12" s="3"/>
    </row>
    <row r="13" spans="1:27" x14ac:dyDescent="0.2">
      <c r="A13" s="4" t="s">
        <v>21</v>
      </c>
      <c r="B13">
        <v>8</v>
      </c>
      <c r="D13" t="s">
        <v>43</v>
      </c>
      <c r="E13">
        <v>8</v>
      </c>
    </row>
    <row r="14" spans="1:27" x14ac:dyDescent="0.2">
      <c r="A14" s="4" t="s">
        <v>22</v>
      </c>
      <c r="B14">
        <f>B9/B10</f>
        <v>40000</v>
      </c>
    </row>
    <row r="16" spans="1:27" x14ac:dyDescent="0.2">
      <c r="B16" s="12" t="s">
        <v>33</v>
      </c>
      <c r="C16" s="12"/>
      <c r="D16" s="12" t="s">
        <v>2</v>
      </c>
      <c r="E16" s="12"/>
      <c r="F16" s="12" t="s">
        <v>3</v>
      </c>
      <c r="G16" s="12"/>
      <c r="H16" s="12" t="s">
        <v>4</v>
      </c>
      <c r="I16" s="12"/>
      <c r="J16" s="12" t="s">
        <v>5</v>
      </c>
      <c r="K16" s="12"/>
      <c r="L16" s="12" t="s">
        <v>34</v>
      </c>
      <c r="M16" s="12"/>
      <c r="N16" s="12" t="s">
        <v>35</v>
      </c>
      <c r="O16" s="12"/>
      <c r="P16" s="12" t="s">
        <v>36</v>
      </c>
      <c r="Q16" s="12"/>
      <c r="R16" s="12" t="s">
        <v>37</v>
      </c>
      <c r="S16" s="12"/>
      <c r="T16" s="12" t="s">
        <v>38</v>
      </c>
      <c r="U16" s="12"/>
      <c r="V16" s="12" t="s">
        <v>39</v>
      </c>
      <c r="W16" s="12"/>
      <c r="X16" s="12" t="s">
        <v>40</v>
      </c>
      <c r="Y16" s="12"/>
      <c r="Z16" s="12"/>
      <c r="AA16" s="12"/>
    </row>
    <row r="17" spans="1:27" x14ac:dyDescent="0.2">
      <c r="A17" s="4" t="s">
        <v>6</v>
      </c>
      <c r="B17" s="2">
        <f>B4*1000000</f>
        <v>4000</v>
      </c>
      <c r="C17" s="2">
        <f>B17/B21</f>
        <v>15.625</v>
      </c>
      <c r="D17" s="2">
        <f>B17*$I2</f>
        <v>48000</v>
      </c>
      <c r="E17" s="2">
        <f>D17/D21</f>
        <v>15.625</v>
      </c>
      <c r="F17" s="2">
        <f>D17</f>
        <v>48000</v>
      </c>
      <c r="G17" s="2">
        <f t="shared" ref="G17:G19" si="0">F17/F21</f>
        <v>15.625</v>
      </c>
      <c r="H17" s="2">
        <f>F17</f>
        <v>48000</v>
      </c>
      <c r="I17" s="2">
        <f t="shared" ref="I17:I19" si="1">H17/H21</f>
        <v>15.625</v>
      </c>
      <c r="J17" s="2">
        <f>H17/I2</f>
        <v>4000</v>
      </c>
      <c r="K17" s="2">
        <f>J17/J21</f>
        <v>1.3020833333333333</v>
      </c>
      <c r="L17" s="2">
        <f>J17</f>
        <v>4000</v>
      </c>
      <c r="M17" s="2">
        <f>L17/L21</f>
        <v>1.3020833333333333</v>
      </c>
      <c r="N17" s="2">
        <f>L17*Q2</f>
        <v>16000</v>
      </c>
      <c r="O17" s="2">
        <f>N17/N21</f>
        <v>5.208333333333333</v>
      </c>
      <c r="P17" s="2">
        <f t="shared" ref="P17:P19" si="2">N17</f>
        <v>16000</v>
      </c>
      <c r="Q17" s="2">
        <f t="shared" ref="Q17:Q19" si="3">P17/P21</f>
        <v>5.208333333333333</v>
      </c>
      <c r="R17" s="2">
        <f t="shared" ref="R17:R19" si="4">P17</f>
        <v>16000</v>
      </c>
      <c r="S17" s="2">
        <f t="shared" ref="S17:S19" si="5">R17/R21</f>
        <v>5.208333333333333</v>
      </c>
      <c r="T17" s="2">
        <f t="shared" ref="T17:T19" si="6">R17</f>
        <v>16000</v>
      </c>
      <c r="U17" s="2">
        <f t="shared" ref="U17:U19" si="7">T17/T21</f>
        <v>5.208333333333333</v>
      </c>
      <c r="V17" s="2">
        <f>T17/Q2</f>
        <v>4000</v>
      </c>
      <c r="W17" s="2">
        <f t="shared" ref="W17:W19" si="8">V17/V21</f>
        <v>1.3020833333333333</v>
      </c>
      <c r="X17" s="2">
        <f t="shared" ref="X17:X19" si="9">V17</f>
        <v>4000</v>
      </c>
      <c r="Y17" s="2">
        <f t="shared" ref="Y17:Y19" si="10">X17/X21</f>
        <v>1.3020833333333333</v>
      </c>
      <c r="Z17" s="2"/>
      <c r="AA17" s="2"/>
    </row>
    <row r="18" spans="1:27" x14ac:dyDescent="0.2">
      <c r="A18" s="4" t="s">
        <v>7</v>
      </c>
      <c r="B18" s="2">
        <f>B5*1000000</f>
        <v>4000</v>
      </c>
      <c r="C18" s="2">
        <f>B18/B22</f>
        <v>500</v>
      </c>
      <c r="D18" s="2">
        <f>B18</f>
        <v>4000</v>
      </c>
      <c r="E18" s="2">
        <f>D18/D22</f>
        <v>500</v>
      </c>
      <c r="F18" s="2">
        <f t="shared" ref="F18" si="11">D18</f>
        <v>4000</v>
      </c>
      <c r="G18" s="2">
        <f t="shared" si="0"/>
        <v>500</v>
      </c>
      <c r="H18" s="2">
        <f t="shared" ref="H18" si="12">F18</f>
        <v>4000</v>
      </c>
      <c r="I18" s="2">
        <f t="shared" si="1"/>
        <v>500</v>
      </c>
      <c r="J18" s="2">
        <f t="shared" ref="J18" si="13">H18</f>
        <v>4000</v>
      </c>
      <c r="K18" s="2">
        <f>J18/J22</f>
        <v>500</v>
      </c>
      <c r="L18" s="2">
        <f t="shared" ref="L18" si="14">J18</f>
        <v>4000</v>
      </c>
      <c r="M18" s="2">
        <f>L18/L22</f>
        <v>500</v>
      </c>
      <c r="N18" s="2">
        <f t="shared" ref="N18" si="15">L18</f>
        <v>4000</v>
      </c>
      <c r="O18" s="2">
        <f>N18/N22</f>
        <v>500</v>
      </c>
      <c r="P18" s="2">
        <f t="shared" si="2"/>
        <v>4000</v>
      </c>
      <c r="Q18" s="2">
        <f t="shared" si="3"/>
        <v>500</v>
      </c>
      <c r="R18" s="2">
        <f t="shared" si="4"/>
        <v>4000</v>
      </c>
      <c r="S18" s="2">
        <f t="shared" si="5"/>
        <v>500</v>
      </c>
      <c r="T18" s="2">
        <f t="shared" si="6"/>
        <v>4000</v>
      </c>
      <c r="U18" s="2">
        <f t="shared" si="7"/>
        <v>500</v>
      </c>
      <c r="V18" s="2">
        <f t="shared" ref="V18:V19" si="16">T18</f>
        <v>4000</v>
      </c>
      <c r="W18" s="2">
        <f t="shared" si="8"/>
        <v>500</v>
      </c>
      <c r="X18" s="2">
        <f t="shared" si="9"/>
        <v>4000</v>
      </c>
      <c r="Y18" s="2">
        <f t="shared" si="10"/>
        <v>500</v>
      </c>
      <c r="Z18" s="2"/>
      <c r="AA18" s="2"/>
    </row>
    <row r="19" spans="1:27" x14ac:dyDescent="0.2">
      <c r="A19" s="4" t="s">
        <v>8</v>
      </c>
      <c r="B19" s="2">
        <f>B7</f>
        <v>4000</v>
      </c>
      <c r="C19" s="2">
        <f>B8</f>
        <v>0.1</v>
      </c>
      <c r="D19" s="2">
        <f>B19*$I4</f>
        <v>52000</v>
      </c>
      <c r="E19" s="2">
        <f>D19/D23</f>
        <v>0.1</v>
      </c>
      <c r="F19" s="2">
        <f>D19</f>
        <v>52000</v>
      </c>
      <c r="G19" s="2">
        <f t="shared" si="0"/>
        <v>0.1</v>
      </c>
      <c r="H19" s="2">
        <f>F19</f>
        <v>52000</v>
      </c>
      <c r="I19" s="2">
        <f t="shared" si="1"/>
        <v>0.1</v>
      </c>
      <c r="J19" s="2">
        <f>H19</f>
        <v>52000</v>
      </c>
      <c r="K19" s="2">
        <f>J19/J23</f>
        <v>0.1</v>
      </c>
      <c r="L19" s="2">
        <f>J19/I4*Q4</f>
        <v>8000</v>
      </c>
      <c r="M19" s="2">
        <f>L19/L23</f>
        <v>1.5384615384615385E-2</v>
      </c>
      <c r="N19" s="2">
        <f>L19</f>
        <v>8000</v>
      </c>
      <c r="O19" s="2">
        <f>N19/N23</f>
        <v>1.5384615384615385E-2</v>
      </c>
      <c r="P19" s="2">
        <f t="shared" si="2"/>
        <v>8000</v>
      </c>
      <c r="Q19" s="2">
        <f t="shared" si="3"/>
        <v>1.5384615384615385E-2</v>
      </c>
      <c r="R19" s="2">
        <f t="shared" si="4"/>
        <v>8000</v>
      </c>
      <c r="S19" s="2">
        <f t="shared" si="5"/>
        <v>1.5384615384615385E-2</v>
      </c>
      <c r="T19" s="2">
        <f t="shared" si="6"/>
        <v>8000</v>
      </c>
      <c r="U19" s="2">
        <f t="shared" si="7"/>
        <v>1.5384615384615385E-2</v>
      </c>
      <c r="V19" s="2">
        <f t="shared" si="16"/>
        <v>8000</v>
      </c>
      <c r="W19" s="2">
        <f t="shared" si="8"/>
        <v>1.5384615384615385E-2</v>
      </c>
      <c r="X19" s="2">
        <f t="shared" si="9"/>
        <v>8000</v>
      </c>
      <c r="Y19" s="2">
        <f t="shared" si="10"/>
        <v>1.5384615384615385E-2</v>
      </c>
      <c r="Z19" s="2"/>
      <c r="AA19" s="2"/>
    </row>
    <row r="20" spans="1:27" x14ac:dyDescent="0.2">
      <c r="A20" s="4" t="s">
        <v>9</v>
      </c>
      <c r="B20" s="2">
        <f>B9*1000</f>
        <v>40000</v>
      </c>
      <c r="C20" s="2">
        <f>B10*1000</f>
        <v>1</v>
      </c>
      <c r="D20" s="2">
        <f>$B20*$C19/E19</f>
        <v>40000</v>
      </c>
      <c r="E20" s="2">
        <f>$B19*$C20/D19</f>
        <v>7.6923076923076927E-2</v>
      </c>
      <c r="F20" s="2">
        <f>$B20*$C19/G19</f>
        <v>40000</v>
      </c>
      <c r="G20" s="2">
        <f t="shared" ref="G20" si="17">$B19*$C20/F19</f>
        <v>7.6923076923076927E-2</v>
      </c>
      <c r="H20" s="2">
        <f>$B20*$C19/I19</f>
        <v>40000</v>
      </c>
      <c r="I20" s="2">
        <f t="shared" ref="I20" si="18">$B19*$C20/H19</f>
        <v>7.6923076923076927E-2</v>
      </c>
      <c r="J20" s="2">
        <f>$B20*$C19/K19</f>
        <v>40000</v>
      </c>
      <c r="K20" s="2">
        <f>$B19*$C20/J19</f>
        <v>7.6923076923076927E-2</v>
      </c>
      <c r="L20" s="2">
        <f>$B20*$C19/M19</f>
        <v>260000</v>
      </c>
      <c r="M20" s="2">
        <f>$B19*$C20/L19</f>
        <v>0.5</v>
      </c>
      <c r="N20" s="2">
        <f>$B20*$C19/O19</f>
        <v>260000</v>
      </c>
      <c r="O20" s="2">
        <f>$B19*$C20/N19</f>
        <v>0.5</v>
      </c>
      <c r="P20" s="2">
        <f t="shared" ref="P20" si="19">$B20*$C19/Q19</f>
        <v>260000</v>
      </c>
      <c r="Q20" s="2">
        <f t="shared" ref="Q20" si="20">$B19*$C20/P19</f>
        <v>0.5</v>
      </c>
      <c r="R20" s="2">
        <f t="shared" ref="R20" si="21">$B20*$C19/S19</f>
        <v>260000</v>
      </c>
      <c r="S20" s="2">
        <f t="shared" ref="S20" si="22">$B19*$C20/R19</f>
        <v>0.5</v>
      </c>
      <c r="T20" s="2">
        <f t="shared" ref="T20" si="23">$B20*$C19/U19</f>
        <v>260000</v>
      </c>
      <c r="U20" s="2">
        <f t="shared" ref="U20" si="24">$B19*$C20/T19</f>
        <v>0.5</v>
      </c>
      <c r="V20" s="2">
        <f t="shared" ref="V20" si="25">$B20*$C19/W19</f>
        <v>260000</v>
      </c>
      <c r="W20" s="2">
        <f t="shared" ref="W20" si="26">$B19*$C20/V19</f>
        <v>0.5</v>
      </c>
      <c r="X20" s="2">
        <f t="shared" ref="X20" si="27">$B20*$C19/Y19</f>
        <v>260000</v>
      </c>
      <c r="Y20" s="2">
        <f t="shared" ref="Y20" si="28">$B19*$C20/X19</f>
        <v>0.5</v>
      </c>
      <c r="Z20" s="2"/>
      <c r="AA20" s="2"/>
    </row>
    <row r="21" spans="1:27" x14ac:dyDescent="0.2">
      <c r="A21" s="4" t="s">
        <v>10</v>
      </c>
      <c r="B21" s="11">
        <f>B12</f>
        <v>256</v>
      </c>
      <c r="C21" s="11"/>
      <c r="D21" s="11">
        <f>B21*I2</f>
        <v>3072</v>
      </c>
      <c r="E21" s="11"/>
      <c r="F21" s="11">
        <f>D21</f>
        <v>3072</v>
      </c>
      <c r="G21" s="11"/>
      <c r="H21" s="11">
        <f>F21</f>
        <v>3072</v>
      </c>
      <c r="I21" s="11"/>
      <c r="J21" s="11">
        <f>H21</f>
        <v>3072</v>
      </c>
      <c r="K21" s="11"/>
      <c r="L21" s="11">
        <f>J21</f>
        <v>3072</v>
      </c>
      <c r="M21" s="11"/>
      <c r="N21" s="11">
        <f>J21*10/10</f>
        <v>3072</v>
      </c>
      <c r="O21" s="11"/>
      <c r="P21" s="11">
        <f>N21</f>
        <v>3072</v>
      </c>
      <c r="Q21" s="11"/>
      <c r="R21" s="11">
        <f t="shared" ref="R21:R23" si="29">P21</f>
        <v>3072</v>
      </c>
      <c r="S21" s="11"/>
      <c r="T21" s="11">
        <f t="shared" ref="T21:T23" si="30">R21</f>
        <v>3072</v>
      </c>
      <c r="U21" s="11"/>
      <c r="V21" s="11">
        <f>T21</f>
        <v>3072</v>
      </c>
      <c r="W21" s="11"/>
      <c r="X21" s="11">
        <f t="shared" ref="X21:X23" si="31">V21</f>
        <v>3072</v>
      </c>
      <c r="Y21" s="11"/>
      <c r="Z21" s="11"/>
      <c r="AA21" s="11"/>
    </row>
    <row r="22" spans="1:27" x14ac:dyDescent="0.2">
      <c r="A22" s="4" t="s">
        <v>11</v>
      </c>
      <c r="B22" s="11">
        <f>B13</f>
        <v>8</v>
      </c>
      <c r="C22" s="11"/>
      <c r="D22" s="11">
        <f>E13</f>
        <v>8</v>
      </c>
      <c r="E22" s="11"/>
      <c r="F22" s="11">
        <f t="shared" ref="F22" si="32">D22</f>
        <v>8</v>
      </c>
      <c r="G22" s="11"/>
      <c r="H22" s="11">
        <f t="shared" ref="H22:H23" si="33">F22</f>
        <v>8</v>
      </c>
      <c r="I22" s="11"/>
      <c r="J22" s="11">
        <f>H22</f>
        <v>8</v>
      </c>
      <c r="K22" s="11"/>
      <c r="L22" s="11">
        <f t="shared" ref="L22" si="34">J22</f>
        <v>8</v>
      </c>
      <c r="M22" s="11"/>
      <c r="N22" s="11">
        <f t="shared" ref="N22" si="35">L22</f>
        <v>8</v>
      </c>
      <c r="O22" s="11"/>
      <c r="P22" s="11">
        <f>B13</f>
        <v>8</v>
      </c>
      <c r="Q22" s="11"/>
      <c r="R22" s="11">
        <f t="shared" si="29"/>
        <v>8</v>
      </c>
      <c r="S22" s="11"/>
      <c r="T22" s="11">
        <f t="shared" si="30"/>
        <v>8</v>
      </c>
      <c r="U22" s="11"/>
      <c r="V22" s="11">
        <f>E13</f>
        <v>8</v>
      </c>
      <c r="W22" s="11"/>
      <c r="X22" s="11">
        <f t="shared" si="31"/>
        <v>8</v>
      </c>
      <c r="Y22" s="11"/>
      <c r="Z22" s="11"/>
      <c r="AA22" s="11"/>
    </row>
    <row r="23" spans="1:27" x14ac:dyDescent="0.2">
      <c r="A23" s="4" t="s">
        <v>12</v>
      </c>
      <c r="B23" s="11">
        <f>B14</f>
        <v>40000</v>
      </c>
      <c r="C23" s="11"/>
      <c r="D23" s="11">
        <f>B23*$I4</f>
        <v>520000</v>
      </c>
      <c r="E23" s="11"/>
      <c r="F23" s="11">
        <f>D23</f>
        <v>520000</v>
      </c>
      <c r="G23" s="11"/>
      <c r="H23" s="11">
        <f t="shared" si="33"/>
        <v>520000</v>
      </c>
      <c r="I23" s="11"/>
      <c r="J23" s="11">
        <f t="shared" ref="J23" si="36">H23</f>
        <v>520000</v>
      </c>
      <c r="K23" s="11"/>
      <c r="L23" s="11">
        <f>J23</f>
        <v>520000</v>
      </c>
      <c r="M23" s="11"/>
      <c r="N23" s="11">
        <f>L23</f>
        <v>520000</v>
      </c>
      <c r="O23" s="11"/>
      <c r="P23" s="11">
        <f t="shared" ref="P23" si="37">N23</f>
        <v>520000</v>
      </c>
      <c r="Q23" s="11"/>
      <c r="R23" s="11">
        <f t="shared" si="29"/>
        <v>520000</v>
      </c>
      <c r="S23" s="11"/>
      <c r="T23" s="11">
        <f t="shared" si="30"/>
        <v>520000</v>
      </c>
      <c r="U23" s="11"/>
      <c r="V23" s="11">
        <f t="shared" ref="V23" si="38">T23</f>
        <v>520000</v>
      </c>
      <c r="W23" s="11"/>
      <c r="X23" s="11">
        <f t="shared" si="31"/>
        <v>520000</v>
      </c>
      <c r="Y23" s="11"/>
      <c r="Z23" s="11"/>
      <c r="AA23" s="11"/>
    </row>
    <row r="24" spans="1:27" x14ac:dyDescent="0.2">
      <c r="A24" s="4" t="s">
        <v>42</v>
      </c>
      <c r="B24" s="14">
        <f>B21*B22*B23</f>
        <v>81920000</v>
      </c>
      <c r="C24" s="14"/>
      <c r="D24" s="14">
        <f t="shared" ref="D24" si="39">D21*D22*D23</f>
        <v>12779520000</v>
      </c>
      <c r="E24" s="14"/>
      <c r="F24" s="14">
        <f t="shared" ref="F24" si="40">F21*F22*F23</f>
        <v>12779520000</v>
      </c>
      <c r="G24" s="14"/>
      <c r="H24" s="14">
        <f t="shared" ref="H24" si="41">H21*H22*H23</f>
        <v>12779520000</v>
      </c>
      <c r="I24" s="14"/>
      <c r="J24" s="14">
        <f t="shared" ref="J24" si="42">J21*J22*J23</f>
        <v>12779520000</v>
      </c>
      <c r="K24" s="14"/>
      <c r="L24" s="14">
        <f t="shared" ref="L24" si="43">L21*L22*L23</f>
        <v>12779520000</v>
      </c>
      <c r="M24" s="14"/>
      <c r="N24" s="14">
        <f t="shared" ref="N24" si="44">N21*N22*N23</f>
        <v>12779520000</v>
      </c>
      <c r="O24" s="14"/>
      <c r="P24" s="14">
        <f t="shared" ref="P24" si="45">P21*P22*P23</f>
        <v>12779520000</v>
      </c>
      <c r="Q24" s="14"/>
      <c r="R24" s="14">
        <f t="shared" ref="R24" si="46">R21*R22*R23</f>
        <v>12779520000</v>
      </c>
      <c r="S24" s="14"/>
      <c r="T24" s="14">
        <f t="shared" ref="T24" si="47">T21*T22*T23</f>
        <v>12779520000</v>
      </c>
      <c r="U24" s="14"/>
      <c r="V24" s="14">
        <f t="shared" ref="V24" si="48">V21*V22*V23</f>
        <v>12779520000</v>
      </c>
      <c r="W24" s="14"/>
      <c r="X24" s="14">
        <f t="shared" ref="X24" si="49">X21*X22*X23</f>
        <v>12779520000</v>
      </c>
      <c r="Y24" s="14"/>
      <c r="Z24" s="5"/>
      <c r="AA24" s="5"/>
    </row>
    <row r="25" spans="1:27" hidden="1" x14ac:dyDescent="0.2">
      <c r="A25" s="8" t="s">
        <v>57</v>
      </c>
      <c r="B25" s="10">
        <f>0.097+1.663+1.042</f>
        <v>2.802</v>
      </c>
      <c r="C25" s="10"/>
      <c r="D25" s="10">
        <f>3.198+54.08</f>
        <v>57.277999999999999</v>
      </c>
      <c r="E25" s="10"/>
      <c r="F25" s="10">
        <v>105.111</v>
      </c>
      <c r="G25" s="10"/>
      <c r="H25" s="10">
        <v>86.424000000000007</v>
      </c>
      <c r="I25" s="10"/>
      <c r="J25" s="10">
        <v>69.337000000000003</v>
      </c>
      <c r="K25" s="10"/>
      <c r="L25" s="10">
        <v>172.245</v>
      </c>
      <c r="M25" s="10"/>
      <c r="N25" s="10"/>
      <c r="O25" s="10"/>
      <c r="P25" s="10">
        <v>66.156000000000006</v>
      </c>
      <c r="Q25" s="10"/>
      <c r="R25" s="10"/>
      <c r="S25" s="10"/>
      <c r="T25" s="10">
        <v>54.697000000000003</v>
      </c>
      <c r="U25" s="10"/>
      <c r="V25" s="10">
        <v>121.462</v>
      </c>
      <c r="W25" s="10"/>
      <c r="X25" s="10"/>
      <c r="Y25" s="10"/>
      <c r="Z25" s="9"/>
      <c r="AA25" s="9"/>
    </row>
    <row r="26" spans="1:27" hidden="1" x14ac:dyDescent="0.2">
      <c r="A26" s="8" t="s">
        <v>58</v>
      </c>
      <c r="B26" s="10">
        <f>8.53+7.78</f>
        <v>16.309999999999999</v>
      </c>
      <c r="C26" s="10"/>
      <c r="D26" s="10">
        <v>446.35</v>
      </c>
      <c r="E26" s="10"/>
      <c r="F26" s="10">
        <v>531.89</v>
      </c>
      <c r="G26" s="10"/>
      <c r="H26" s="10">
        <v>467.16</v>
      </c>
      <c r="I26" s="10"/>
      <c r="J26" s="10">
        <v>350.34</v>
      </c>
      <c r="K26" s="10"/>
      <c r="L26" s="10">
        <v>435.69</v>
      </c>
      <c r="M26" s="10"/>
      <c r="N26" s="10"/>
      <c r="O26" s="10"/>
      <c r="P26" s="10">
        <v>413.8</v>
      </c>
      <c r="Q26" s="10"/>
      <c r="R26" s="10"/>
      <c r="S26" s="10"/>
      <c r="T26" s="10">
        <v>513.15</v>
      </c>
      <c r="U26" s="10"/>
      <c r="V26" s="10">
        <v>468.64</v>
      </c>
      <c r="W26" s="10"/>
      <c r="X26" s="10"/>
      <c r="Y26" s="10"/>
    </row>
    <row r="27" spans="1:27" x14ac:dyDescent="0.2">
      <c r="A27" s="8" t="s">
        <v>59</v>
      </c>
      <c r="B27" s="10">
        <f>B25/256/8/2000*B$24</f>
        <v>56.040000000000006</v>
      </c>
      <c r="C27" s="10"/>
      <c r="D27" s="10">
        <f>D25/3072/8/26000*D$24</f>
        <v>1145.56</v>
      </c>
      <c r="E27" s="10"/>
      <c r="F27" s="10">
        <f t="shared" ref="F27" si="50">F25/3072/8/26000*F$24</f>
        <v>2102.2200000000003</v>
      </c>
      <c r="G27" s="10"/>
      <c r="H27" s="10">
        <f t="shared" ref="H27" si="51">H25/3072/8/26000*H$24</f>
        <v>1728.48</v>
      </c>
      <c r="I27" s="10"/>
      <c r="J27" s="10">
        <f t="shared" ref="J27" si="52">J25/3072/8/26000*J$24</f>
        <v>1386.74</v>
      </c>
      <c r="K27" s="10"/>
      <c r="L27" s="10">
        <f t="shared" ref="L27" si="53">L25/3072/8/26000*L$24</f>
        <v>3444.8999999999996</v>
      </c>
      <c r="M27" s="10"/>
      <c r="N27" s="10"/>
      <c r="O27" s="10"/>
      <c r="P27" s="10">
        <f t="shared" ref="P27" si="54">P25/3072/8/26000*P$24</f>
        <v>1323.1200000000001</v>
      </c>
      <c r="Q27" s="10"/>
      <c r="R27" s="10"/>
      <c r="S27" s="10"/>
      <c r="T27" s="10">
        <f>T25/3072/8/26000*T$24</f>
        <v>1093.94</v>
      </c>
      <c r="U27" s="10"/>
      <c r="V27" s="10">
        <f t="shared" ref="V27" si="55">V25/3072/8/26000*V$24</f>
        <v>2429.2400000000002</v>
      </c>
      <c r="W27" s="10"/>
      <c r="X27" s="10"/>
      <c r="Y27" s="10"/>
    </row>
    <row r="28" spans="1:27" x14ac:dyDescent="0.2">
      <c r="A28" s="8" t="s">
        <v>60</v>
      </c>
      <c r="B28" s="10">
        <f>B26/256/8/2000*B$24</f>
        <v>326.2</v>
      </c>
      <c r="C28" s="10"/>
      <c r="D28" s="10">
        <f>D26/3072/8/26000*D$24</f>
        <v>8927</v>
      </c>
      <c r="E28" s="10"/>
      <c r="F28" s="10">
        <f t="shared" ref="F28" si="56">F26/3072/8/26000*F$24</f>
        <v>10637.8</v>
      </c>
      <c r="G28" s="10"/>
      <c r="H28" s="10">
        <f t="shared" ref="H28" si="57">H26/3072/8/26000*H$24</f>
        <v>9343.2000000000007</v>
      </c>
      <c r="I28" s="10"/>
      <c r="J28" s="10">
        <f t="shared" ref="J28" si="58">J26/3072/8/26000*J$24</f>
        <v>7006.7999999999993</v>
      </c>
      <c r="K28" s="10"/>
      <c r="L28" s="10">
        <f t="shared" ref="L28" si="59">L26/3072/8/26000*L$24</f>
        <v>8713.7999999999993</v>
      </c>
      <c r="M28" s="10"/>
      <c r="N28" s="10"/>
      <c r="O28" s="10"/>
      <c r="P28" s="10">
        <f t="shared" ref="P28" si="60">P26/3072/8/26000*P$24</f>
        <v>8276</v>
      </c>
      <c r="Q28" s="10"/>
      <c r="R28" s="10"/>
      <c r="S28" s="10"/>
      <c r="T28" s="10">
        <f>T26/3072/8/26000*T$24</f>
        <v>10262.999999999998</v>
      </c>
      <c r="U28" s="10"/>
      <c r="V28" s="10">
        <f t="shared" ref="V28" si="61">V26/3072/8/26000*V$24</f>
        <v>9372.8000000000011</v>
      </c>
      <c r="W28" s="10"/>
      <c r="X28" s="10"/>
      <c r="Y28" s="10"/>
    </row>
    <row r="29" spans="1:27" x14ac:dyDescent="0.2">
      <c r="A29" s="8" t="s">
        <v>61</v>
      </c>
      <c r="B29" s="11">
        <v>0</v>
      </c>
      <c r="C29" s="11"/>
      <c r="D29" s="11">
        <v>0</v>
      </c>
      <c r="E29" s="11"/>
      <c r="F29" s="11">
        <v>0</v>
      </c>
      <c r="G29" s="11"/>
      <c r="H29" s="11">
        <v>0</v>
      </c>
      <c r="I29" s="11"/>
      <c r="J29" s="11">
        <v>0</v>
      </c>
      <c r="K29" s="11"/>
      <c r="L29" s="11">
        <v>0</v>
      </c>
      <c r="M29" s="11"/>
      <c r="N29" s="11"/>
      <c r="O29" s="11"/>
      <c r="P29" s="11">
        <v>0</v>
      </c>
      <c r="Q29" s="11"/>
      <c r="R29" s="11"/>
      <c r="S29" s="11"/>
      <c r="T29" s="11">
        <v>0</v>
      </c>
      <c r="U29" s="11"/>
      <c r="V29" s="11">
        <v>1</v>
      </c>
      <c r="W29" s="11"/>
      <c r="X29" s="11"/>
      <c r="Y29" s="11"/>
    </row>
    <row r="30" spans="1:27" x14ac:dyDescent="0.2">
      <c r="A30" s="4" t="s">
        <v>32</v>
      </c>
      <c r="B30" s="13">
        <f>(B27+B28*B29)/86400</f>
        <v>6.486111111111112E-4</v>
      </c>
      <c r="C30" s="13"/>
      <c r="D30" s="13">
        <f t="shared" ref="D30" si="62">(D27+D28*D29)/86400</f>
        <v>1.3258796296296296E-2</v>
      </c>
      <c r="E30" s="13"/>
      <c r="F30" s="13">
        <f t="shared" ref="F30" si="63">(F27+F28*F29)/86400</f>
        <v>2.4331250000000002E-2</v>
      </c>
      <c r="G30" s="13"/>
      <c r="H30" s="13">
        <f t="shared" ref="H30" si="64">(H27+H28*H29)/86400</f>
        <v>2.0005555555555554E-2</v>
      </c>
      <c r="I30" s="13"/>
      <c r="J30" s="13">
        <f t="shared" ref="J30" si="65">(J27+J28*J29)/86400</f>
        <v>1.6050231481481481E-2</v>
      </c>
      <c r="K30" s="13"/>
      <c r="L30" s="13">
        <f t="shared" ref="L30" si="66">(L27+L28*L29)/86400</f>
        <v>3.9871527777777777E-2</v>
      </c>
      <c r="M30" s="13"/>
      <c r="N30" s="13"/>
      <c r="O30" s="13"/>
      <c r="P30" s="13">
        <f t="shared" ref="P30" si="67">(P27+P28*P29)/86400</f>
        <v>1.5313888888888891E-2</v>
      </c>
      <c r="Q30" s="13"/>
      <c r="R30" s="13"/>
      <c r="S30" s="13"/>
      <c r="T30" s="13">
        <f t="shared" ref="T30" si="68">(T27+T28*T29)/86400</f>
        <v>1.2661342592592594E-2</v>
      </c>
      <c r="U30" s="13"/>
      <c r="V30" s="13">
        <f t="shared" ref="V30" si="69">(V27+V28*V29)/86400</f>
        <v>0.1365976851851852</v>
      </c>
      <c r="W30" s="13"/>
      <c r="X30" s="13"/>
      <c r="Y30" s="13"/>
      <c r="Z30" s="10"/>
      <c r="AA30" s="10"/>
    </row>
    <row r="31" spans="1:27" x14ac:dyDescent="0.2">
      <c r="E31" s="6"/>
    </row>
  </sheetData>
  <mergeCells count="133">
    <mergeCell ref="D11:E11"/>
    <mergeCell ref="P30:S30"/>
    <mergeCell ref="V30:Y30"/>
    <mergeCell ref="B29:C29"/>
    <mergeCell ref="D29:E29"/>
    <mergeCell ref="F29:G29"/>
    <mergeCell ref="H29:I29"/>
    <mergeCell ref="J29:K29"/>
    <mergeCell ref="L29:O29"/>
    <mergeCell ref="P29:S29"/>
    <mergeCell ref="T29:U29"/>
    <mergeCell ref="V29:Y29"/>
    <mergeCell ref="L30:O30"/>
    <mergeCell ref="J28:K28"/>
    <mergeCell ref="L28:O28"/>
    <mergeCell ref="P28:S28"/>
    <mergeCell ref="T28:U28"/>
    <mergeCell ref="V28:Y28"/>
    <mergeCell ref="P26:S26"/>
    <mergeCell ref="V25:Y25"/>
    <mergeCell ref="V26:Y26"/>
    <mergeCell ref="B27:C27"/>
    <mergeCell ref="B28:C28"/>
    <mergeCell ref="D27:E27"/>
    <mergeCell ref="D28:E28"/>
    <mergeCell ref="F27:G27"/>
    <mergeCell ref="H27:I27"/>
    <mergeCell ref="J27:K27"/>
    <mergeCell ref="L27:O27"/>
    <mergeCell ref="P27:S27"/>
    <mergeCell ref="T27:U27"/>
    <mergeCell ref="V27:Y27"/>
    <mergeCell ref="F28:G28"/>
    <mergeCell ref="H28:I28"/>
    <mergeCell ref="T25:U25"/>
    <mergeCell ref="D26:E26"/>
    <mergeCell ref="F26:G26"/>
    <mergeCell ref="H26:I26"/>
    <mergeCell ref="J26:K26"/>
    <mergeCell ref="T26:U26"/>
    <mergeCell ref="L25:O25"/>
    <mergeCell ref="L26:O26"/>
    <mergeCell ref="J25:K25"/>
    <mergeCell ref="P25:S25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R22:S22"/>
    <mergeCell ref="T22:U22"/>
    <mergeCell ref="V22:W22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L22:M22"/>
    <mergeCell ref="N22:O22"/>
    <mergeCell ref="P22:Q22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I17"/>
  <sheetViews>
    <sheetView workbookViewId="0">
      <selection activeCell="I6" sqref="I6"/>
    </sheetView>
  </sheetViews>
  <sheetFormatPr defaultRowHeight="14.25" x14ac:dyDescent="0.2"/>
  <cols>
    <col min="1" max="1" width="10.5" customWidth="1"/>
    <col min="2" max="2" width="21.5" customWidth="1"/>
    <col min="3" max="5" width="15.875" customWidth="1"/>
    <col min="6" max="6" width="12.625" customWidth="1"/>
    <col min="7" max="7" width="13.25" customWidth="1"/>
    <col min="9" max="9" width="17.25" customWidth="1"/>
  </cols>
  <sheetData>
    <row r="1" spans="1:9" x14ac:dyDescent="0.2">
      <c r="A1" t="s">
        <v>49</v>
      </c>
      <c r="B1" t="s">
        <v>65</v>
      </c>
      <c r="C1" t="s">
        <v>45</v>
      </c>
      <c r="D1" t="s">
        <v>51</v>
      </c>
      <c r="E1" t="s">
        <v>50</v>
      </c>
      <c r="F1" t="s">
        <v>53</v>
      </c>
      <c r="G1" t="s">
        <v>55</v>
      </c>
      <c r="H1" t="s">
        <v>46</v>
      </c>
      <c r="I1" t="s">
        <v>48</v>
      </c>
    </row>
    <row r="2" spans="1:9" x14ac:dyDescent="0.2">
      <c r="C2">
        <v>1200</v>
      </c>
      <c r="D2">
        <v>1.5</v>
      </c>
      <c r="E2">
        <v>0.09</v>
      </c>
      <c r="F2">
        <v>200.72</v>
      </c>
      <c r="G2" s="15"/>
      <c r="H2" s="15" t="e">
        <f>F2/G2</f>
        <v>#DIV/0!</v>
      </c>
      <c r="I2" s="15">
        <f>1946/1024</f>
        <v>1.900390625</v>
      </c>
    </row>
    <row r="3" spans="1:9" x14ac:dyDescent="0.2">
      <c r="C3">
        <v>400</v>
      </c>
      <c r="E3">
        <v>1.54</v>
      </c>
      <c r="G3" s="15"/>
      <c r="H3" s="15" t="e">
        <f t="shared" ref="H3:H4" si="0">F3/G3</f>
        <v>#DIV/0!</v>
      </c>
      <c r="I3" s="15">
        <f>440480/1024</f>
        <v>430.15625</v>
      </c>
    </row>
    <row r="4" spans="1:9" x14ac:dyDescent="0.2">
      <c r="C4">
        <v>100</v>
      </c>
      <c r="E4">
        <v>1.54</v>
      </c>
      <c r="G4" s="15"/>
      <c r="H4" s="15" t="e">
        <f t="shared" si="0"/>
        <v>#DIV/0!</v>
      </c>
      <c r="I4" s="15">
        <f>3665132/1024</f>
        <v>3579.23046875</v>
      </c>
    </row>
    <row r="5" spans="1:9" x14ac:dyDescent="0.2">
      <c r="C5">
        <v>40</v>
      </c>
      <c r="E5">
        <v>0.37</v>
      </c>
      <c r="G5" s="15"/>
      <c r="H5" s="15"/>
      <c r="I5" s="15">
        <v>8711</v>
      </c>
    </row>
    <row r="6" spans="1:9" x14ac:dyDescent="0.2">
      <c r="A6">
        <v>41203153</v>
      </c>
      <c r="B6" t="s">
        <v>66</v>
      </c>
      <c r="C6">
        <v>20</v>
      </c>
      <c r="D6">
        <v>90.87</v>
      </c>
      <c r="E6">
        <v>1.04</v>
      </c>
      <c r="G6" s="17">
        <v>4379.47</v>
      </c>
      <c r="I6" s="15">
        <f>22122874/1024</f>
        <v>21604.369140625</v>
      </c>
    </row>
    <row r="7" spans="1:9" x14ac:dyDescent="0.2">
      <c r="A7">
        <v>41221086</v>
      </c>
      <c r="B7" t="s">
        <v>67</v>
      </c>
      <c r="C7">
        <v>20</v>
      </c>
      <c r="G7">
        <v>4477.72</v>
      </c>
      <c r="I7" s="15">
        <f>22834406/1024</f>
        <v>22299.224609375</v>
      </c>
    </row>
    <row r="8" spans="1:9" x14ac:dyDescent="0.2">
      <c r="A8">
        <v>41221087</v>
      </c>
      <c r="B8" t="s">
        <v>68</v>
      </c>
      <c r="C8">
        <v>20</v>
      </c>
      <c r="G8">
        <v>4019.53</v>
      </c>
      <c r="I8" s="15">
        <f>22956502/1024</f>
        <v>22418.458984375</v>
      </c>
    </row>
    <row r="10" spans="1:9" x14ac:dyDescent="0.2">
      <c r="A10">
        <v>41225171</v>
      </c>
      <c r="B10" t="s">
        <v>71</v>
      </c>
      <c r="C10">
        <v>400</v>
      </c>
    </row>
    <row r="11" spans="1:9" x14ac:dyDescent="0.2">
      <c r="A11">
        <v>41225182</v>
      </c>
      <c r="B11" t="s">
        <v>72</v>
      </c>
      <c r="C11">
        <v>400</v>
      </c>
    </row>
    <row r="16" spans="1:9" x14ac:dyDescent="0.2">
      <c r="D16" t="s">
        <v>70</v>
      </c>
    </row>
    <row r="17" spans="4:4" x14ac:dyDescent="0.2">
      <c r="D17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E5"/>
  <sheetViews>
    <sheetView workbookViewId="0">
      <selection activeCell="D5" sqref="D5"/>
    </sheetView>
  </sheetViews>
  <sheetFormatPr defaultRowHeight="14.25" x14ac:dyDescent="0.2"/>
  <cols>
    <col min="1" max="1" width="17" customWidth="1"/>
    <col min="2" max="2" width="15.25" customWidth="1"/>
    <col min="3" max="3" width="0" hidden="1" customWidth="1"/>
    <col min="4" max="4" width="13.875" customWidth="1"/>
    <col min="5" max="5" width="17.125" customWidth="1"/>
  </cols>
  <sheetData>
    <row r="1" spans="1:5" x14ac:dyDescent="0.2">
      <c r="A1" t="s">
        <v>44</v>
      </c>
      <c r="B1" t="s">
        <v>51</v>
      </c>
      <c r="C1" t="s">
        <v>52</v>
      </c>
      <c r="D1" t="s">
        <v>54</v>
      </c>
      <c r="E1" t="s">
        <v>73</v>
      </c>
    </row>
    <row r="2" spans="1:5" x14ac:dyDescent="0.2">
      <c r="A2" s="18">
        <v>1200</v>
      </c>
      <c r="B2" s="18">
        <f>$B$4*$A$4/A2</f>
        <v>1.5061666666666667</v>
      </c>
      <c r="C2" s="18">
        <v>200.72</v>
      </c>
      <c r="D2" s="18">
        <v>13.78</v>
      </c>
      <c r="E2" s="18">
        <f>1.9/1024</f>
        <v>1.8554687499999999E-3</v>
      </c>
    </row>
    <row r="3" spans="1:5" x14ac:dyDescent="0.2">
      <c r="A3" s="18">
        <v>400</v>
      </c>
      <c r="B3" s="18">
        <f>$B$4*$A$4/A3</f>
        <v>4.5185000000000004</v>
      </c>
      <c r="C3" s="18">
        <v>294.68</v>
      </c>
      <c r="D3" s="18">
        <v>34.39</v>
      </c>
      <c r="E3" s="18">
        <f>430.16/1024</f>
        <v>0.42007812500000002</v>
      </c>
    </row>
    <row r="4" spans="1:5" x14ac:dyDescent="0.2">
      <c r="A4" s="18">
        <v>20</v>
      </c>
      <c r="B4" s="18">
        <v>90.37</v>
      </c>
      <c r="C4" s="18" t="s">
        <v>47</v>
      </c>
      <c r="D4" s="18">
        <v>746.76199999999994</v>
      </c>
      <c r="E4" s="18">
        <f>22122874/1024/1024</f>
        <v>21.098016738891602</v>
      </c>
    </row>
    <row r="5" spans="1:5" x14ac:dyDescent="0.2">
      <c r="A5" s="18">
        <v>1</v>
      </c>
      <c r="B5" s="18">
        <f>$B$4*$A$4/A5</f>
        <v>1807.4</v>
      </c>
      <c r="C5" s="18"/>
      <c r="D5" s="18">
        <f>D4/B4*B5</f>
        <v>14935.24</v>
      </c>
      <c r="E5" s="18">
        <f>E4/B4*B5</f>
        <v>421.96033477783203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tabSelected="1" workbookViewId="0">
      <selection activeCell="A6" sqref="A6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74</v>
      </c>
      <c r="B1" t="s">
        <v>76</v>
      </c>
      <c r="C1" t="s">
        <v>82</v>
      </c>
      <c r="D1" t="s">
        <v>77</v>
      </c>
      <c r="E1" t="s">
        <v>81</v>
      </c>
    </row>
    <row r="2" spans="1:5" x14ac:dyDescent="0.2">
      <c r="A2" t="s">
        <v>75</v>
      </c>
      <c r="B2">
        <v>400</v>
      </c>
      <c r="C2" s="7">
        <f>efficiency!D3*1.4/86400</f>
        <v>5.5724537037037038E-4</v>
      </c>
      <c r="D2">
        <v>50</v>
      </c>
      <c r="E2" s="7">
        <f>C2*D2</f>
        <v>2.7862268518518519E-2</v>
      </c>
    </row>
    <row r="3" spans="1:5" x14ac:dyDescent="0.2">
      <c r="A3" t="s">
        <v>78</v>
      </c>
      <c r="B3">
        <v>1</v>
      </c>
      <c r="C3" s="7">
        <f>efficiency!D5*1.4/86400</f>
        <v>0.24200620370370371</v>
      </c>
      <c r="D3">
        <f>D2</f>
        <v>50</v>
      </c>
      <c r="E3" s="7">
        <f t="shared" ref="E3:E5" si="0">C3*D3</f>
        <v>12.100310185185185</v>
      </c>
    </row>
    <row r="4" spans="1:5" x14ac:dyDescent="0.2">
      <c r="A4" t="s">
        <v>79</v>
      </c>
      <c r="B4">
        <v>1</v>
      </c>
      <c r="C4" s="7">
        <f>efficiency!D5*1.4/86400</f>
        <v>0.24200620370370371</v>
      </c>
      <c r="D4">
        <f t="shared" ref="D4:D5" si="1">D3</f>
        <v>50</v>
      </c>
      <c r="E4" s="7">
        <f t="shared" si="0"/>
        <v>12.100310185185185</v>
      </c>
    </row>
    <row r="5" spans="1:5" x14ac:dyDescent="0.2">
      <c r="A5" t="s">
        <v>80</v>
      </c>
      <c r="B5">
        <v>20</v>
      </c>
      <c r="C5" s="7">
        <f>efficiency!D4*1.4/86400</f>
        <v>1.2100310185185184E-2</v>
      </c>
      <c r="D5">
        <f t="shared" si="1"/>
        <v>50</v>
      </c>
      <c r="E5" s="7">
        <f t="shared" si="0"/>
        <v>0.60501550925925918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9481 2D</vt:lpstr>
      <vt:lpstr>job list</vt:lpstr>
      <vt:lpstr>efficiency</vt:lpstr>
      <vt:lpstr>parameter scans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2021-03-31T16:00:08Z</dcterms:modified>
</cp:coreProperties>
</file>