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w0\GoogleDrive\SLAC\SLAC-Diling\11. 21 Winter\DXS optics\LCLS\"/>
    </mc:Choice>
  </mc:AlternateContent>
  <xr:revisionPtr revIDLastSave="0" documentId="13_ncr:1_{1F7EA4AF-438B-4C3A-AC02-50F6EDE79C46}" xr6:coauthVersionLast="47" xr6:coauthVersionMax="47" xr10:uidLastSave="{00000000-0000-0000-0000-000000000000}"/>
  <bookViews>
    <workbookView xWindow="-120" yWindow="285" windowWidth="38640" windowHeight="20865" tabRatio="729" firstSheet="7" activeTab="10" xr2:uid="{6FDFD292-6916-AD47-BD4D-5B8A402B5A12}"/>
  </bookViews>
  <sheets>
    <sheet name="SASE-HHLM-66meV" sheetId="1" r:id="rId1"/>
    <sheet name="SASE-HHLM-36meV" sheetId="2" r:id="rId2"/>
    <sheet name="HXRSS-HHLM-66meV" sheetId="3" r:id="rId3"/>
    <sheet name="HXRSS-HHLM-36meV" sheetId="4" r:id="rId4"/>
    <sheet name="Option-1" sheetId="7" r:id="rId5"/>
    <sheet name="SASE-111-220" sheetId="9" r:id="rId6"/>
    <sheet name="Option-2" sheetId="8" r:id="rId7"/>
    <sheet name="zig-zag_power_calc" sheetId="10" r:id="rId8"/>
    <sheet name="2DCM-111-440" sheetId="11" r:id="rId9"/>
    <sheet name="2DCM-111-333" sheetId="12" r:id="rId10"/>
    <sheet name="bw factor" sheetId="13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3" l="1"/>
  <c r="E48" i="13"/>
  <c r="B48" i="13"/>
  <c r="D48" i="13" s="1"/>
  <c r="E47" i="13"/>
  <c r="C47" i="13"/>
  <c r="E46" i="13"/>
  <c r="B47" i="13"/>
  <c r="D47" i="13" s="1"/>
  <c r="E45" i="13"/>
  <c r="C45" i="13"/>
  <c r="B45" i="13"/>
  <c r="D45" i="13" s="1"/>
  <c r="H44" i="13"/>
  <c r="G45" i="13" s="1"/>
  <c r="G44" i="13"/>
  <c r="E44" i="13"/>
  <c r="D44" i="13"/>
  <c r="E34" i="13"/>
  <c r="H34" i="13" s="1"/>
  <c r="I34" i="13" s="1"/>
  <c r="B38" i="13"/>
  <c r="B36" i="13"/>
  <c r="E39" i="13"/>
  <c r="B39" i="13"/>
  <c r="D39" i="13" s="1"/>
  <c r="E38" i="13"/>
  <c r="D38" i="13"/>
  <c r="E37" i="13"/>
  <c r="C37" i="13"/>
  <c r="E36" i="13"/>
  <c r="B37" i="13"/>
  <c r="E35" i="13"/>
  <c r="C35" i="13"/>
  <c r="B35" i="13"/>
  <c r="G34" i="13"/>
  <c r="D34" i="13"/>
  <c r="E24" i="13"/>
  <c r="C27" i="13"/>
  <c r="C17" i="13"/>
  <c r="B18" i="13"/>
  <c r="B28" i="13"/>
  <c r="D28" i="13" s="1"/>
  <c r="B26" i="13"/>
  <c r="E29" i="13"/>
  <c r="B29" i="13"/>
  <c r="D29" i="13" s="1"/>
  <c r="E28" i="13"/>
  <c r="E27" i="13"/>
  <c r="E26" i="13"/>
  <c r="B27" i="13"/>
  <c r="D27" i="13" s="1"/>
  <c r="E25" i="13"/>
  <c r="C25" i="13"/>
  <c r="G24" i="13"/>
  <c r="D24" i="13"/>
  <c r="E18" i="13"/>
  <c r="E19" i="13"/>
  <c r="D18" i="13"/>
  <c r="B19" i="13"/>
  <c r="D19" i="13" s="1"/>
  <c r="H14" i="13"/>
  <c r="I14" i="13" s="1"/>
  <c r="E16" i="13"/>
  <c r="E17" i="13"/>
  <c r="B16" i="13"/>
  <c r="D16" i="13" s="1"/>
  <c r="E15" i="13"/>
  <c r="C15" i="13"/>
  <c r="G14" i="13"/>
  <c r="E14" i="13"/>
  <c r="B14" i="13"/>
  <c r="B15" i="13" s="1"/>
  <c r="D15" i="13" s="1"/>
  <c r="F13" i="11"/>
  <c r="F19" i="12"/>
  <c r="E19" i="12"/>
  <c r="F7" i="13"/>
  <c r="D3" i="13"/>
  <c r="E3" i="13" s="1"/>
  <c r="D4" i="13"/>
  <c r="E4" i="13" s="1"/>
  <c r="D5" i="13"/>
  <c r="E5" i="13" s="1"/>
  <c r="D7" i="13"/>
  <c r="E7" i="13" s="1"/>
  <c r="D2" i="13"/>
  <c r="E2" i="13" s="1"/>
  <c r="B10" i="13"/>
  <c r="I22" i="11"/>
  <c r="I20" i="11"/>
  <c r="E23" i="11"/>
  <c r="F23" i="11"/>
  <c r="C23" i="11"/>
  <c r="D23" i="11" s="1"/>
  <c r="F23" i="12"/>
  <c r="E23" i="12"/>
  <c r="D23" i="12"/>
  <c r="C23" i="12"/>
  <c r="F12" i="12"/>
  <c r="C32" i="12"/>
  <c r="C30" i="12"/>
  <c r="C33" i="12" s="1"/>
  <c r="G29" i="12"/>
  <c r="G28" i="12"/>
  <c r="H28" i="12" s="1"/>
  <c r="D28" i="12"/>
  <c r="C16" i="12"/>
  <c r="C18" i="12" s="1"/>
  <c r="D16" i="12" s="1"/>
  <c r="E15" i="12"/>
  <c r="D15" i="12"/>
  <c r="C15" i="12"/>
  <c r="F14" i="12"/>
  <c r="D14" i="12"/>
  <c r="F13" i="12"/>
  <c r="D13" i="12"/>
  <c r="D12" i="12"/>
  <c r="G7" i="12"/>
  <c r="C7" i="12"/>
  <c r="D7" i="12" s="1"/>
  <c r="E7" i="12" s="1"/>
  <c r="D5" i="12"/>
  <c r="E5" i="12" s="1"/>
  <c r="B1" i="12"/>
  <c r="F14" i="11"/>
  <c r="D14" i="11"/>
  <c r="D13" i="11"/>
  <c r="F12" i="11"/>
  <c r="D12" i="11"/>
  <c r="C32" i="11"/>
  <c r="G30" i="11"/>
  <c r="G31" i="11" s="1"/>
  <c r="G29" i="11"/>
  <c r="D28" i="11"/>
  <c r="G28" i="11" s="1"/>
  <c r="H28" i="11" s="1"/>
  <c r="C16" i="11"/>
  <c r="C15" i="11"/>
  <c r="C18" i="11" s="1"/>
  <c r="D16" i="11" s="1"/>
  <c r="G7" i="11"/>
  <c r="C7" i="11"/>
  <c r="D7" i="11" s="1"/>
  <c r="E7" i="11" s="1"/>
  <c r="D5" i="11"/>
  <c r="B1" i="11"/>
  <c r="D30" i="11" s="1"/>
  <c r="D31" i="11" s="1"/>
  <c r="E19" i="10"/>
  <c r="D19" i="10"/>
  <c r="E20" i="1"/>
  <c r="E22" i="1"/>
  <c r="E21" i="1" s="1"/>
  <c r="C16" i="10"/>
  <c r="F13" i="10"/>
  <c r="E13" i="10"/>
  <c r="F12" i="10"/>
  <c r="E12" i="10"/>
  <c r="D15" i="10"/>
  <c r="C31" i="10"/>
  <c r="C30" i="10"/>
  <c r="C33" i="10" s="1"/>
  <c r="D31" i="10" s="1"/>
  <c r="H29" i="10"/>
  <c r="H30" i="10" s="1"/>
  <c r="C29" i="10"/>
  <c r="C32" i="10" s="1"/>
  <c r="G28" i="10"/>
  <c r="D27" i="10"/>
  <c r="G27" i="10" s="1"/>
  <c r="H27" i="10" s="1"/>
  <c r="C15" i="10"/>
  <c r="C19" i="10" s="1"/>
  <c r="E14" i="10"/>
  <c r="E15" i="10" s="1"/>
  <c r="F14" i="10"/>
  <c r="G7" i="10"/>
  <c r="D7" i="10"/>
  <c r="E7" i="10" s="1"/>
  <c r="C7" i="10"/>
  <c r="E5" i="10"/>
  <c r="D5" i="10"/>
  <c r="B1" i="10"/>
  <c r="C14" i="7"/>
  <c r="D14" i="7"/>
  <c r="C19" i="3"/>
  <c r="F5" i="1"/>
  <c r="E19" i="9"/>
  <c r="D19" i="9"/>
  <c r="D14" i="9"/>
  <c r="C31" i="9"/>
  <c r="C32" i="9" s="1"/>
  <c r="C29" i="9"/>
  <c r="C30" i="9" s="1"/>
  <c r="G28" i="9"/>
  <c r="D27" i="9"/>
  <c r="G27" i="9" s="1"/>
  <c r="H27" i="9" s="1"/>
  <c r="C16" i="9"/>
  <c r="D15" i="9"/>
  <c r="F13" i="9"/>
  <c r="F12" i="9"/>
  <c r="E12" i="9"/>
  <c r="G7" i="9"/>
  <c r="D5" i="9"/>
  <c r="E5" i="9" s="1"/>
  <c r="B1" i="9"/>
  <c r="D14" i="13" l="1"/>
  <c r="B17" i="13"/>
  <c r="D17" i="13" s="1"/>
  <c r="D35" i="13"/>
  <c r="H24" i="13"/>
  <c r="G25" i="13" s="1"/>
  <c r="D37" i="13"/>
  <c r="G15" i="13"/>
  <c r="H15" i="13" s="1"/>
  <c r="H45" i="13"/>
  <c r="G46" i="13" s="1"/>
  <c r="I44" i="13"/>
  <c r="D46" i="13"/>
  <c r="B49" i="13"/>
  <c r="D49" i="13" s="1"/>
  <c r="D36" i="13"/>
  <c r="G35" i="13"/>
  <c r="B25" i="13"/>
  <c r="D25" i="13" s="1"/>
  <c r="D26" i="13"/>
  <c r="G16" i="13"/>
  <c r="H16" i="13" s="1"/>
  <c r="F15" i="11"/>
  <c r="C30" i="11"/>
  <c r="C31" i="11" s="1"/>
  <c r="C34" i="11" s="1"/>
  <c r="D32" i="11" s="1"/>
  <c r="D33" i="11" s="1"/>
  <c r="F15" i="12"/>
  <c r="D18" i="12"/>
  <c r="E16" i="12" s="1"/>
  <c r="D17" i="12"/>
  <c r="F5" i="12"/>
  <c r="C20" i="12" s="1"/>
  <c r="H30" i="12"/>
  <c r="H31" i="12" s="1"/>
  <c r="C19" i="12"/>
  <c r="D19" i="12" s="1"/>
  <c r="C31" i="12"/>
  <c r="C34" i="12" s="1"/>
  <c r="D32" i="12" s="1"/>
  <c r="D6" i="12"/>
  <c r="D30" i="12"/>
  <c r="D31" i="12" s="1"/>
  <c r="G30" i="12"/>
  <c r="G31" i="12" s="1"/>
  <c r="D15" i="11"/>
  <c r="E15" i="11"/>
  <c r="D6" i="11"/>
  <c r="D17" i="11"/>
  <c r="E5" i="11"/>
  <c r="H30" i="11"/>
  <c r="H31" i="11" s="1"/>
  <c r="C18" i="10"/>
  <c r="D16" i="10" s="1"/>
  <c r="D18" i="10" s="1"/>
  <c r="E16" i="10" s="1"/>
  <c r="F15" i="10"/>
  <c r="E6" i="10"/>
  <c r="D32" i="10"/>
  <c r="F5" i="10"/>
  <c r="C20" i="10" s="1"/>
  <c r="D6" i="10"/>
  <c r="D29" i="10"/>
  <c r="D30" i="10" s="1"/>
  <c r="D33" i="10" s="1"/>
  <c r="G29" i="10"/>
  <c r="G30" i="10" s="1"/>
  <c r="F5" i="9"/>
  <c r="C20" i="9" s="1"/>
  <c r="E6" i="9"/>
  <c r="D6" i="9"/>
  <c r="C33" i="9"/>
  <c r="D31" i="9" s="1"/>
  <c r="E14" i="9"/>
  <c r="E15" i="9" s="1"/>
  <c r="D29" i="9"/>
  <c r="D30" i="9" s="1"/>
  <c r="G29" i="9"/>
  <c r="G30" i="9" s="1"/>
  <c r="C7" i="9"/>
  <c r="D7" i="9" s="1"/>
  <c r="E7" i="9" s="1"/>
  <c r="C14" i="9"/>
  <c r="H29" i="9"/>
  <c r="H30" i="9" s="1"/>
  <c r="C17" i="9"/>
  <c r="C17" i="7"/>
  <c r="F14" i="7"/>
  <c r="E14" i="8"/>
  <c r="D14" i="8"/>
  <c r="F14" i="8"/>
  <c r="C14" i="8"/>
  <c r="C15" i="8" s="1"/>
  <c r="C19" i="8" s="1"/>
  <c r="F13" i="8"/>
  <c r="E12" i="8"/>
  <c r="F12" i="8"/>
  <c r="D15" i="8"/>
  <c r="E15" i="8"/>
  <c r="C16" i="8"/>
  <c r="C20" i="8"/>
  <c r="D27" i="8"/>
  <c r="G27" i="8" s="1"/>
  <c r="H27" i="8" s="1"/>
  <c r="G28" i="8"/>
  <c r="C29" i="8"/>
  <c r="D29" i="8"/>
  <c r="G29" i="8"/>
  <c r="G30" i="8" s="1"/>
  <c r="H29" i="8"/>
  <c r="C30" i="8"/>
  <c r="D30" i="8"/>
  <c r="H30" i="8"/>
  <c r="C31" i="8"/>
  <c r="C32" i="8"/>
  <c r="C33" i="8"/>
  <c r="D31" i="8" s="1"/>
  <c r="G7" i="8"/>
  <c r="D5" i="8"/>
  <c r="E5" i="8" s="1"/>
  <c r="B1" i="8"/>
  <c r="F13" i="7"/>
  <c r="E14" i="7"/>
  <c r="E12" i="7"/>
  <c r="F12" i="7"/>
  <c r="C31" i="7"/>
  <c r="G28" i="7"/>
  <c r="D27" i="7"/>
  <c r="G27" i="7" s="1"/>
  <c r="H27" i="7" s="1"/>
  <c r="C16" i="7"/>
  <c r="G7" i="7"/>
  <c r="D5" i="7"/>
  <c r="E5" i="7" s="1"/>
  <c r="D6" i="7" s="1"/>
  <c r="B1" i="7"/>
  <c r="C29" i="7" s="1"/>
  <c r="C16" i="4"/>
  <c r="F14" i="4"/>
  <c r="F15" i="4" s="1"/>
  <c r="E14" i="4"/>
  <c r="E15" i="4" s="1"/>
  <c r="D14" i="4"/>
  <c r="D15" i="4" s="1"/>
  <c r="C14" i="4"/>
  <c r="C15" i="4" s="1"/>
  <c r="C19" i="4" s="1"/>
  <c r="F13" i="4"/>
  <c r="F12" i="4"/>
  <c r="E12" i="4"/>
  <c r="E19" i="2"/>
  <c r="F19" i="2"/>
  <c r="D19" i="2"/>
  <c r="C19" i="2"/>
  <c r="C31" i="4"/>
  <c r="E28" i="4"/>
  <c r="D27" i="4"/>
  <c r="E27" i="4" s="1"/>
  <c r="F27" i="4" s="1"/>
  <c r="G7" i="4"/>
  <c r="D5" i="4"/>
  <c r="E5" i="4" s="1"/>
  <c r="B1" i="4"/>
  <c r="C16" i="3"/>
  <c r="G7" i="3"/>
  <c r="G7" i="1"/>
  <c r="G7" i="2"/>
  <c r="C31" i="3"/>
  <c r="G28" i="3"/>
  <c r="D27" i="3"/>
  <c r="G27" i="3" s="1"/>
  <c r="H27" i="3" s="1"/>
  <c r="D5" i="3"/>
  <c r="E5" i="3" s="1"/>
  <c r="B1" i="3"/>
  <c r="C7" i="3" s="1"/>
  <c r="D7" i="3" s="1"/>
  <c r="E7" i="3" s="1"/>
  <c r="F13" i="2"/>
  <c r="F12" i="2"/>
  <c r="E12" i="2"/>
  <c r="C31" i="2"/>
  <c r="E28" i="2"/>
  <c r="D27" i="2"/>
  <c r="E27" i="2" s="1"/>
  <c r="F27" i="2" s="1"/>
  <c r="C16" i="2"/>
  <c r="D5" i="2"/>
  <c r="E5" i="2" s="1"/>
  <c r="B1" i="2"/>
  <c r="E29" i="2" s="1"/>
  <c r="E30" i="2" s="1"/>
  <c r="C31" i="1"/>
  <c r="G28" i="1"/>
  <c r="D27" i="1"/>
  <c r="G27" i="1" s="1"/>
  <c r="H27" i="1" s="1"/>
  <c r="C16" i="1"/>
  <c r="B1" i="1"/>
  <c r="C7" i="1" s="1"/>
  <c r="D7" i="1" s="1"/>
  <c r="E7" i="1" s="1"/>
  <c r="D5" i="1"/>
  <c r="E5" i="1" s="1"/>
  <c r="C20" i="1" s="1"/>
  <c r="I45" i="13" l="1"/>
  <c r="I24" i="13"/>
  <c r="H46" i="13"/>
  <c r="G47" i="13" s="1"/>
  <c r="H35" i="13"/>
  <c r="G36" i="13" s="1"/>
  <c r="I35" i="13"/>
  <c r="H25" i="13"/>
  <c r="G26" i="13" s="1"/>
  <c r="I16" i="13"/>
  <c r="G17" i="13"/>
  <c r="H17" i="13" s="1"/>
  <c r="G18" i="13" s="1"/>
  <c r="I15" i="13"/>
  <c r="D34" i="11"/>
  <c r="G32" i="11" s="1"/>
  <c r="C33" i="11"/>
  <c r="D18" i="11"/>
  <c r="E16" i="11" s="1"/>
  <c r="E18" i="11" s="1"/>
  <c r="F16" i="11" s="1"/>
  <c r="F7" i="12"/>
  <c r="C35" i="12"/>
  <c r="D35" i="12" s="1"/>
  <c r="E35" i="12" s="1"/>
  <c r="F35" i="12" s="1"/>
  <c r="E18" i="12"/>
  <c r="F16" i="12" s="1"/>
  <c r="E17" i="12"/>
  <c r="D33" i="12"/>
  <c r="D34" i="12"/>
  <c r="C22" i="12"/>
  <c r="D20" i="12" s="1"/>
  <c r="C21" i="12"/>
  <c r="E6" i="12"/>
  <c r="F5" i="11"/>
  <c r="C20" i="11" s="1"/>
  <c r="F19" i="10"/>
  <c r="F7" i="10" s="1"/>
  <c r="D17" i="10"/>
  <c r="E31" i="10"/>
  <c r="G31" i="10"/>
  <c r="C22" i="10"/>
  <c r="D20" i="10" s="1"/>
  <c r="E18" i="10"/>
  <c r="F16" i="10" s="1"/>
  <c r="E17" i="10"/>
  <c r="D19" i="8"/>
  <c r="E19" i="8" s="1"/>
  <c r="C22" i="8"/>
  <c r="F15" i="8"/>
  <c r="F19" i="8" s="1"/>
  <c r="C34" i="8" s="1"/>
  <c r="D34" i="8" s="1"/>
  <c r="E34" i="8" s="1"/>
  <c r="F34" i="8" s="1"/>
  <c r="C15" i="9"/>
  <c r="F14" i="9"/>
  <c r="F15" i="9" s="1"/>
  <c r="D32" i="9"/>
  <c r="D33" i="9"/>
  <c r="C17" i="8"/>
  <c r="C21" i="8"/>
  <c r="C18" i="8"/>
  <c r="D16" i="8" s="1"/>
  <c r="D17" i="8" s="1"/>
  <c r="D32" i="8"/>
  <c r="D33" i="8"/>
  <c r="F5" i="8"/>
  <c r="E6" i="8"/>
  <c r="D6" i="8"/>
  <c r="C7" i="8"/>
  <c r="D7" i="8" s="1"/>
  <c r="E7" i="8" s="1"/>
  <c r="C30" i="7"/>
  <c r="C32" i="7"/>
  <c r="C33" i="7"/>
  <c r="D31" i="7" s="1"/>
  <c r="E15" i="7"/>
  <c r="D29" i="7"/>
  <c r="D30" i="7" s="1"/>
  <c r="C7" i="7"/>
  <c r="D7" i="7" s="1"/>
  <c r="E7" i="7" s="1"/>
  <c r="F15" i="7"/>
  <c r="G29" i="7"/>
  <c r="G30" i="7" s="1"/>
  <c r="F5" i="7"/>
  <c r="C20" i="7" s="1"/>
  <c r="C15" i="7"/>
  <c r="C19" i="7" s="1"/>
  <c r="H29" i="7"/>
  <c r="H30" i="7" s="1"/>
  <c r="D15" i="7"/>
  <c r="C18" i="4"/>
  <c r="D16" i="4" s="1"/>
  <c r="D19" i="4"/>
  <c r="E19" i="4" s="1"/>
  <c r="F19" i="4" s="1"/>
  <c r="C17" i="4"/>
  <c r="F5" i="4"/>
  <c r="C20" i="4" s="1"/>
  <c r="C22" i="4" s="1"/>
  <c r="D20" i="4" s="1"/>
  <c r="E6" i="4"/>
  <c r="D6" i="4"/>
  <c r="C29" i="4"/>
  <c r="C30" i="4" s="1"/>
  <c r="C33" i="4" s="1"/>
  <c r="D31" i="4" s="1"/>
  <c r="C32" i="4"/>
  <c r="C7" i="4"/>
  <c r="D7" i="4" s="1"/>
  <c r="E7" i="4" s="1"/>
  <c r="E29" i="4"/>
  <c r="E30" i="4" s="1"/>
  <c r="F29" i="4"/>
  <c r="F30" i="4" s="1"/>
  <c r="D29" i="4"/>
  <c r="D30" i="4" s="1"/>
  <c r="C14" i="2"/>
  <c r="C15" i="2" s="1"/>
  <c r="C18" i="2"/>
  <c r="D16" i="2" s="1"/>
  <c r="D14" i="2"/>
  <c r="F14" i="3"/>
  <c r="F15" i="3" s="1"/>
  <c r="E14" i="2"/>
  <c r="E15" i="2" s="1"/>
  <c r="G29" i="3"/>
  <c r="G30" i="3" s="1"/>
  <c r="C14" i="3"/>
  <c r="C15" i="3" s="1"/>
  <c r="C18" i="3" s="1"/>
  <c r="D16" i="3" s="1"/>
  <c r="H29" i="1"/>
  <c r="H30" i="1" s="1"/>
  <c r="D14" i="3"/>
  <c r="D15" i="3" s="1"/>
  <c r="E14" i="3"/>
  <c r="E15" i="3" s="1"/>
  <c r="F5" i="3"/>
  <c r="C20" i="3" s="1"/>
  <c r="H29" i="3"/>
  <c r="H30" i="3" s="1"/>
  <c r="D6" i="3"/>
  <c r="C29" i="3"/>
  <c r="C30" i="3" s="1"/>
  <c r="C33" i="3" s="1"/>
  <c r="D31" i="3" s="1"/>
  <c r="D29" i="3"/>
  <c r="D30" i="3" s="1"/>
  <c r="F5" i="2"/>
  <c r="C20" i="2" s="1"/>
  <c r="D17" i="2"/>
  <c r="D6" i="2"/>
  <c r="F14" i="2"/>
  <c r="F15" i="2" s="1"/>
  <c r="F29" i="2"/>
  <c r="F30" i="2" s="1"/>
  <c r="C17" i="2"/>
  <c r="C29" i="2"/>
  <c r="C30" i="2" s="1"/>
  <c r="C33" i="2" s="1"/>
  <c r="D31" i="2" s="1"/>
  <c r="C7" i="2"/>
  <c r="D7" i="2" s="1"/>
  <c r="E7" i="2" s="1"/>
  <c r="D15" i="2"/>
  <c r="D29" i="2"/>
  <c r="D30" i="2" s="1"/>
  <c r="D29" i="1"/>
  <c r="D30" i="1" s="1"/>
  <c r="G29" i="1"/>
  <c r="G30" i="1" s="1"/>
  <c r="C29" i="1"/>
  <c r="C30" i="1" s="1"/>
  <c r="C14" i="1"/>
  <c r="C17" i="1" s="1"/>
  <c r="E14" i="1"/>
  <c r="E15" i="1" s="1"/>
  <c r="F14" i="1"/>
  <c r="F15" i="1" s="1"/>
  <c r="D14" i="1"/>
  <c r="D15" i="1" s="1"/>
  <c r="E6" i="1"/>
  <c r="D6" i="1"/>
  <c r="H18" i="13" l="1"/>
  <c r="G19" i="13" s="1"/>
  <c r="H19" i="13" s="1"/>
  <c r="I19" i="13" s="1"/>
  <c r="H47" i="13"/>
  <c r="G48" i="13" s="1"/>
  <c r="I46" i="13"/>
  <c r="H36" i="13"/>
  <c r="G37" i="13" s="1"/>
  <c r="H26" i="13"/>
  <c r="G27" i="13" s="1"/>
  <c r="I25" i="13"/>
  <c r="I17" i="13"/>
  <c r="E32" i="11"/>
  <c r="E34" i="11" s="1"/>
  <c r="F32" i="11" s="1"/>
  <c r="E17" i="11"/>
  <c r="E32" i="12"/>
  <c r="G32" i="12"/>
  <c r="F17" i="12"/>
  <c r="F18" i="12"/>
  <c r="G35" i="12"/>
  <c r="H35" i="12" s="1"/>
  <c r="D22" i="12"/>
  <c r="E20" i="12" s="1"/>
  <c r="D21" i="12"/>
  <c r="F7" i="11"/>
  <c r="G33" i="11"/>
  <c r="G34" i="11"/>
  <c r="H32" i="11" s="1"/>
  <c r="C22" i="11"/>
  <c r="D20" i="11" s="1"/>
  <c r="E6" i="11"/>
  <c r="F18" i="11"/>
  <c r="F17" i="11"/>
  <c r="C34" i="10"/>
  <c r="D34" i="10" s="1"/>
  <c r="E34" i="10" s="1"/>
  <c r="F34" i="10" s="1"/>
  <c r="F17" i="10"/>
  <c r="F18" i="10"/>
  <c r="G32" i="10"/>
  <c r="G33" i="10"/>
  <c r="H31" i="10" s="1"/>
  <c r="D22" i="10"/>
  <c r="E20" i="10" s="1"/>
  <c r="C21" i="10"/>
  <c r="E32" i="10"/>
  <c r="E33" i="10"/>
  <c r="F31" i="10" s="1"/>
  <c r="E31" i="9"/>
  <c r="G31" i="9"/>
  <c r="C19" i="9"/>
  <c r="C18" i="9"/>
  <c r="D16" i="9" s="1"/>
  <c r="D20" i="8"/>
  <c r="D22" i="8" s="1"/>
  <c r="E20" i="8" s="1"/>
  <c r="D18" i="8"/>
  <c r="E16" i="8" s="1"/>
  <c r="E18" i="8" s="1"/>
  <c r="F16" i="8" s="1"/>
  <c r="G34" i="8"/>
  <c r="H34" i="8" s="1"/>
  <c r="G31" i="8"/>
  <c r="E31" i="8"/>
  <c r="C18" i="7"/>
  <c r="D16" i="7" s="1"/>
  <c r="D18" i="7" s="1"/>
  <c r="E16" i="7" s="1"/>
  <c r="D19" i="7"/>
  <c r="E19" i="7" s="1"/>
  <c r="F19" i="7" s="1"/>
  <c r="C22" i="7"/>
  <c r="D20" i="7" s="1"/>
  <c r="E6" i="7"/>
  <c r="D32" i="7"/>
  <c r="D33" i="7"/>
  <c r="C17" i="3"/>
  <c r="C22" i="3"/>
  <c r="D20" i="3" s="1"/>
  <c r="D22" i="4"/>
  <c r="E20" i="4" s="1"/>
  <c r="C21" i="4"/>
  <c r="D18" i="4"/>
  <c r="E16" i="4" s="1"/>
  <c r="D17" i="4"/>
  <c r="F7" i="4"/>
  <c r="D33" i="4"/>
  <c r="E31" i="4" s="1"/>
  <c r="D32" i="4"/>
  <c r="D19" i="3"/>
  <c r="E19" i="3" s="1"/>
  <c r="F19" i="3" s="1"/>
  <c r="F7" i="3" s="1"/>
  <c r="C22" i="2"/>
  <c r="C21" i="2" s="1"/>
  <c r="D18" i="2"/>
  <c r="E16" i="2" s="1"/>
  <c r="C34" i="2"/>
  <c r="D34" i="2" s="1"/>
  <c r="E34" i="2" s="1"/>
  <c r="F34" i="2" s="1"/>
  <c r="C32" i="3"/>
  <c r="C32" i="1"/>
  <c r="D18" i="3"/>
  <c r="E16" i="3" s="1"/>
  <c r="D17" i="3"/>
  <c r="D33" i="3"/>
  <c r="D32" i="3"/>
  <c r="E6" i="3"/>
  <c r="D33" i="2"/>
  <c r="E31" i="2" s="1"/>
  <c r="D32" i="2"/>
  <c r="E18" i="2"/>
  <c r="F16" i="2" s="1"/>
  <c r="E17" i="2"/>
  <c r="C32" i="2"/>
  <c r="D20" i="2"/>
  <c r="E6" i="2"/>
  <c r="C33" i="1"/>
  <c r="D31" i="1" s="1"/>
  <c r="D33" i="1" s="1"/>
  <c r="C15" i="1"/>
  <c r="I18" i="13" l="1"/>
  <c r="H48" i="13"/>
  <c r="G49" i="13" s="1"/>
  <c r="I47" i="13"/>
  <c r="H37" i="13"/>
  <c r="G38" i="13" s="1"/>
  <c r="I36" i="13"/>
  <c r="H27" i="13"/>
  <c r="G28" i="13" s="1"/>
  <c r="I26" i="13"/>
  <c r="C21" i="11"/>
  <c r="C35" i="11"/>
  <c r="D35" i="11" s="1"/>
  <c r="G35" i="11" s="1"/>
  <c r="H35" i="11" s="1"/>
  <c r="E33" i="11"/>
  <c r="E22" i="12"/>
  <c r="F20" i="12" s="1"/>
  <c r="E21" i="12"/>
  <c r="G33" i="12"/>
  <c r="G34" i="12"/>
  <c r="H32" i="12" s="1"/>
  <c r="E34" i="12"/>
  <c r="F32" i="12" s="1"/>
  <c r="E33" i="12"/>
  <c r="F33" i="11"/>
  <c r="F34" i="11"/>
  <c r="D22" i="11"/>
  <c r="E20" i="11" s="1"/>
  <c r="H33" i="11"/>
  <c r="H34" i="11"/>
  <c r="G34" i="10"/>
  <c r="H34" i="10" s="1"/>
  <c r="D21" i="10"/>
  <c r="E22" i="10"/>
  <c r="F20" i="10" s="1"/>
  <c r="H33" i="10"/>
  <c r="H32" i="10"/>
  <c r="F32" i="10"/>
  <c r="F33" i="10"/>
  <c r="F19" i="9"/>
  <c r="C22" i="9"/>
  <c r="G32" i="9"/>
  <c r="G33" i="9"/>
  <c r="H31" i="9" s="1"/>
  <c r="D18" i="9"/>
  <c r="E16" i="9" s="1"/>
  <c r="D17" i="9"/>
  <c r="E33" i="9"/>
  <c r="F31" i="9" s="1"/>
  <c r="E32" i="9"/>
  <c r="D17" i="7"/>
  <c r="D21" i="8"/>
  <c r="E17" i="8"/>
  <c r="E22" i="8"/>
  <c r="F20" i="8" s="1"/>
  <c r="E32" i="8"/>
  <c r="E33" i="8"/>
  <c r="F31" i="8" s="1"/>
  <c r="F17" i="8"/>
  <c r="F18" i="8"/>
  <c r="G33" i="8"/>
  <c r="H31" i="8" s="1"/>
  <c r="G32" i="8"/>
  <c r="F7" i="8"/>
  <c r="F7" i="7"/>
  <c r="C34" i="7"/>
  <c r="D34" i="7" s="1"/>
  <c r="D22" i="7"/>
  <c r="E20" i="7" s="1"/>
  <c r="G31" i="7"/>
  <c r="E31" i="7"/>
  <c r="E18" i="7"/>
  <c r="F16" i="7" s="1"/>
  <c r="E17" i="7"/>
  <c r="C21" i="7"/>
  <c r="D32" i="1"/>
  <c r="G31" i="3"/>
  <c r="G32" i="3" s="1"/>
  <c r="E31" i="3"/>
  <c r="C21" i="3"/>
  <c r="D22" i="3"/>
  <c r="E20" i="3" s="1"/>
  <c r="E18" i="4"/>
  <c r="F16" i="4" s="1"/>
  <c r="E17" i="4"/>
  <c r="E22" i="4"/>
  <c r="F20" i="4" s="1"/>
  <c r="D21" i="4"/>
  <c r="C34" i="4"/>
  <c r="D34" i="4" s="1"/>
  <c r="E34" i="4" s="1"/>
  <c r="F34" i="4" s="1"/>
  <c r="E33" i="4"/>
  <c r="F31" i="4" s="1"/>
  <c r="E32" i="4"/>
  <c r="C34" i="3"/>
  <c r="D34" i="3" s="1"/>
  <c r="D22" i="2"/>
  <c r="E20" i="2" s="1"/>
  <c r="F7" i="2"/>
  <c r="E18" i="3"/>
  <c r="F16" i="3" s="1"/>
  <c r="E17" i="3"/>
  <c r="G33" i="3"/>
  <c r="H31" i="3" s="1"/>
  <c r="F18" i="2"/>
  <c r="F17" i="2"/>
  <c r="E32" i="2"/>
  <c r="E33" i="2"/>
  <c r="F31" i="2" s="1"/>
  <c r="C18" i="1"/>
  <c r="D16" i="1" s="1"/>
  <c r="H49" i="13" l="1"/>
  <c r="I49" i="13" s="1"/>
  <c r="I48" i="13"/>
  <c r="H38" i="13"/>
  <c r="G39" i="13" s="1"/>
  <c r="I37" i="13"/>
  <c r="H28" i="13"/>
  <c r="G29" i="13" s="1"/>
  <c r="I27" i="13"/>
  <c r="E35" i="11"/>
  <c r="F35" i="11" s="1"/>
  <c r="F33" i="12"/>
  <c r="F34" i="12"/>
  <c r="H34" i="12"/>
  <c r="H33" i="12"/>
  <c r="F22" i="12"/>
  <c r="C36" i="12" s="1"/>
  <c r="E22" i="11"/>
  <c r="F20" i="11" s="1"/>
  <c r="D21" i="11"/>
  <c r="F22" i="10"/>
  <c r="C35" i="10" s="1"/>
  <c r="E21" i="10"/>
  <c r="F33" i="9"/>
  <c r="F32" i="9"/>
  <c r="D20" i="9"/>
  <c r="C21" i="9"/>
  <c r="E18" i="9"/>
  <c r="F16" i="9" s="1"/>
  <c r="E17" i="9"/>
  <c r="H32" i="9"/>
  <c r="H33" i="9"/>
  <c r="F7" i="9"/>
  <c r="C34" i="9"/>
  <c r="D34" i="9" s="1"/>
  <c r="H32" i="8"/>
  <c r="H33" i="8"/>
  <c r="F22" i="8"/>
  <c r="E21" i="8"/>
  <c r="F33" i="8"/>
  <c r="F32" i="8"/>
  <c r="E21" i="4"/>
  <c r="D21" i="3"/>
  <c r="F18" i="7"/>
  <c r="F17" i="7"/>
  <c r="E34" i="7"/>
  <c r="F34" i="7" s="1"/>
  <c r="G34" i="7"/>
  <c r="H34" i="7" s="1"/>
  <c r="E22" i="7"/>
  <c r="F20" i="7" s="1"/>
  <c r="E32" i="7"/>
  <c r="E33" i="7"/>
  <c r="F31" i="7" s="1"/>
  <c r="G33" i="7"/>
  <c r="H31" i="7" s="1"/>
  <c r="G32" i="7"/>
  <c r="D21" i="7"/>
  <c r="G31" i="1"/>
  <c r="E31" i="1"/>
  <c r="E33" i="1" s="1"/>
  <c r="G34" i="3"/>
  <c r="H34" i="3" s="1"/>
  <c r="E34" i="3"/>
  <c r="F34" i="3" s="1"/>
  <c r="E33" i="3"/>
  <c r="F31" i="3" s="1"/>
  <c r="E32" i="3"/>
  <c r="E22" i="3"/>
  <c r="F20" i="3" s="1"/>
  <c r="F22" i="3" s="1"/>
  <c r="C37" i="3" s="1"/>
  <c r="F18" i="4"/>
  <c r="F17" i="4"/>
  <c r="F22" i="4"/>
  <c r="F21" i="4"/>
  <c r="F33" i="4"/>
  <c r="F32" i="4"/>
  <c r="C22" i="1"/>
  <c r="C21" i="1" s="1"/>
  <c r="D19" i="1"/>
  <c r="F18" i="3"/>
  <c r="F17" i="3"/>
  <c r="H33" i="3"/>
  <c r="H32" i="3"/>
  <c r="F33" i="2"/>
  <c r="F32" i="2"/>
  <c r="D21" i="2"/>
  <c r="E22" i="2"/>
  <c r="F20" i="2" s="1"/>
  <c r="D17" i="1"/>
  <c r="D18" i="1"/>
  <c r="E16" i="1" s="1"/>
  <c r="H39" i="13" l="1"/>
  <c r="I39" i="13"/>
  <c r="I38" i="13"/>
  <c r="H29" i="13"/>
  <c r="I29" i="13" s="1"/>
  <c r="I28" i="13"/>
  <c r="F21" i="12"/>
  <c r="C38" i="12"/>
  <c r="D36" i="12" s="1"/>
  <c r="F22" i="11"/>
  <c r="C36" i="11" s="1"/>
  <c r="E21" i="11"/>
  <c r="C37" i="10"/>
  <c r="D35" i="10" s="1"/>
  <c r="F21" i="10"/>
  <c r="E34" i="9"/>
  <c r="F34" i="9" s="1"/>
  <c r="G34" i="9"/>
  <c r="H34" i="9" s="1"/>
  <c r="D22" i="9"/>
  <c r="E20" i="9" s="1"/>
  <c r="F18" i="9"/>
  <c r="F17" i="9"/>
  <c r="C37" i="8"/>
  <c r="D35" i="8" s="1"/>
  <c r="C35" i="8"/>
  <c r="F21" i="8"/>
  <c r="E21" i="7"/>
  <c r="H32" i="7"/>
  <c r="H33" i="7"/>
  <c r="F22" i="7"/>
  <c r="C35" i="7" s="1"/>
  <c r="F33" i="7"/>
  <c r="F32" i="7"/>
  <c r="E32" i="1"/>
  <c r="F31" i="1"/>
  <c r="G32" i="1"/>
  <c r="G33" i="1"/>
  <c r="H31" i="1" s="1"/>
  <c r="F32" i="3"/>
  <c r="F33" i="3"/>
  <c r="F21" i="3"/>
  <c r="E21" i="3"/>
  <c r="E19" i="1"/>
  <c r="F19" i="1" s="1"/>
  <c r="D20" i="1"/>
  <c r="D22" i="1" s="1"/>
  <c r="C35" i="3"/>
  <c r="E21" i="2"/>
  <c r="F22" i="2"/>
  <c r="C35" i="2" s="1"/>
  <c r="C37" i="2" s="1"/>
  <c r="E17" i="1"/>
  <c r="E18" i="1"/>
  <c r="F16" i="1" s="1"/>
  <c r="C37" i="12" l="1"/>
  <c r="D38" i="12"/>
  <c r="D37" i="12" s="1"/>
  <c r="C38" i="11"/>
  <c r="D36" i="11" s="1"/>
  <c r="F21" i="11"/>
  <c r="D37" i="10"/>
  <c r="D36" i="10" s="1"/>
  <c r="C36" i="10"/>
  <c r="E22" i="9"/>
  <c r="F20" i="9" s="1"/>
  <c r="D21" i="9"/>
  <c r="C36" i="8"/>
  <c r="D37" i="8"/>
  <c r="E35" i="8" s="1"/>
  <c r="E37" i="8" s="1"/>
  <c r="F35" i="8" s="1"/>
  <c r="C37" i="7"/>
  <c r="D35" i="7" s="1"/>
  <c r="F21" i="7"/>
  <c r="H32" i="1"/>
  <c r="H33" i="1"/>
  <c r="F33" i="1"/>
  <c r="F32" i="1"/>
  <c r="C37" i="4"/>
  <c r="D35" i="4" s="1"/>
  <c r="C35" i="4"/>
  <c r="C34" i="1"/>
  <c r="D34" i="1" s="1"/>
  <c r="F7" i="1"/>
  <c r="D35" i="3"/>
  <c r="F21" i="2"/>
  <c r="D35" i="2"/>
  <c r="F17" i="1"/>
  <c r="F18" i="1"/>
  <c r="F20" i="1"/>
  <c r="D21" i="1"/>
  <c r="E36" i="12" l="1"/>
  <c r="E38" i="12" s="1"/>
  <c r="F36" i="12" s="1"/>
  <c r="D41" i="12"/>
  <c r="D42" i="12" s="1"/>
  <c r="C37" i="11"/>
  <c r="D38" i="11"/>
  <c r="D37" i="11" s="1"/>
  <c r="E35" i="10"/>
  <c r="E37" i="10" s="1"/>
  <c r="F35" i="10" s="1"/>
  <c r="D40" i="10"/>
  <c r="D41" i="10" s="1"/>
  <c r="E21" i="9"/>
  <c r="F22" i="9"/>
  <c r="C35" i="9" s="1"/>
  <c r="F37" i="8"/>
  <c r="G35" i="8" s="1"/>
  <c r="D36" i="8"/>
  <c r="C36" i="4"/>
  <c r="C36" i="7"/>
  <c r="D37" i="7"/>
  <c r="D36" i="7" s="1"/>
  <c r="E34" i="1"/>
  <c r="F34" i="1" s="1"/>
  <c r="G34" i="1"/>
  <c r="H34" i="1" s="1"/>
  <c r="D37" i="4"/>
  <c r="C36" i="3"/>
  <c r="D37" i="3"/>
  <c r="C36" i="2"/>
  <c r="D37" i="2"/>
  <c r="F22" i="1"/>
  <c r="F38" i="12" l="1"/>
  <c r="G36" i="12" s="1"/>
  <c r="E36" i="11"/>
  <c r="E38" i="11" s="1"/>
  <c r="F36" i="11" s="1"/>
  <c r="D41" i="11"/>
  <c r="D42" i="11" s="1"/>
  <c r="F37" i="10"/>
  <c r="G35" i="10" s="1"/>
  <c r="F21" i="9"/>
  <c r="C37" i="9"/>
  <c r="D35" i="9" s="1"/>
  <c r="G37" i="8"/>
  <c r="H35" i="8" s="1"/>
  <c r="F36" i="8"/>
  <c r="D40" i="8"/>
  <c r="D41" i="8" s="1"/>
  <c r="E35" i="7"/>
  <c r="E37" i="7" s="1"/>
  <c r="F35" i="7" s="1"/>
  <c r="D40" i="7"/>
  <c r="D41" i="7" s="1"/>
  <c r="E35" i="3"/>
  <c r="E37" i="3" s="1"/>
  <c r="D40" i="3"/>
  <c r="D41" i="3" s="1"/>
  <c r="E35" i="4"/>
  <c r="D40" i="4"/>
  <c r="D41" i="4" s="1"/>
  <c r="D36" i="4"/>
  <c r="D36" i="3"/>
  <c r="D40" i="2"/>
  <c r="D41" i="2" s="1"/>
  <c r="E35" i="2"/>
  <c r="D36" i="2"/>
  <c r="F21" i="1"/>
  <c r="C35" i="1"/>
  <c r="C37" i="1" s="1"/>
  <c r="D35" i="1" s="1"/>
  <c r="F37" i="12" l="1"/>
  <c r="G38" i="12"/>
  <c r="H36" i="12" s="1"/>
  <c r="F38" i="11"/>
  <c r="G36" i="11" s="1"/>
  <c r="G37" i="10"/>
  <c r="H35" i="10" s="1"/>
  <c r="F36" i="10"/>
  <c r="C36" i="9"/>
  <c r="D37" i="9"/>
  <c r="G36" i="8"/>
  <c r="H37" i="8"/>
  <c r="H36" i="8" s="1"/>
  <c r="F37" i="7"/>
  <c r="G35" i="7" s="1"/>
  <c r="F35" i="3"/>
  <c r="E37" i="4"/>
  <c r="F35" i="4" s="1"/>
  <c r="E37" i="2"/>
  <c r="F35" i="2" s="1"/>
  <c r="D37" i="1"/>
  <c r="H38" i="12" l="1"/>
  <c r="H37" i="12" s="1"/>
  <c r="G37" i="12"/>
  <c r="F37" i="11"/>
  <c r="G38" i="11"/>
  <c r="H36" i="11" s="1"/>
  <c r="H37" i="10"/>
  <c r="H36" i="10" s="1"/>
  <c r="G36" i="10"/>
  <c r="D40" i="9"/>
  <c r="D41" i="9" s="1"/>
  <c r="E35" i="9"/>
  <c r="E37" i="9" s="1"/>
  <c r="F35" i="9" s="1"/>
  <c r="D36" i="9"/>
  <c r="H15" i="8"/>
  <c r="G37" i="7"/>
  <c r="H35" i="7" s="1"/>
  <c r="F36" i="7"/>
  <c r="D40" i="1"/>
  <c r="D41" i="1" s="1"/>
  <c r="F40" i="1"/>
  <c r="F41" i="1" s="1"/>
  <c r="F37" i="3"/>
  <c r="G35" i="3" s="1"/>
  <c r="G37" i="3" s="1"/>
  <c r="H35" i="3" s="1"/>
  <c r="H37" i="3" s="1"/>
  <c r="H36" i="3" s="1"/>
  <c r="D36" i="1"/>
  <c r="E35" i="1"/>
  <c r="F37" i="4"/>
  <c r="F36" i="4" s="1"/>
  <c r="E36" i="4"/>
  <c r="E36" i="2"/>
  <c r="F37" i="2"/>
  <c r="F36" i="2" s="1"/>
  <c r="C36" i="1"/>
  <c r="H15" i="12" l="1"/>
  <c r="H38" i="11"/>
  <c r="H37" i="11" s="1"/>
  <c r="G37" i="11"/>
  <c r="H15" i="10"/>
  <c r="F37" i="9"/>
  <c r="G35" i="9" s="1"/>
  <c r="E37" i="1"/>
  <c r="F35" i="1" s="1"/>
  <c r="F37" i="1" s="1"/>
  <c r="G35" i="1" s="1"/>
  <c r="G37" i="1" s="1"/>
  <c r="G36" i="7"/>
  <c r="H37" i="7"/>
  <c r="H36" i="7" s="1"/>
  <c r="G36" i="3"/>
  <c r="F36" i="3"/>
  <c r="H15" i="4"/>
  <c r="H15" i="2"/>
  <c r="H15" i="11" l="1"/>
  <c r="F36" i="9"/>
  <c r="G37" i="9"/>
  <c r="H35" i="9" s="1"/>
  <c r="H15" i="7"/>
  <c r="H15" i="3"/>
  <c r="F36" i="1"/>
  <c r="H35" i="1"/>
  <c r="H37" i="1" s="1"/>
  <c r="H36" i="1" s="1"/>
  <c r="G36" i="9" l="1"/>
  <c r="H37" i="9"/>
  <c r="H36" i="9" s="1"/>
  <c r="H15" i="9" s="1"/>
  <c r="G36" i="1"/>
  <c r="H15" i="1" s="1"/>
</calcChain>
</file>

<file path=xl/sharedStrings.xml><?xml version="1.0" encoding="utf-8"?>
<sst xmlns="http://schemas.openxmlformats.org/spreadsheetml/2006/main" count="646" uniqueCount="81">
  <si>
    <t>E (eV)</t>
  </si>
  <si>
    <t>SASE</t>
  </si>
  <si>
    <t>Source</t>
  </si>
  <si>
    <t>M1L3</t>
  </si>
  <si>
    <t>M2L3</t>
  </si>
  <si>
    <t>HHLM</t>
  </si>
  <si>
    <t>HRM</t>
  </si>
  <si>
    <t>Z-position (m)</t>
  </si>
  <si>
    <t>Beam size (mm) - FWHM</t>
  </si>
  <si>
    <t>Power-in(W)</t>
  </si>
  <si>
    <t>Power-abs(W)</t>
  </si>
  <si>
    <t>see below</t>
  </si>
  <si>
    <t>Bandwidth (eV)</t>
  </si>
  <si>
    <t>C1</t>
  </si>
  <si>
    <t>C2</t>
  </si>
  <si>
    <t>C3</t>
  </si>
  <si>
    <t>C4</t>
  </si>
  <si>
    <t>Reflection</t>
  </si>
  <si>
    <t>Si(220)</t>
  </si>
  <si>
    <t>Si(444)</t>
  </si>
  <si>
    <t>Asymmetry (deg)</t>
  </si>
  <si>
    <t>Bragg (deg)</t>
  </si>
  <si>
    <t>Power sanity check</t>
  </si>
  <si>
    <t>b (asym. param.)</t>
  </si>
  <si>
    <t>beam size in (mm)</t>
  </si>
  <si>
    <t>Footprint (mm)</t>
  </si>
  <si>
    <t>beam size out (mm)</t>
  </si>
  <si>
    <t>BW out (eV)</t>
  </si>
  <si>
    <t>Power-in (W)</t>
  </si>
  <si>
    <t>Power-abs (W)</t>
  </si>
  <si>
    <t>Power-out (W)</t>
  </si>
  <si>
    <t>4f-HRM</t>
  </si>
  <si>
    <t>DCM-1.1</t>
  </si>
  <si>
    <t>DCM-1.2</t>
  </si>
  <si>
    <t>FC1</t>
  </si>
  <si>
    <t>FC2</t>
  </si>
  <si>
    <t>DCM-2.1</t>
  </si>
  <si>
    <t>DCM-2.2</t>
  </si>
  <si>
    <t>Si(440)</t>
  </si>
  <si>
    <t>mrad</t>
  </si>
  <si>
    <t>target resolution (meV)</t>
  </si>
  <si>
    <t>broadest reasonable resolution</t>
  </si>
  <si>
    <t>power out (W)</t>
  </si>
  <si>
    <t>flux (1/s)</t>
  </si>
  <si>
    <t>highest resolution</t>
  </si>
  <si>
    <t>Si(800)</t>
  </si>
  <si>
    <t>Note: Same as Option-1, except the HHLM is narrow-band</t>
  </si>
  <si>
    <t>Self-seed</t>
  </si>
  <si>
    <t>self-seeded</t>
  </si>
  <si>
    <t>Note: Same layout as Option-1, except self-seeded beam</t>
  </si>
  <si>
    <t>Note: 15˚ asymmetry on the 4f, HHLM is pretty narrow-band (half compared to option-3)</t>
  </si>
  <si>
    <t>Si(111)</t>
  </si>
  <si>
    <t>Si(400)</t>
  </si>
  <si>
    <t>Si(440)</t>
    <phoneticPr fontId="3" type="noConversion"/>
  </si>
  <si>
    <t>Si(333)</t>
    <phoneticPr fontId="3" type="noConversion"/>
  </si>
  <si>
    <t>Darwin width (masec)</t>
    <phoneticPr fontId="3" type="noConversion"/>
  </si>
  <si>
    <t>Miller ind</t>
    <phoneticPr fontId="3" type="noConversion"/>
  </si>
  <si>
    <t>Darwin width (arc sec)</t>
    <phoneticPr fontId="3" type="noConversion"/>
  </si>
  <si>
    <t>wavelength</t>
    <phoneticPr fontId="3" type="noConversion"/>
  </si>
  <si>
    <t>delta_E/E</t>
    <phoneticPr fontId="3" type="noConversion"/>
  </si>
  <si>
    <t>bandwidth (meV)</t>
    <phoneticPr fontId="3" type="noConversion"/>
  </si>
  <si>
    <t>bragg angle (deg)</t>
    <phoneticPr fontId="3" type="noConversion"/>
  </si>
  <si>
    <t>actual factor used</t>
    <phoneticPr fontId="3" type="noConversion"/>
  </si>
  <si>
    <t>E</t>
    <phoneticPr fontId="3" type="noConversion"/>
  </si>
  <si>
    <t>HHLM1</t>
    <phoneticPr fontId="3" type="noConversion"/>
  </si>
  <si>
    <t>HHLM4</t>
  </si>
  <si>
    <t>HHLM2</t>
    <phoneticPr fontId="3" type="noConversion"/>
  </si>
  <si>
    <t>HHLM3</t>
  </si>
  <si>
    <t>C1</t>
    <phoneticPr fontId="3" type="noConversion"/>
  </si>
  <si>
    <t>C2</t>
    <phoneticPr fontId="3" type="noConversion"/>
  </si>
  <si>
    <t>bragg</t>
    <phoneticPr fontId="3" type="noConversion"/>
  </si>
  <si>
    <t>asymmetry</t>
    <phoneticPr fontId="3" type="noConversion"/>
  </si>
  <si>
    <t>111-440</t>
    <phoneticPr fontId="3" type="noConversion"/>
  </si>
  <si>
    <t>b-factor</t>
    <phoneticPr fontId="3" type="noConversion"/>
  </si>
  <si>
    <t>power in</t>
    <phoneticPr fontId="3" type="noConversion"/>
  </si>
  <si>
    <t>bandwidth out</t>
    <phoneticPr fontId="3" type="noConversion"/>
  </si>
  <si>
    <t>bandwidth in</t>
    <phoneticPr fontId="3" type="noConversion"/>
  </si>
  <si>
    <t>power out</t>
    <phoneticPr fontId="3" type="noConversion"/>
  </si>
  <si>
    <t>power absorb</t>
    <phoneticPr fontId="3" type="noConversion"/>
  </si>
  <si>
    <t>111-333</t>
    <phoneticPr fontId="3" type="noConversion"/>
  </si>
  <si>
    <t>111-331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</si>
</sst>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4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176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2" fontId="0" fillId="5" borderId="0" xfId="0" applyNumberFormat="1" applyFill="1"/>
    <xf numFmtId="0" fontId="0" fillId="6" borderId="0" xfId="0" applyFill="1" applyAlignment="1">
      <alignment horizontal="center"/>
    </xf>
    <xf numFmtId="0" fontId="0" fillId="6" borderId="0" xfId="0" applyFill="1"/>
    <xf numFmtId="2" fontId="0" fillId="6" borderId="0" xfId="0" applyNumberFormat="1" applyFill="1"/>
    <xf numFmtId="177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0" fontId="0" fillId="8" borderId="0" xfId="0" applyFill="1" applyAlignment="1">
      <alignment horizontal="center"/>
    </xf>
    <xf numFmtId="2" fontId="0" fillId="8" borderId="0" xfId="0" applyNumberFormat="1" applyFill="1"/>
    <xf numFmtId="177" fontId="0" fillId="8" borderId="0" xfId="0" applyNumberFormat="1" applyFill="1"/>
    <xf numFmtId="0" fontId="1" fillId="3" borderId="0" xfId="0" applyFont="1" applyFill="1"/>
    <xf numFmtId="177" fontId="0" fillId="3" borderId="0" xfId="0" applyNumberFormat="1" applyFill="1"/>
    <xf numFmtId="0" fontId="1" fillId="0" borderId="0" xfId="0" applyFont="1" applyAlignment="1">
      <alignment horizontal="center" vertical="center"/>
    </xf>
    <xf numFmtId="2" fontId="0" fillId="3" borderId="0" xfId="0" applyNumberFormat="1" applyFill="1"/>
    <xf numFmtId="176" fontId="0" fillId="8" borderId="0" xfId="0" applyNumberFormat="1" applyFill="1"/>
    <xf numFmtId="0" fontId="1" fillId="6" borderId="0" xfId="0" applyFont="1" applyFill="1"/>
    <xf numFmtId="2" fontId="1" fillId="6" borderId="0" xfId="0" applyNumberFormat="1" applyFont="1" applyFill="1"/>
    <xf numFmtId="177" fontId="1" fillId="6" borderId="0" xfId="0" applyNumberFormat="1" applyFont="1" applyFill="1"/>
    <xf numFmtId="0" fontId="1" fillId="8" borderId="0" xfId="0" applyFont="1" applyFill="1"/>
    <xf numFmtId="177" fontId="1" fillId="8" borderId="0" xfId="0" applyNumberFormat="1" applyFont="1" applyFill="1"/>
    <xf numFmtId="0" fontId="1" fillId="4" borderId="0" xfId="0" applyFont="1" applyFill="1"/>
    <xf numFmtId="2" fontId="0" fillId="0" borderId="0" xfId="0" applyNumberFormat="1"/>
    <xf numFmtId="0" fontId="1" fillId="0" borderId="0" xfId="0" applyFont="1"/>
    <xf numFmtId="2" fontId="1" fillId="8" borderId="0" xfId="0" applyNumberFormat="1" applyFont="1" applyFill="1"/>
    <xf numFmtId="0" fontId="0" fillId="8" borderId="1" xfId="0" applyFill="1" applyBorder="1" applyAlignment="1">
      <alignment horizontal="right"/>
    </xf>
    <xf numFmtId="0" fontId="0" fillId="8" borderId="2" xfId="0" applyFill="1" applyBorder="1" applyAlignment="1">
      <alignment horizontal="right"/>
    </xf>
    <xf numFmtId="2" fontId="0" fillId="7" borderId="3" xfId="0" applyNumberFormat="1" applyFill="1" applyBorder="1"/>
    <xf numFmtId="2" fontId="0" fillId="7" borderId="4" xfId="0" applyNumberFormat="1" applyFill="1" applyBorder="1"/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6E7F-A460-AD4D-A5A7-16FDBABB0388}">
  <dimension ref="A1:H43"/>
  <sheetViews>
    <sheetView topLeftCell="A9" zoomScaleNormal="100" workbookViewId="0">
      <selection activeCell="C34" sqref="C34"/>
    </sheetView>
  </sheetViews>
  <sheetFormatPr defaultColWidth="11" defaultRowHeight="15.75" x14ac:dyDescent="0.25"/>
  <cols>
    <col min="1" max="1" width="17.375" customWidth="1"/>
    <col min="2" max="2" width="8.375" bestFit="1" customWidth="1"/>
    <col min="3" max="4" width="12.125" bestFit="1" customWidth="1"/>
  </cols>
  <sheetData>
    <row r="1" spans="1:8" ht="18" x14ac:dyDescent="0.25">
      <c r="A1" s="1" t="s">
        <v>0</v>
      </c>
      <c r="B1" s="1">
        <f>9481</f>
        <v>9481</v>
      </c>
      <c r="C1" s="10" t="s">
        <v>1</v>
      </c>
    </row>
    <row r="2" spans="1:8" x14ac:dyDescent="0.25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 x14ac:dyDescent="0.25">
      <c r="A6" s="32" t="s">
        <v>10</v>
      </c>
      <c r="B6" s="32"/>
      <c r="C6" s="32"/>
      <c r="D6" s="32">
        <f>D5-E5</f>
        <v>5</v>
      </c>
      <c r="E6" s="32">
        <f>E5-F5</f>
        <v>4.75</v>
      </c>
      <c r="F6" s="48" t="s">
        <v>11</v>
      </c>
      <c r="G6" s="48"/>
    </row>
    <row r="7" spans="1:8" x14ac:dyDescent="0.25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6.6366999999999995E-2</v>
      </c>
      <c r="G7" s="3">
        <f>D39/1000</f>
        <v>4.0000000000000001E-3</v>
      </c>
    </row>
    <row r="8" spans="1:8" x14ac:dyDescent="0.25">
      <c r="B8" s="8">
        <v>1E-3</v>
      </c>
    </row>
    <row r="10" spans="1:8" x14ac:dyDescent="0.25">
      <c r="A10" s="6"/>
      <c r="B10" s="6"/>
      <c r="C10" s="46" t="s">
        <v>5</v>
      </c>
      <c r="D10" s="46"/>
      <c r="E10" s="46"/>
      <c r="F10" s="46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41" t="s">
        <v>18</v>
      </c>
      <c r="D12" s="41" t="s">
        <v>19</v>
      </c>
      <c r="E12" s="41" t="s">
        <v>19</v>
      </c>
      <c r="F12" s="41" t="s">
        <v>18</v>
      </c>
    </row>
    <row r="13" spans="1:8" x14ac:dyDescent="0.25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v>-17</v>
      </c>
    </row>
    <row r="14" spans="1:8" x14ac:dyDescent="0.25">
      <c r="A14" s="6" t="s">
        <v>21</v>
      </c>
      <c r="B14" s="6"/>
      <c r="C14" s="11">
        <f>DEGREES(ASIN(12398/$B$1/1.92/2))</f>
        <v>19.909687810699978</v>
      </c>
      <c r="D14" s="11">
        <f>DEGREES(ASIN(12398/$B$1/0.7839/2))</f>
        <v>56.519986703749602</v>
      </c>
      <c r="E14" s="11">
        <f>DEGREES(ASIN(12398/$B$1/0.7839/2))</f>
        <v>56.519986703749602</v>
      </c>
      <c r="F14" s="11">
        <f t="shared" ref="F14" si="0">DEGREES(ASIN(12398/$B$1/1.92/2))</f>
        <v>19.909687810699978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D6+E6+C21+D21+E21+F21+C36+D36+G36+H36+H37</f>
        <v>99.95527741082276</v>
      </c>
    </row>
    <row r="16" spans="1:8" x14ac:dyDescent="0.25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8" x14ac:dyDescent="0.25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17.730427729221869</v>
      </c>
      <c r="E17" s="14">
        <f t="shared" si="2"/>
        <v>17.730427729221869</v>
      </c>
      <c r="F17" s="14">
        <f t="shared" si="2"/>
        <v>24.624812898155728</v>
      </c>
    </row>
    <row r="18" spans="1:8" x14ac:dyDescent="0.25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8" x14ac:dyDescent="0.25">
      <c r="A19" s="13" t="s">
        <v>27</v>
      </c>
      <c r="B19" s="13"/>
      <c r="C19" s="14">
        <v>5</v>
      </c>
      <c r="D19" s="15">
        <f>MIN($B$1*0.000007/SQRT(D15),C19)</f>
        <v>6.6366999999999995E-2</v>
      </c>
      <c r="E19" s="15">
        <f>MIN($B$1*0.000007/SQRT(E15),D19)</f>
        <v>6.6366999999999995E-2</v>
      </c>
      <c r="F19" s="15">
        <f>MIN($B$1*0.000058/SQRT(F15),E19)</f>
        <v>6.6366999999999995E-2</v>
      </c>
    </row>
    <row r="20" spans="1:8" x14ac:dyDescent="0.25">
      <c r="A20" s="6" t="s">
        <v>28</v>
      </c>
      <c r="B20" s="6"/>
      <c r="C20" s="11">
        <f>F5</f>
        <v>90.25</v>
      </c>
      <c r="D20" s="11">
        <f>C22</f>
        <v>45.215430861723448</v>
      </c>
      <c r="E20" s="11">
        <f t="shared" ref="E20:F20" si="4">D22</f>
        <v>0.57015437499999999</v>
      </c>
      <c r="F20" s="11">
        <f t="shared" si="4"/>
        <v>0.54164665624999997</v>
      </c>
    </row>
    <row r="21" spans="1:8" x14ac:dyDescent="0.25">
      <c r="A21" s="27" t="s">
        <v>29</v>
      </c>
      <c r="B21" s="27"/>
      <c r="C21" s="28">
        <f>C20-C22</f>
        <v>45.034569138276552</v>
      </c>
      <c r="D21" s="28">
        <f>D20-D22</f>
        <v>44.645276486723446</v>
      </c>
      <c r="E21" s="29">
        <f t="shared" ref="E21:F21" si="5">E20-E22</f>
        <v>2.8507718750000022E-2</v>
      </c>
      <c r="F21" s="29">
        <f t="shared" si="5"/>
        <v>2.7082332812500054E-2</v>
      </c>
    </row>
    <row r="22" spans="1:8" x14ac:dyDescent="0.25">
      <c r="A22" s="6" t="s">
        <v>30</v>
      </c>
      <c r="B22" s="6"/>
      <c r="C22" s="11">
        <f>0.95*C20*C19/E7</f>
        <v>45.215430861723448</v>
      </c>
      <c r="D22" s="11">
        <f>0.95*D20*D19/C19</f>
        <v>0.57015437499999999</v>
      </c>
      <c r="E22" s="11">
        <f t="shared" ref="E22:F22" si="6">0.95*E20*E19/D19</f>
        <v>0.54164665624999997</v>
      </c>
      <c r="F22" s="11">
        <f t="shared" si="6"/>
        <v>0.51456432343749992</v>
      </c>
    </row>
    <row r="25" spans="1:8" x14ac:dyDescent="0.25">
      <c r="A25" s="16"/>
      <c r="B25" s="16"/>
      <c r="C25" s="47" t="s">
        <v>31</v>
      </c>
      <c r="D25" s="47"/>
      <c r="E25" s="47"/>
      <c r="F25" s="47"/>
    </row>
    <row r="26" spans="1:8" x14ac:dyDescent="0.25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 x14ac:dyDescent="0.25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7">G27</f>
        <v>Si(440)</v>
      </c>
    </row>
    <row r="28" spans="1:8" x14ac:dyDescent="0.25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H29" si="8">DEGREES(ASIN(12398/$B$1/0.96/2))</f>
        <v>42.927866251322122</v>
      </c>
      <c r="E29" s="38">
        <v>2.65</v>
      </c>
      <c r="F29" s="39">
        <v>2.65</v>
      </c>
      <c r="G29" s="17">
        <f t="shared" si="8"/>
        <v>42.927866251322122</v>
      </c>
      <c r="H29" s="17">
        <f t="shared" si="8"/>
        <v>42.927866251322122</v>
      </c>
    </row>
    <row r="30" spans="1:8" x14ac:dyDescent="0.25">
      <c r="A30" s="18" t="s">
        <v>23</v>
      </c>
      <c r="B30" s="18"/>
      <c r="C30" s="20">
        <f>SIN(RADIANS(C29-C28))/SIN(RADIANS(C29+C28))</f>
        <v>1</v>
      </c>
      <c r="D30" s="20">
        <f t="shared" ref="D30" si="9">SIN(RADIANS(D29-D28))/SIN(RADIANS(D29+D28))</f>
        <v>1.809251476321005</v>
      </c>
      <c r="E30" s="20">
        <v>1</v>
      </c>
      <c r="F30" s="20">
        <v>1</v>
      </c>
      <c r="G30" s="20">
        <f t="shared" ref="G30" si="10">SIN(RADIANS(G29-G28))/SIN(RADIANS(G29+G28))</f>
        <v>0.55271476247925178</v>
      </c>
      <c r="H30" s="20">
        <f t="shared" ref="H30" si="11">SIN(RADIANS(H29-H28))/SIN(RADIANS(H29+H28))</f>
        <v>1</v>
      </c>
    </row>
    <row r="31" spans="1:8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 x14ac:dyDescent="0.25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" si="12">G31/SIN(RADIANS(G29-G28))</f>
        <v>1.4751346505384424</v>
      </c>
      <c r="H32" s="20">
        <f t="shared" ref="H32" si="13">H31/SIN(RADIANS(H29-H28))</f>
        <v>1.8353282787546381</v>
      </c>
    </row>
    <row r="33" spans="1:8" x14ac:dyDescent="0.25">
      <c r="A33" s="16" t="s">
        <v>26</v>
      </c>
      <c r="B33" s="16"/>
      <c r="C33" s="17">
        <f>C31/C30</f>
        <v>1.25</v>
      </c>
      <c r="D33" s="17">
        <f t="shared" ref="D33:H33" si="14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4"/>
        <v>1.2500000000000002</v>
      </c>
      <c r="H33" s="17">
        <f t="shared" si="14"/>
        <v>1.2500000000000002</v>
      </c>
    </row>
    <row r="34" spans="1:8" x14ac:dyDescent="0.25">
      <c r="A34" s="18" t="s">
        <v>27</v>
      </c>
      <c r="B34" s="18"/>
      <c r="C34" s="21">
        <f>MIN($B$1*0.0000093/SQRT(C30),F19)</f>
        <v>6.6366999999999995E-2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 x14ac:dyDescent="0.25">
      <c r="A35" s="16" t="s">
        <v>28</v>
      </c>
      <c r="B35" s="16"/>
      <c r="C35" s="17">
        <f>F22</f>
        <v>0.51456432343749992</v>
      </c>
      <c r="D35" s="17">
        <f>C37</f>
        <v>0.48883610726562488</v>
      </c>
      <c r="E35" s="17">
        <f>D37</f>
        <v>0.45869322233068316</v>
      </c>
      <c r="F35" s="17">
        <f>E37</f>
        <v>0.43575856121414897</v>
      </c>
      <c r="G35" s="17">
        <f>F37</f>
        <v>0.41397063315344151</v>
      </c>
      <c r="H35" s="17">
        <f t="shared" ref="H35" si="15">G37</f>
        <v>0.39327210149576941</v>
      </c>
    </row>
    <row r="36" spans="1:8" x14ac:dyDescent="0.25">
      <c r="A36" s="30" t="s">
        <v>29</v>
      </c>
      <c r="B36" s="30"/>
      <c r="C36" s="31">
        <f>C35-C37</f>
        <v>2.572821617187504E-2</v>
      </c>
      <c r="D36" s="31">
        <f>D35-D37</f>
        <v>3.0142884934941716E-2</v>
      </c>
      <c r="E36" s="31">
        <v>0.28000000000000003</v>
      </c>
      <c r="F36" s="31">
        <f t="shared" ref="F36" si="16">F35-F37</f>
        <v>2.1787928060707451E-2</v>
      </c>
      <c r="G36" s="31">
        <f t="shared" ref="G36" si="17">G35-G37</f>
        <v>2.0698531657672103E-2</v>
      </c>
      <c r="H36" s="31">
        <f t="shared" ref="H36" si="18">H35-H37</f>
        <v>1.9663605074788482E-2</v>
      </c>
    </row>
    <row r="37" spans="1:8" x14ac:dyDescent="0.25">
      <c r="A37" s="16" t="s">
        <v>30</v>
      </c>
      <c r="B37" s="16"/>
      <c r="C37" s="17">
        <f>0.95*C35*C34/F19</f>
        <v>0.48883610726562488</v>
      </c>
      <c r="D37" s="17">
        <f>0.95*D35*D34/C34</f>
        <v>0.45869322233068316</v>
      </c>
      <c r="E37" s="17">
        <f>0.95*E35*E34/D34</f>
        <v>0.43575856121414897</v>
      </c>
      <c r="F37" s="17">
        <f>0.95*F35*F34/E34</f>
        <v>0.41397063315344151</v>
      </c>
      <c r="G37" s="17">
        <f>0.95*G35*G34/D34</f>
        <v>0.39327210149576941</v>
      </c>
      <c r="H37" s="17">
        <f t="shared" ref="H37" si="19">0.95*H35*H34/G34</f>
        <v>0.37360849642098093</v>
      </c>
    </row>
    <row r="39" spans="1:8" x14ac:dyDescent="0.25">
      <c r="C39" s="9" t="s">
        <v>40</v>
      </c>
      <c r="D39">
        <v>4</v>
      </c>
      <c r="F39">
        <v>15</v>
      </c>
      <c r="G39" t="s">
        <v>41</v>
      </c>
    </row>
    <row r="40" spans="1:8" x14ac:dyDescent="0.25">
      <c r="C40" s="9" t="s">
        <v>42</v>
      </c>
      <c r="D40" s="7">
        <f>0.95^2*D37*D39/1000/D34</f>
        <v>2.526049738375187E-2</v>
      </c>
      <c r="F40" s="7">
        <f>0.95^2*D37*F39/1000/D34</f>
        <v>9.4726865189069517E-2</v>
      </c>
    </row>
    <row r="41" spans="1:8" x14ac:dyDescent="0.25">
      <c r="C41" s="9" t="s">
        <v>43</v>
      </c>
      <c r="D41" s="8">
        <f>D40/1.6E-19/$B$1</f>
        <v>16652052383551.227</v>
      </c>
      <c r="F41" s="8">
        <f>F40/1.6E-19/$B$1</f>
        <v>62445196438317.109</v>
      </c>
    </row>
    <row r="43" spans="1:8" x14ac:dyDescent="0.25">
      <c r="C43" s="9" t="s">
        <v>44</v>
      </c>
      <c r="D43">
        <v>2.25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  <ignoredErrors>
    <ignoredError sqref="D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8C6A-3A53-4B70-B2CC-A66B71FED0B5}">
  <dimension ref="A1:H44"/>
  <sheetViews>
    <sheetView workbookViewId="0">
      <selection activeCell="F21" sqref="F21"/>
    </sheetView>
  </sheetViews>
  <sheetFormatPr defaultColWidth="11" defaultRowHeight="15.75" x14ac:dyDescent="0.25"/>
  <cols>
    <col min="1" max="1" width="17.375" customWidth="1"/>
    <col min="2" max="2" width="8.375" bestFit="1" customWidth="1"/>
    <col min="3" max="4" width="12.125" bestFit="1" customWidth="1"/>
  </cols>
  <sheetData>
    <row r="1" spans="1:8" ht="18" x14ac:dyDescent="0.25">
      <c r="A1" s="1" t="s">
        <v>0</v>
      </c>
      <c r="B1" s="1">
        <f>9481</f>
        <v>9481</v>
      </c>
      <c r="C1" s="10" t="s">
        <v>1</v>
      </c>
    </row>
    <row r="2" spans="1:8" x14ac:dyDescent="0.25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x14ac:dyDescent="0.25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 x14ac:dyDescent="0.25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0.10049860000000001</v>
      </c>
      <c r="G7" s="3">
        <f>D40/1000</f>
        <v>4.0000000000000001E-3</v>
      </c>
    </row>
    <row r="8" spans="1:8" x14ac:dyDescent="0.25">
      <c r="B8" s="8">
        <v>1E-3</v>
      </c>
    </row>
    <row r="10" spans="1:8" x14ac:dyDescent="0.25">
      <c r="A10" s="6"/>
      <c r="B10" s="6"/>
      <c r="C10" s="46" t="s">
        <v>5</v>
      </c>
      <c r="D10" s="46"/>
      <c r="E10" s="46"/>
      <c r="F10" s="46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45" t="s">
        <v>51</v>
      </c>
      <c r="D12" s="45" t="str">
        <f>C12</f>
        <v>Si(111)</v>
      </c>
      <c r="E12" s="45" t="s">
        <v>54</v>
      </c>
      <c r="F12" s="45" t="str">
        <f>E12</f>
        <v>Si(333)</v>
      </c>
    </row>
    <row r="13" spans="1:8" x14ac:dyDescent="0.25">
      <c r="A13" s="13" t="s">
        <v>20</v>
      </c>
      <c r="B13" s="13"/>
      <c r="C13" s="13">
        <v>9</v>
      </c>
      <c r="D13" s="13">
        <f>-C13</f>
        <v>-9</v>
      </c>
      <c r="E13" s="13">
        <v>0</v>
      </c>
      <c r="F13" s="13">
        <f>-E13</f>
        <v>0</v>
      </c>
    </row>
    <row r="14" spans="1:8" x14ac:dyDescent="0.25">
      <c r="A14" s="6" t="s">
        <v>21</v>
      </c>
      <c r="B14" s="6"/>
      <c r="C14" s="11">
        <v>12.042999999999999</v>
      </c>
      <c r="D14" s="11">
        <f>C14</f>
        <v>12.042999999999999</v>
      </c>
      <c r="E14" s="11">
        <v>38.726999999999997</v>
      </c>
      <c r="F14" s="11">
        <f>E14</f>
        <v>38.726999999999997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6.7639777120843556</v>
      </c>
      <c r="E15" s="14">
        <f t="shared" si="0"/>
        <v>1</v>
      </c>
      <c r="F15" s="14">
        <f t="shared" si="0"/>
        <v>1</v>
      </c>
      <c r="H15" s="33">
        <f>D6+E6+C21+D21+E21+F21+C37+D37+G37+H37+H38</f>
        <v>49.97763870541138</v>
      </c>
    </row>
    <row r="16" spans="1:8" x14ac:dyDescent="0.25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1.3096054846052845</v>
      </c>
      <c r="F16" s="11">
        <f>E18</f>
        <v>1.3096054846052845</v>
      </c>
    </row>
    <row r="17" spans="1:8" x14ac:dyDescent="0.25">
      <c r="A17" s="13" t="s">
        <v>25</v>
      </c>
      <c r="B17" s="13"/>
      <c r="C17" s="14">
        <v>24.669784419999999</v>
      </c>
      <c r="D17" s="14">
        <f t="shared" ref="D17:F17" si="1">D16/SIN(RADIANS(D14-D13))</f>
        <v>24.669784419999996</v>
      </c>
      <c r="E17" s="14">
        <f t="shared" si="1"/>
        <v>2.0933244980841712</v>
      </c>
      <c r="F17" s="14">
        <f t="shared" si="1"/>
        <v>2.0933244980841712</v>
      </c>
    </row>
    <row r="18" spans="1:8" x14ac:dyDescent="0.25">
      <c r="A18" s="6" t="s">
        <v>26</v>
      </c>
      <c r="B18" s="6"/>
      <c r="C18" s="11">
        <f>C16/C15</f>
        <v>8.8581423094935765</v>
      </c>
      <c r="D18" s="11">
        <f t="shared" ref="D18:F18" si="2">D16/D15</f>
        <v>1.3096054846052845</v>
      </c>
      <c r="E18" s="11">
        <f t="shared" si="2"/>
        <v>1.3096054846052845</v>
      </c>
      <c r="F18" s="11">
        <f t="shared" si="2"/>
        <v>1.3096054846052845</v>
      </c>
    </row>
    <row r="19" spans="1:8" x14ac:dyDescent="0.25">
      <c r="A19" s="13" t="s">
        <v>27</v>
      </c>
      <c r="B19" s="13"/>
      <c r="C19" s="14">
        <f>$B$1*0.00011/SQRT(C15)</f>
        <v>2.7123636510847517</v>
      </c>
      <c r="D19" s="15">
        <f>MIN($B$1*0.00011/SQRT(D15),C19)</f>
        <v>0.4010012697467808</v>
      </c>
      <c r="E19" s="15">
        <f>MIN($B$1*0.0000106/SQRT(E15),D19)</f>
        <v>0.10049860000000001</v>
      </c>
      <c r="F19" s="15">
        <f>MIN($B$1*0.0000106/SQRT(F15),E19)</f>
        <v>0.10049860000000001</v>
      </c>
    </row>
    <row r="20" spans="1:8" x14ac:dyDescent="0.25">
      <c r="A20" s="6" t="s">
        <v>28</v>
      </c>
      <c r="B20" s="6"/>
      <c r="C20" s="11">
        <f>F5</f>
        <v>45.125</v>
      </c>
      <c r="D20" s="11">
        <f>C22</f>
        <v>12.264069113747437</v>
      </c>
      <c r="E20" s="11">
        <f t="shared" ref="E20:F20" si="3">D22</f>
        <v>1.7224872928313937</v>
      </c>
      <c r="F20" s="11">
        <f t="shared" si="3"/>
        <v>0.41010389687500004</v>
      </c>
    </row>
    <row r="21" spans="1:8" x14ac:dyDescent="0.25">
      <c r="A21" s="27" t="s">
        <v>29</v>
      </c>
      <c r="B21" s="27"/>
      <c r="C21" s="28">
        <f>C20-C22</f>
        <v>32.860930886252561</v>
      </c>
      <c r="D21" s="28">
        <f>D20-D22</f>
        <v>10.541581820916043</v>
      </c>
      <c r="E21" s="29">
        <f t="shared" ref="E21:F21" si="4">E20-E22</f>
        <v>1.3123833959563935</v>
      </c>
      <c r="F21" s="29">
        <f t="shared" si="4"/>
        <v>2.0505194843750019E-2</v>
      </c>
    </row>
    <row r="22" spans="1:8" x14ac:dyDescent="0.25">
      <c r="A22" s="6" t="s">
        <v>30</v>
      </c>
      <c r="B22" s="6"/>
      <c r="C22" s="11">
        <f>0.95*C20*C19/E7</f>
        <v>12.264069113747437</v>
      </c>
      <c r="D22" s="11">
        <f>0.95*D20*D19/C19</f>
        <v>1.7224872928313937</v>
      </c>
      <c r="E22" s="11">
        <f t="shared" ref="E22:F22" si="5">0.95*E20*E19/D19</f>
        <v>0.41010389687500004</v>
      </c>
      <c r="F22" s="11">
        <f t="shared" si="5"/>
        <v>0.38959870203125002</v>
      </c>
    </row>
    <row r="23" spans="1:8" x14ac:dyDescent="0.25">
      <c r="A23" s="6" t="s">
        <v>55</v>
      </c>
      <c r="B23" s="6"/>
      <c r="C23" s="11">
        <f>0.00556122792263178*1000</f>
        <v>5.5612279226317805</v>
      </c>
      <c r="D23" s="11">
        <f>C23</f>
        <v>5.5612279226317805</v>
      </c>
      <c r="E23" s="11">
        <f>0.0011521811757212*1000</f>
        <v>1.1521811757211999</v>
      </c>
      <c r="F23" s="11">
        <f>E23</f>
        <v>1.1521811757211999</v>
      </c>
    </row>
    <row r="26" spans="1:8" x14ac:dyDescent="0.25">
      <c r="A26" s="16"/>
      <c r="B26" s="16"/>
      <c r="C26" s="47" t="s">
        <v>31</v>
      </c>
      <c r="D26" s="47"/>
      <c r="E26" s="47"/>
      <c r="F26" s="47"/>
    </row>
    <row r="27" spans="1:8" x14ac:dyDescent="0.25">
      <c r="A27" s="18"/>
      <c r="B27" s="18"/>
      <c r="C27" s="19" t="s">
        <v>32</v>
      </c>
      <c r="D27" s="19" t="s">
        <v>33</v>
      </c>
      <c r="E27" s="19" t="s">
        <v>34</v>
      </c>
      <c r="F27" s="19" t="s">
        <v>35</v>
      </c>
      <c r="G27" s="19" t="s">
        <v>36</v>
      </c>
      <c r="H27" s="19" t="s">
        <v>37</v>
      </c>
    </row>
    <row r="28" spans="1:8" x14ac:dyDescent="0.25">
      <c r="A28" s="16" t="s">
        <v>17</v>
      </c>
      <c r="B28" s="16"/>
      <c r="C28" s="44" t="s">
        <v>38</v>
      </c>
      <c r="D28" s="44" t="str">
        <f>C28</f>
        <v>Si(440)</v>
      </c>
      <c r="E28" s="44"/>
      <c r="F28" s="44"/>
      <c r="G28" s="44" t="str">
        <f>D28</f>
        <v>Si(440)</v>
      </c>
      <c r="H28" s="44" t="str">
        <f t="shared" ref="H28" si="6">G28</f>
        <v>Si(440)</v>
      </c>
    </row>
    <row r="29" spans="1:8" x14ac:dyDescent="0.25">
      <c r="A29" s="18" t="s">
        <v>20</v>
      </c>
      <c r="B29" s="18"/>
      <c r="C29" s="18">
        <v>0</v>
      </c>
      <c r="D29" s="18">
        <v>-15</v>
      </c>
      <c r="E29" s="36" t="s">
        <v>39</v>
      </c>
      <c r="F29" s="37" t="s">
        <v>39</v>
      </c>
      <c r="G29" s="18">
        <f>-D29</f>
        <v>15</v>
      </c>
      <c r="H29" s="18">
        <v>0</v>
      </c>
    </row>
    <row r="30" spans="1:8" x14ac:dyDescent="0.25">
      <c r="A30" s="16" t="s">
        <v>21</v>
      </c>
      <c r="B30" s="16"/>
      <c r="C30" s="17">
        <f>DEGREES(ASIN(12398/$B$1/0.96/2))</f>
        <v>42.927866251322122</v>
      </c>
      <c r="D30" s="17">
        <f t="shared" ref="D30:H30" si="7">DEGREES(ASIN(12398/$B$1/0.96/2))</f>
        <v>42.927866251322122</v>
      </c>
      <c r="E30" s="38">
        <v>2.65</v>
      </c>
      <c r="F30" s="39">
        <v>2.65</v>
      </c>
      <c r="G30" s="17">
        <f t="shared" si="7"/>
        <v>42.927866251322122</v>
      </c>
      <c r="H30" s="17">
        <f t="shared" si="7"/>
        <v>42.927866251322122</v>
      </c>
    </row>
    <row r="31" spans="1:8" x14ac:dyDescent="0.25">
      <c r="A31" s="18" t="s">
        <v>23</v>
      </c>
      <c r="B31" s="18"/>
      <c r="C31" s="20">
        <f>SIN(RADIANS(C30-C29))/SIN(RADIANS(C30+C29))</f>
        <v>1</v>
      </c>
      <c r="D31" s="20">
        <f t="shared" ref="D31" si="8">SIN(RADIANS(D30-D29))/SIN(RADIANS(D30+D29))</f>
        <v>1.809251476321005</v>
      </c>
      <c r="E31" s="20">
        <v>1</v>
      </c>
      <c r="F31" s="20">
        <v>1</v>
      </c>
      <c r="G31" s="20">
        <f t="shared" ref="G31:H31" si="9">SIN(RADIANS(G30-G29))/SIN(RADIANS(G30+G29))</f>
        <v>0.55271476247925178</v>
      </c>
      <c r="H31" s="20">
        <f t="shared" si="9"/>
        <v>1</v>
      </c>
    </row>
    <row r="32" spans="1:8" x14ac:dyDescent="0.25">
      <c r="A32" s="16" t="s">
        <v>24</v>
      </c>
      <c r="B32" s="16"/>
      <c r="C32" s="17">
        <f>G4</f>
        <v>1.25</v>
      </c>
      <c r="D32" s="17">
        <f>C34</f>
        <v>1.25</v>
      </c>
      <c r="E32" s="17">
        <f>D34</f>
        <v>0.6908934530990648</v>
      </c>
      <c r="F32" s="17">
        <f>E34</f>
        <v>0.6908934530990648</v>
      </c>
      <c r="G32" s="17">
        <f>D34</f>
        <v>0.6908934530990648</v>
      </c>
      <c r="H32" s="17">
        <f>G34</f>
        <v>1.2500000000000002</v>
      </c>
    </row>
    <row r="33" spans="1:8" x14ac:dyDescent="0.25">
      <c r="A33" s="18" t="s">
        <v>25</v>
      </c>
      <c r="B33" s="18"/>
      <c r="C33" s="20">
        <f>C32/SIN(RADIANS(C30-C29))</f>
        <v>1.8353282787546379</v>
      </c>
      <c r="D33" s="20">
        <f>D32/SIN(RADIANS(D30-D29))</f>
        <v>1.4751346505384422</v>
      </c>
      <c r="E33" s="20">
        <f>E32*1000/E30</f>
        <v>260.71451060342071</v>
      </c>
      <c r="F33" s="20">
        <f>F32*1000/F30</f>
        <v>260.71451060342071</v>
      </c>
      <c r="G33" s="20">
        <f t="shared" ref="G33:H33" si="10">G32/SIN(RADIANS(G30-G29))</f>
        <v>1.4751346505384424</v>
      </c>
      <c r="H33" s="20">
        <f t="shared" si="10"/>
        <v>1.8353282787546381</v>
      </c>
    </row>
    <row r="34" spans="1:8" x14ac:dyDescent="0.25">
      <c r="A34" s="16" t="s">
        <v>26</v>
      </c>
      <c r="B34" s="16"/>
      <c r="C34" s="17">
        <f>C32/C31</f>
        <v>1.25</v>
      </c>
      <c r="D34" s="17">
        <f t="shared" ref="D34:H34" si="11">D32/D31</f>
        <v>0.6908934530990648</v>
      </c>
      <c r="E34" s="17">
        <f>E32</f>
        <v>0.6908934530990648</v>
      </c>
      <c r="F34" s="17">
        <f>F32</f>
        <v>0.6908934530990648</v>
      </c>
      <c r="G34" s="17">
        <f t="shared" si="11"/>
        <v>1.2500000000000002</v>
      </c>
      <c r="H34" s="17">
        <f t="shared" si="11"/>
        <v>1.2500000000000002</v>
      </c>
    </row>
    <row r="35" spans="1:8" x14ac:dyDescent="0.25">
      <c r="A35" s="18" t="s">
        <v>27</v>
      </c>
      <c r="B35" s="18"/>
      <c r="C35" s="21">
        <f>MIN($B$1*0.0000093/SQRT(C31),F19)</f>
        <v>8.817330000000001E-2</v>
      </c>
      <c r="D35" s="21">
        <f>MIN($B$1*0.0000093/SQRT(D31),C35)</f>
        <v>6.555225368123066E-2</v>
      </c>
      <c r="E35" s="21">
        <f>D35</f>
        <v>6.555225368123066E-2</v>
      </c>
      <c r="F35" s="21">
        <f>E35</f>
        <v>6.555225368123066E-2</v>
      </c>
      <c r="G35" s="21">
        <f>MIN($B$1*0.0000093/SQRT(G31),D35)</f>
        <v>6.555225368123066E-2</v>
      </c>
      <c r="H35" s="21">
        <f>MIN($B$1*0.0000093/SQRT(H31),G35)</f>
        <v>6.555225368123066E-2</v>
      </c>
    </row>
    <row r="36" spans="1:8" x14ac:dyDescent="0.25">
      <c r="A36" s="16" t="s">
        <v>28</v>
      </c>
      <c r="B36" s="16"/>
      <c r="C36" s="17">
        <f>F22</f>
        <v>0.38959870203125002</v>
      </c>
      <c r="D36" s="17">
        <f>C38</f>
        <v>0.32472684268359375</v>
      </c>
      <c r="E36" s="17">
        <f>D38</f>
        <v>0.22934661116534161</v>
      </c>
      <c r="F36" s="17">
        <f>E38</f>
        <v>0.21787928060707451</v>
      </c>
      <c r="G36" s="17">
        <f>F38</f>
        <v>0.20698531657672078</v>
      </c>
      <c r="H36" s="17">
        <f t="shared" ref="H36" si="12">G38</f>
        <v>0.19663605074788473</v>
      </c>
    </row>
    <row r="37" spans="1:8" x14ac:dyDescent="0.25">
      <c r="A37" s="30" t="s">
        <v>29</v>
      </c>
      <c r="B37" s="30"/>
      <c r="C37" s="31">
        <f>C36-C38</f>
        <v>6.4871859347656269E-2</v>
      </c>
      <c r="D37" s="31">
        <f>D36-D38</f>
        <v>9.5380231518252145E-2</v>
      </c>
      <c r="E37" s="31">
        <v>0.28000000000000003</v>
      </c>
      <c r="F37" s="31">
        <f t="shared" ref="F37:H37" si="13">F36-F38</f>
        <v>1.0893964030353726E-2</v>
      </c>
      <c r="G37" s="31">
        <f t="shared" si="13"/>
        <v>1.0349265828836052E-2</v>
      </c>
      <c r="H37" s="31">
        <f t="shared" si="13"/>
        <v>9.8318025373942408E-3</v>
      </c>
    </row>
    <row r="38" spans="1:8" x14ac:dyDescent="0.25">
      <c r="A38" s="16" t="s">
        <v>30</v>
      </c>
      <c r="B38" s="16"/>
      <c r="C38" s="17">
        <f>0.95*C36*C35/F19</f>
        <v>0.32472684268359375</v>
      </c>
      <c r="D38" s="17">
        <f>0.95*D36*D35/C35</f>
        <v>0.22934661116534161</v>
      </c>
      <c r="E38" s="17">
        <f>0.95*E36*E35/D35</f>
        <v>0.21787928060707451</v>
      </c>
      <c r="F38" s="17">
        <f>0.95*F36*F35/E35</f>
        <v>0.20698531657672078</v>
      </c>
      <c r="G38" s="17">
        <f>0.95*G36*G35/D35</f>
        <v>0.19663605074788473</v>
      </c>
      <c r="H38" s="17">
        <f t="shared" ref="H38" si="14">0.95*H36*H35/G35</f>
        <v>0.18680424821049049</v>
      </c>
    </row>
    <row r="40" spans="1:8" x14ac:dyDescent="0.25">
      <c r="C40" s="9" t="s">
        <v>40</v>
      </c>
      <c r="D40">
        <v>4</v>
      </c>
    </row>
    <row r="41" spans="1:8" x14ac:dyDescent="0.25">
      <c r="C41" s="9" t="s">
        <v>42</v>
      </c>
      <c r="D41" s="7">
        <f>0.95^2*D38*D40/1000/D35</f>
        <v>1.2630248691875937E-2</v>
      </c>
      <c r="F41" s="7"/>
    </row>
    <row r="42" spans="1:8" x14ac:dyDescent="0.25">
      <c r="C42" s="9" t="s">
        <v>43</v>
      </c>
      <c r="D42" s="8">
        <f>D41/1.6E-19/$B$1</f>
        <v>8326026191775.6152</v>
      </c>
      <c r="F42" s="8"/>
    </row>
    <row r="44" spans="1:8" x14ac:dyDescent="0.25">
      <c r="C44" s="9" t="s">
        <v>44</v>
      </c>
      <c r="D44">
        <v>2.25</v>
      </c>
    </row>
  </sheetData>
  <mergeCells count="3">
    <mergeCell ref="F6:G6"/>
    <mergeCell ref="C10:F10"/>
    <mergeCell ref="C26:F26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6799-D342-4B40-B7BD-BBBEDC8F0C10}">
  <dimension ref="A1:I49"/>
  <sheetViews>
    <sheetView tabSelected="1" topLeftCell="A13" workbookViewId="0">
      <selection activeCell="K45" sqref="K45"/>
    </sheetView>
  </sheetViews>
  <sheetFormatPr defaultRowHeight="15.75" x14ac:dyDescent="0.25"/>
  <cols>
    <col min="1" max="1" width="9.625" bestFit="1" customWidth="1"/>
    <col min="2" max="2" width="21.375" bestFit="1" customWidth="1"/>
    <col min="3" max="3" width="17.5" bestFit="1" customWidth="1"/>
    <col min="4" max="4" width="13.125" bestFit="1" customWidth="1"/>
    <col min="5" max="5" width="16.875" bestFit="1" customWidth="1"/>
    <col min="6" max="6" width="17.375" bestFit="1" customWidth="1"/>
    <col min="7" max="8" width="12.75" bestFit="1" customWidth="1"/>
    <col min="9" max="9" width="13.5" bestFit="1" customWidth="1"/>
  </cols>
  <sheetData>
    <row r="1" spans="1:9" x14ac:dyDescent="0.25">
      <c r="A1" t="s">
        <v>56</v>
      </c>
      <c r="B1" t="s">
        <v>57</v>
      </c>
      <c r="C1" t="s">
        <v>61</v>
      </c>
      <c r="D1" t="s">
        <v>59</v>
      </c>
      <c r="E1" t="s">
        <v>60</v>
      </c>
      <c r="F1" t="s">
        <v>62</v>
      </c>
    </row>
    <row r="2" spans="1:9" x14ac:dyDescent="0.25">
      <c r="A2">
        <v>111</v>
      </c>
      <c r="B2">
        <v>5.6862476379779503</v>
      </c>
      <c r="C2">
        <v>12.0368582999333</v>
      </c>
      <c r="D2">
        <f>B2/3600/C2</f>
        <v>1.3122304785962344E-4</v>
      </c>
      <c r="E2">
        <f>9481*D2*1000</f>
        <v>1244.1257167570898</v>
      </c>
      <c r="F2">
        <v>1.1E-4</v>
      </c>
    </row>
    <row r="3" spans="1:9" x14ac:dyDescent="0.25">
      <c r="A3">
        <v>220</v>
      </c>
      <c r="B3">
        <v>4.2758565379673596</v>
      </c>
      <c r="C3">
        <v>19.910133402927201</v>
      </c>
      <c r="D3">
        <f>B3/3600/C3</f>
        <v>5.9654945709129878E-5</v>
      </c>
      <c r="E3">
        <f t="shared" ref="E3:E5" si="0">9481*D3*1000</f>
        <v>565.58854026826032</v>
      </c>
      <c r="F3">
        <v>5.8E-5</v>
      </c>
    </row>
    <row r="4" spans="1:9" x14ac:dyDescent="0.25">
      <c r="A4">
        <v>400</v>
      </c>
      <c r="B4">
        <v>2.8171598592440898</v>
      </c>
      <c r="C4">
        <v>28.790250446637501</v>
      </c>
      <c r="D4">
        <f>B4/3600/C4</f>
        <v>2.7180882180793121E-5</v>
      </c>
      <c r="E4">
        <f t="shared" si="0"/>
        <v>257.70194395609957</v>
      </c>
      <c r="F4">
        <v>2.4000000000000001E-5</v>
      </c>
    </row>
    <row r="5" spans="1:9" x14ac:dyDescent="0.25">
      <c r="A5">
        <v>440</v>
      </c>
      <c r="B5">
        <v>1.9142294589122</v>
      </c>
      <c r="C5">
        <v>42.929010627216698</v>
      </c>
      <c r="D5">
        <f>B5/3600/C5</f>
        <v>1.2386272068340552E-5</v>
      </c>
      <c r="E5">
        <f t="shared" si="0"/>
        <v>117.43424547993676</v>
      </c>
      <c r="F5">
        <v>9.3000000000000007E-6</v>
      </c>
    </row>
    <row r="6" spans="1:9" x14ac:dyDescent="0.25">
      <c r="A6">
        <v>331</v>
      </c>
      <c r="C6">
        <v>31.66</v>
      </c>
    </row>
    <row r="7" spans="1:9" x14ac:dyDescent="0.25">
      <c r="A7">
        <v>333</v>
      </c>
      <c r="B7">
        <v>1.47691684557762</v>
      </c>
      <c r="C7">
        <v>38.727904123449299</v>
      </c>
      <c r="D7">
        <f>B7/3600/C7</f>
        <v>1.0593257978004346E-5</v>
      </c>
      <c r="E7">
        <f>9481*D7*1000</f>
        <v>100.43467888945921</v>
      </c>
      <c r="F7">
        <f>0.0000106</f>
        <v>1.06E-5</v>
      </c>
    </row>
    <row r="9" spans="1:9" x14ac:dyDescent="0.25">
      <c r="A9" t="s">
        <v>63</v>
      </c>
      <c r="B9" t="s">
        <v>58</v>
      </c>
    </row>
    <row r="10" spans="1:9" x14ac:dyDescent="0.25">
      <c r="A10">
        <v>9481</v>
      </c>
      <c r="B10">
        <f>0.0000000000619927</f>
        <v>6.1992700000000005E-11</v>
      </c>
    </row>
    <row r="13" spans="1:9" x14ac:dyDescent="0.25">
      <c r="A13" t="s">
        <v>72</v>
      </c>
      <c r="B13" t="s">
        <v>70</v>
      </c>
      <c r="C13" t="s">
        <v>71</v>
      </c>
      <c r="D13" t="s">
        <v>73</v>
      </c>
      <c r="E13" t="s">
        <v>76</v>
      </c>
      <c r="F13" t="s">
        <v>75</v>
      </c>
      <c r="G13" t="s">
        <v>74</v>
      </c>
      <c r="H13" t="s">
        <v>77</v>
      </c>
      <c r="I13" t="s">
        <v>78</v>
      </c>
    </row>
    <row r="14" spans="1:9" x14ac:dyDescent="0.25">
      <c r="A14" t="s">
        <v>64</v>
      </c>
      <c r="B14">
        <f>C2</f>
        <v>12.0368582999333</v>
      </c>
      <c r="C14">
        <v>9</v>
      </c>
      <c r="D14">
        <f>SIN(RADIANS(B14-C14))/SIN(RADIANS(B14+C14))</f>
        <v>0.14758501191458828</v>
      </c>
      <c r="E14">
        <f>A10/1000</f>
        <v>9.4809999999999999</v>
      </c>
      <c r="F14">
        <v>3.35</v>
      </c>
      <c r="G14">
        <f>50*0.95^2</f>
        <v>45.125</v>
      </c>
      <c r="H14">
        <f>G14*F14/E14*0.95</f>
        <v>15.147169338677356</v>
      </c>
      <c r="I14">
        <f>G14-H14</f>
        <v>29.977830661322642</v>
      </c>
    </row>
    <row r="15" spans="1:9" x14ac:dyDescent="0.25">
      <c r="A15" t="s">
        <v>66</v>
      </c>
      <c r="B15">
        <f>B14</f>
        <v>12.0368582999333</v>
      </c>
      <c r="C15">
        <f>-C14</f>
        <v>-9</v>
      </c>
      <c r="D15">
        <f>SIN(RADIANS(B15-C15))/SIN(RADIANS(B15+C15))</f>
        <v>6.7757557967927591</v>
      </c>
      <c r="E15">
        <f>F14</f>
        <v>3.35</v>
      </c>
      <c r="F15">
        <v>3.2509999999999999</v>
      </c>
      <c r="G15">
        <f>H14</f>
        <v>15.147169338677356</v>
      </c>
      <c r="H15">
        <f t="shared" ref="H15:H17" si="1">G15*F15/E15*0.95</f>
        <v>13.964559744488978</v>
      </c>
      <c r="I15">
        <f>G15-H15</f>
        <v>1.1826095941883779</v>
      </c>
    </row>
    <row r="16" spans="1:9" x14ac:dyDescent="0.25">
      <c r="A16" t="s">
        <v>67</v>
      </c>
      <c r="B16">
        <f>C5</f>
        <v>42.929010627216698</v>
      </c>
      <c r="C16">
        <v>5.5</v>
      </c>
      <c r="D16">
        <f t="shared" ref="D16:D19" si="2">SIN(RADIANS(B16-C16))/SIN(RADIANS(B16+C16))</f>
        <v>0.81239172093909062</v>
      </c>
      <c r="E16">
        <f t="shared" ref="E16:E19" si="3">F15</f>
        <v>3.2509999999999999</v>
      </c>
      <c r="F16">
        <v>0.107</v>
      </c>
      <c r="G16">
        <f t="shared" ref="G16:G19" si="4">H15</f>
        <v>13.964559744488978</v>
      </c>
      <c r="H16">
        <f t="shared" si="1"/>
        <v>0.43663411197394786</v>
      </c>
      <c r="I16">
        <f t="shared" ref="I16:I17" si="5">G16-H16</f>
        <v>13.52792563251503</v>
      </c>
    </row>
    <row r="17" spans="1:9" x14ac:dyDescent="0.25">
      <c r="A17" t="s">
        <v>65</v>
      </c>
      <c r="B17">
        <f>B16</f>
        <v>42.929010627216698</v>
      </c>
      <c r="C17">
        <f>-C16</f>
        <v>-5.5</v>
      </c>
      <c r="D17">
        <f t="shared" si="2"/>
        <v>1.2309332729831886</v>
      </c>
      <c r="E17">
        <f t="shared" si="3"/>
        <v>0.107</v>
      </c>
      <c r="F17">
        <v>0.107</v>
      </c>
      <c r="G17">
        <f t="shared" si="4"/>
        <v>0.43663411197394786</v>
      </c>
      <c r="H17">
        <f t="shared" si="1"/>
        <v>0.41480240637525045</v>
      </c>
      <c r="I17">
        <f t="shared" si="5"/>
        <v>2.1831705598697404E-2</v>
      </c>
    </row>
    <row r="18" spans="1:9" x14ac:dyDescent="0.25">
      <c r="A18" t="s">
        <v>68</v>
      </c>
      <c r="B18">
        <f>C5</f>
        <v>42.929010627216698</v>
      </c>
      <c r="C18">
        <v>0</v>
      </c>
      <c r="D18">
        <f t="shared" si="2"/>
        <v>1</v>
      </c>
      <c r="E18">
        <f t="shared" si="3"/>
        <v>0.107</v>
      </c>
      <c r="F18">
        <v>0.107</v>
      </c>
      <c r="G18">
        <f t="shared" si="4"/>
        <v>0.41480240637525045</v>
      </c>
      <c r="H18">
        <f t="shared" ref="H18:H19" si="6">G18*F18/E18*0.95</f>
        <v>0.39406228605648791</v>
      </c>
      <c r="I18">
        <f t="shared" ref="I18:I19" si="7">G18-H18</f>
        <v>2.0740120318762545E-2</v>
      </c>
    </row>
    <row r="19" spans="1:9" x14ac:dyDescent="0.25">
      <c r="A19" t="s">
        <v>69</v>
      </c>
      <c r="B19">
        <f>B18</f>
        <v>42.929010627216698</v>
      </c>
      <c r="C19">
        <v>-15</v>
      </c>
      <c r="D19">
        <f t="shared" si="2"/>
        <v>1.8092059522717598</v>
      </c>
      <c r="E19">
        <f t="shared" si="3"/>
        <v>0.107</v>
      </c>
      <c r="F19">
        <v>0.107</v>
      </c>
      <c r="G19">
        <f t="shared" si="4"/>
        <v>0.39406228605648791</v>
      </c>
      <c r="H19">
        <f t="shared" si="6"/>
        <v>0.37435917175366351</v>
      </c>
      <c r="I19">
        <f t="shared" si="7"/>
        <v>1.9703114302824398E-2</v>
      </c>
    </row>
    <row r="23" spans="1:9" x14ac:dyDescent="0.25">
      <c r="A23" t="s">
        <v>72</v>
      </c>
      <c r="B23" t="s">
        <v>70</v>
      </c>
      <c r="C23" t="s">
        <v>71</v>
      </c>
      <c r="D23" t="s">
        <v>73</v>
      </c>
      <c r="E23" t="s">
        <v>76</v>
      </c>
      <c r="F23" t="s">
        <v>75</v>
      </c>
      <c r="G23" t="s">
        <v>74</v>
      </c>
      <c r="H23" t="s">
        <v>77</v>
      </c>
      <c r="I23" t="s">
        <v>78</v>
      </c>
    </row>
    <row r="24" spans="1:9" x14ac:dyDescent="0.25">
      <c r="A24" t="s">
        <v>64</v>
      </c>
      <c r="B24">
        <v>12.0368582999333</v>
      </c>
      <c r="C24">
        <v>9</v>
      </c>
      <c r="D24">
        <f>SIN(RADIANS(B24-C24))/SIN(RADIANS(B24+C24))</f>
        <v>0.14758501191458828</v>
      </c>
      <c r="E24">
        <f>A10/1000</f>
        <v>9.4809999999999999</v>
      </c>
      <c r="F24">
        <v>3.35</v>
      </c>
      <c r="G24">
        <f>50*0.95^2</f>
        <v>45.125</v>
      </c>
      <c r="H24">
        <f>G24*F24/E24*0.95</f>
        <v>15.147169338677356</v>
      </c>
      <c r="I24">
        <f>G24-H24</f>
        <v>29.977830661322642</v>
      </c>
    </row>
    <row r="25" spans="1:9" x14ac:dyDescent="0.25">
      <c r="A25" t="s">
        <v>66</v>
      </c>
      <c r="B25">
        <f>B24</f>
        <v>12.0368582999333</v>
      </c>
      <c r="C25">
        <f>-C24</f>
        <v>-9</v>
      </c>
      <c r="D25">
        <f>SIN(RADIANS(B25-C25))/SIN(RADIANS(B25+C25))</f>
        <v>6.7757557967927591</v>
      </c>
      <c r="E25">
        <f>F24</f>
        <v>3.35</v>
      </c>
      <c r="F25">
        <v>3.2509999999999999</v>
      </c>
      <c r="G25">
        <f>H24</f>
        <v>15.147169338677356</v>
      </c>
      <c r="H25">
        <f t="shared" ref="H25:H29" si="8">G25*F25/E25*0.95</f>
        <v>13.964559744488978</v>
      </c>
      <c r="I25">
        <f>G25-H25</f>
        <v>1.1826095941883779</v>
      </c>
    </row>
    <row r="26" spans="1:9" x14ac:dyDescent="0.25">
      <c r="A26" t="s">
        <v>67</v>
      </c>
      <c r="B26">
        <f>C5</f>
        <v>42.929010627216698</v>
      </c>
      <c r="C26">
        <v>35</v>
      </c>
      <c r="D26">
        <f t="shared" ref="D26:D29" si="9">SIN(RADIANS(B26-C26))/SIN(RADIANS(B26+C26))</f>
        <v>0.14106510969429786</v>
      </c>
      <c r="E26">
        <f t="shared" ref="E26:E29" si="10">F25</f>
        <v>3.2509999999999999</v>
      </c>
      <c r="F26">
        <v>0.28499999999999998</v>
      </c>
      <c r="G26">
        <f t="shared" ref="G26:G29" si="11">H25</f>
        <v>13.964559744488978</v>
      </c>
      <c r="H26">
        <f t="shared" si="8"/>
        <v>1.1629974010521043</v>
      </c>
      <c r="I26">
        <f t="shared" ref="I26:I29" si="12">G26-H26</f>
        <v>12.801562343436874</v>
      </c>
    </row>
    <row r="27" spans="1:9" x14ac:dyDescent="0.25">
      <c r="A27" t="s">
        <v>65</v>
      </c>
      <c r="B27">
        <f>B26</f>
        <v>42.929010627216698</v>
      </c>
      <c r="C27">
        <f>-C26</f>
        <v>-35</v>
      </c>
      <c r="D27">
        <f t="shared" si="9"/>
        <v>7.0889251223573257</v>
      </c>
      <c r="E27">
        <f t="shared" si="10"/>
        <v>0.28499999999999998</v>
      </c>
      <c r="F27">
        <v>0.28499999999999998</v>
      </c>
      <c r="G27">
        <f t="shared" si="11"/>
        <v>1.1629974010521043</v>
      </c>
      <c r="H27">
        <f t="shared" si="8"/>
        <v>1.104847530999499</v>
      </c>
      <c r="I27">
        <f t="shared" si="12"/>
        <v>5.8149870052605301E-2</v>
      </c>
    </row>
    <row r="28" spans="1:9" x14ac:dyDescent="0.25">
      <c r="A28" t="s">
        <v>68</v>
      </c>
      <c r="B28">
        <f>C5</f>
        <v>42.929010627216698</v>
      </c>
      <c r="C28">
        <v>0</v>
      </c>
      <c r="D28">
        <f t="shared" si="9"/>
        <v>1</v>
      </c>
      <c r="E28">
        <f t="shared" si="10"/>
        <v>0.28499999999999998</v>
      </c>
      <c r="F28">
        <v>9.8000000000000004E-2</v>
      </c>
      <c r="G28">
        <f t="shared" si="11"/>
        <v>1.104847530999499</v>
      </c>
      <c r="H28">
        <f t="shared" si="8"/>
        <v>0.36091686012650304</v>
      </c>
      <c r="I28">
        <f t="shared" si="12"/>
        <v>0.74393067087299591</v>
      </c>
    </row>
    <row r="29" spans="1:9" x14ac:dyDescent="0.25">
      <c r="A29" t="s">
        <v>69</v>
      </c>
      <c r="B29">
        <f>B28</f>
        <v>42.929010627216698</v>
      </c>
      <c r="C29">
        <v>-15</v>
      </c>
      <c r="D29">
        <f t="shared" si="9"/>
        <v>1.8092059522717598</v>
      </c>
      <c r="E29">
        <f t="shared" si="10"/>
        <v>9.8000000000000004E-2</v>
      </c>
      <c r="F29">
        <v>9.8000000000000004E-2</v>
      </c>
      <c r="G29">
        <f t="shared" si="11"/>
        <v>0.36091686012650304</v>
      </c>
      <c r="H29">
        <f t="shared" si="8"/>
        <v>0.34287101712017787</v>
      </c>
      <c r="I29">
        <f t="shared" si="12"/>
        <v>1.8045843006325168E-2</v>
      </c>
    </row>
    <row r="33" spans="1:9" x14ac:dyDescent="0.25">
      <c r="A33" t="s">
        <v>79</v>
      </c>
      <c r="B33" t="s">
        <v>70</v>
      </c>
      <c r="C33" t="s">
        <v>71</v>
      </c>
      <c r="D33" t="s">
        <v>73</v>
      </c>
      <c r="E33" t="s">
        <v>76</v>
      </c>
      <c r="F33" t="s">
        <v>75</v>
      </c>
      <c r="G33" t="s">
        <v>74</v>
      </c>
      <c r="H33" t="s">
        <v>77</v>
      </c>
      <c r="I33" t="s">
        <v>78</v>
      </c>
    </row>
    <row r="34" spans="1:9" x14ac:dyDescent="0.25">
      <c r="A34" t="s">
        <v>64</v>
      </c>
      <c r="B34">
        <v>12.0368582999333</v>
      </c>
      <c r="C34">
        <v>9</v>
      </c>
      <c r="D34">
        <f>SIN(RADIANS(B34-C34))/SIN(RADIANS(B34+C34))</f>
        <v>0.14758501191458828</v>
      </c>
      <c r="E34">
        <f>A$10/1000</f>
        <v>9.4809999999999999</v>
      </c>
      <c r="F34">
        <v>3.35</v>
      </c>
      <c r="G34">
        <f>50*0.95^2</f>
        <v>45.125</v>
      </c>
      <c r="H34">
        <f>G34*F34/E34*0.95</f>
        <v>15.147169338677356</v>
      </c>
      <c r="I34">
        <f>G34-H34</f>
        <v>29.977830661322642</v>
      </c>
    </row>
    <row r="35" spans="1:9" x14ac:dyDescent="0.25">
      <c r="A35" t="s">
        <v>66</v>
      </c>
      <c r="B35">
        <f>B34</f>
        <v>12.0368582999333</v>
      </c>
      <c r="C35">
        <f>-C34</f>
        <v>-9</v>
      </c>
      <c r="D35">
        <f>SIN(RADIANS(B35-C35))/SIN(RADIANS(B35+C35))</f>
        <v>6.7757557967927591</v>
      </c>
      <c r="E35">
        <f>F34</f>
        <v>3.35</v>
      </c>
      <c r="F35">
        <v>3.2509999999999999</v>
      </c>
      <c r="G35">
        <f>H34</f>
        <v>15.147169338677356</v>
      </c>
      <c r="H35">
        <f t="shared" ref="H35:H39" si="13">G35*F35/E35*0.95</f>
        <v>13.964559744488978</v>
      </c>
      <c r="I35">
        <f>G35-H35</f>
        <v>1.1826095941883779</v>
      </c>
    </row>
    <row r="36" spans="1:9" x14ac:dyDescent="0.25">
      <c r="A36" t="s">
        <v>67</v>
      </c>
      <c r="B36">
        <f>C7</f>
        <v>38.727904123449299</v>
      </c>
      <c r="C36">
        <v>35</v>
      </c>
      <c r="D36">
        <f t="shared" ref="D36:D39" si="14">SIN(RADIANS(B36-C36))/SIN(RADIANS(B36+C36))</f>
        <v>6.77315017046069E-2</v>
      </c>
      <c r="E36">
        <f t="shared" ref="E36:E39" si="15">F35</f>
        <v>3.2509999999999999</v>
      </c>
      <c r="F36">
        <v>0.34200000000000003</v>
      </c>
      <c r="G36">
        <f t="shared" ref="G36:G39" si="16">H35</f>
        <v>13.964559744488978</v>
      </c>
      <c r="H36">
        <f t="shared" si="13"/>
        <v>1.3955968812625255</v>
      </c>
      <c r="I36">
        <f t="shared" ref="I36:I39" si="17">G36-H36</f>
        <v>12.568962863226453</v>
      </c>
    </row>
    <row r="37" spans="1:9" x14ac:dyDescent="0.25">
      <c r="A37" t="s">
        <v>65</v>
      </c>
      <c r="B37">
        <f>B36</f>
        <v>38.727904123449299</v>
      </c>
      <c r="C37">
        <f>-C36</f>
        <v>-35</v>
      </c>
      <c r="D37">
        <f t="shared" si="14"/>
        <v>14.764178776977905</v>
      </c>
      <c r="E37">
        <f t="shared" si="15"/>
        <v>0.34200000000000003</v>
      </c>
      <c r="F37">
        <v>0.30399999999999999</v>
      </c>
      <c r="G37">
        <f t="shared" si="16"/>
        <v>1.3955968812625255</v>
      </c>
      <c r="H37">
        <f t="shared" si="13"/>
        <v>1.1785040330661323</v>
      </c>
      <c r="I37">
        <f t="shared" si="17"/>
        <v>0.21709284819639318</v>
      </c>
    </row>
    <row r="38" spans="1:9" x14ac:dyDescent="0.25">
      <c r="A38" t="s">
        <v>68</v>
      </c>
      <c r="B38">
        <f>C5</f>
        <v>42.929010627216698</v>
      </c>
      <c r="C38">
        <v>0</v>
      </c>
      <c r="D38">
        <f t="shared" si="14"/>
        <v>1</v>
      </c>
      <c r="E38">
        <f t="shared" si="15"/>
        <v>0.30399999999999999</v>
      </c>
      <c r="F38">
        <v>9.8000000000000004E-2</v>
      </c>
      <c r="G38">
        <f t="shared" si="16"/>
        <v>1.1785040330661323</v>
      </c>
      <c r="H38">
        <f t="shared" si="13"/>
        <v>0.36091686012650304</v>
      </c>
      <c r="I38">
        <f t="shared" si="17"/>
        <v>0.81758717293962924</v>
      </c>
    </row>
    <row r="39" spans="1:9" x14ac:dyDescent="0.25">
      <c r="A39" t="s">
        <v>69</v>
      </c>
      <c r="B39">
        <f>B38</f>
        <v>42.929010627216698</v>
      </c>
      <c r="C39">
        <v>-15</v>
      </c>
      <c r="D39">
        <f t="shared" si="14"/>
        <v>1.8092059522717598</v>
      </c>
      <c r="E39">
        <f t="shared" si="15"/>
        <v>9.8000000000000004E-2</v>
      </c>
      <c r="F39">
        <v>9.8000000000000004E-2</v>
      </c>
      <c r="G39">
        <f t="shared" si="16"/>
        <v>0.36091686012650304</v>
      </c>
      <c r="H39">
        <f t="shared" si="13"/>
        <v>0.34287101712017787</v>
      </c>
      <c r="I39">
        <f t="shared" si="17"/>
        <v>1.8045843006325168E-2</v>
      </c>
    </row>
    <row r="43" spans="1:9" x14ac:dyDescent="0.25">
      <c r="A43" t="s">
        <v>80</v>
      </c>
      <c r="B43" t="s">
        <v>70</v>
      </c>
      <c r="C43" t="s">
        <v>71</v>
      </c>
      <c r="D43" t="s">
        <v>73</v>
      </c>
      <c r="E43" t="s">
        <v>76</v>
      </c>
      <c r="F43" t="s">
        <v>75</v>
      </c>
      <c r="G43" t="s">
        <v>74</v>
      </c>
      <c r="H43" t="s">
        <v>77</v>
      </c>
      <c r="I43" t="s">
        <v>78</v>
      </c>
    </row>
    <row r="44" spans="1:9" x14ac:dyDescent="0.25">
      <c r="A44" t="s">
        <v>64</v>
      </c>
      <c r="B44">
        <v>12.0368582999333</v>
      </c>
      <c r="C44">
        <v>9</v>
      </c>
      <c r="D44">
        <f>SIN(RADIANS(B44-C44))/SIN(RADIANS(B44+C44))</f>
        <v>0.14758501191458828</v>
      </c>
      <c r="E44">
        <f>A$10/1000</f>
        <v>9.4809999999999999</v>
      </c>
      <c r="F44">
        <v>3.35</v>
      </c>
      <c r="G44">
        <f>50*0.95^2</f>
        <v>45.125</v>
      </c>
      <c r="H44">
        <f>G44*F44/E44*0.95</f>
        <v>15.147169338677356</v>
      </c>
      <c r="I44">
        <f>G44-H44</f>
        <v>29.977830661322642</v>
      </c>
    </row>
    <row r="45" spans="1:9" x14ac:dyDescent="0.25">
      <c r="A45" t="s">
        <v>66</v>
      </c>
      <c r="B45">
        <f>B44</f>
        <v>12.0368582999333</v>
      </c>
      <c r="C45">
        <f>-C44</f>
        <v>-9</v>
      </c>
      <c r="D45">
        <f>SIN(RADIANS(B45-C45))/SIN(RADIANS(B45+C45))</f>
        <v>6.7757557967927591</v>
      </c>
      <c r="E45">
        <f>F44</f>
        <v>3.35</v>
      </c>
      <c r="F45">
        <v>3.2509999999999999</v>
      </c>
      <c r="G45">
        <f>H44</f>
        <v>15.147169338677356</v>
      </c>
      <c r="H45">
        <f t="shared" ref="H45:H49" si="18">G45*F45/E45*0.95</f>
        <v>13.964559744488978</v>
      </c>
      <c r="I45">
        <f>G45-H45</f>
        <v>1.1826095941883779</v>
      </c>
    </row>
    <row r="46" spans="1:9" x14ac:dyDescent="0.25">
      <c r="A46" t="s">
        <v>67</v>
      </c>
      <c r="B46">
        <v>31.66</v>
      </c>
      <c r="C46">
        <v>28</v>
      </c>
      <c r="D46">
        <f t="shared" ref="D46:D49" si="19">SIN(RADIANS(B46-C46))/SIN(RADIANS(B46+C46))</f>
        <v>7.3965732484067973E-2</v>
      </c>
      <c r="E46">
        <f t="shared" ref="E46:E49" si="20">F45</f>
        <v>3.2509999999999999</v>
      </c>
      <c r="F46">
        <v>0.51800000000000002</v>
      </c>
      <c r="G46">
        <f t="shared" ref="G46:G49" si="21">H45</f>
        <v>13.964559744488978</v>
      </c>
      <c r="H46">
        <f t="shared" si="18"/>
        <v>2.1137987850701401</v>
      </c>
      <c r="I46">
        <f t="shared" ref="I46:I49" si="22">G46-H46</f>
        <v>11.850760959418839</v>
      </c>
    </row>
    <row r="47" spans="1:9" x14ac:dyDescent="0.25">
      <c r="A47" t="s">
        <v>65</v>
      </c>
      <c r="B47">
        <f>B46</f>
        <v>31.66</v>
      </c>
      <c r="C47">
        <f>-C46</f>
        <v>-28</v>
      </c>
      <c r="D47">
        <f t="shared" si="19"/>
        <v>13.51977417671619</v>
      </c>
      <c r="E47">
        <f t="shared" si="20"/>
        <v>0.51800000000000002</v>
      </c>
      <c r="F47">
        <v>0.46700000000000003</v>
      </c>
      <c r="G47">
        <f t="shared" si="21"/>
        <v>2.1137987850701401</v>
      </c>
      <c r="H47">
        <f t="shared" si="18"/>
        <v>1.8103992876377755</v>
      </c>
      <c r="I47">
        <f t="shared" si="22"/>
        <v>0.30339949743236461</v>
      </c>
    </row>
    <row r="48" spans="1:9" x14ac:dyDescent="0.25">
      <c r="A48" t="s">
        <v>68</v>
      </c>
      <c r="B48">
        <f>C16</f>
        <v>5.5</v>
      </c>
      <c r="C48">
        <v>0</v>
      </c>
      <c r="D48">
        <f t="shared" si="19"/>
        <v>1</v>
      </c>
      <c r="E48">
        <f t="shared" si="20"/>
        <v>0.46700000000000003</v>
      </c>
      <c r="F48">
        <v>9.9000000000000005E-2</v>
      </c>
      <c r="G48">
        <f t="shared" si="21"/>
        <v>1.8103992876377755</v>
      </c>
      <c r="H48">
        <f t="shared" si="18"/>
        <v>0.36459968522983466</v>
      </c>
      <c r="I48">
        <f t="shared" si="22"/>
        <v>1.4457996024079409</v>
      </c>
    </row>
    <row r="49" spans="1:9" x14ac:dyDescent="0.25">
      <c r="A49" t="s">
        <v>69</v>
      </c>
      <c r="B49">
        <f>B48</f>
        <v>5.5</v>
      </c>
      <c r="C49">
        <v>-15</v>
      </c>
      <c r="D49">
        <f t="shared" si="19"/>
        <v>-2.1218567784320936</v>
      </c>
      <c r="E49">
        <f t="shared" si="20"/>
        <v>9.9000000000000005E-2</v>
      </c>
      <c r="F49">
        <v>9.9000000000000005E-2</v>
      </c>
      <c r="G49">
        <f t="shared" si="21"/>
        <v>0.36459968522983466</v>
      </c>
      <c r="H49">
        <f t="shared" si="18"/>
        <v>0.34636970096834291</v>
      </c>
      <c r="I49">
        <f t="shared" si="22"/>
        <v>1.822998426149175E-2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6EE2-5EC2-7644-A9C5-0D32CC02BD67}">
  <dimension ref="A1:H41"/>
  <sheetViews>
    <sheetView topLeftCell="A4" zoomScaleNormal="100" workbookViewId="0">
      <selection activeCell="B38" sqref="B38"/>
    </sheetView>
  </sheetViews>
  <sheetFormatPr defaultColWidth="11" defaultRowHeight="15.75" x14ac:dyDescent="0.25"/>
  <cols>
    <col min="1" max="1" width="17.875" customWidth="1"/>
  </cols>
  <sheetData>
    <row r="1" spans="1:8" ht="18" x14ac:dyDescent="0.25">
      <c r="A1" s="1" t="s">
        <v>0</v>
      </c>
      <c r="B1" s="1">
        <f>9481</f>
        <v>9481</v>
      </c>
      <c r="C1" s="10" t="s">
        <v>1</v>
      </c>
    </row>
    <row r="2" spans="1:8" x14ac:dyDescent="0.25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 x14ac:dyDescent="0.25">
      <c r="A6" s="4" t="s">
        <v>10</v>
      </c>
      <c r="B6" s="4"/>
      <c r="C6" s="4"/>
      <c r="D6" s="4">
        <f>D5-E5</f>
        <v>5</v>
      </c>
      <c r="E6" s="4">
        <f>E5-F5</f>
        <v>4.75</v>
      </c>
      <c r="F6" s="48" t="s">
        <v>11</v>
      </c>
      <c r="G6" s="48"/>
    </row>
    <row r="7" spans="1:8" x14ac:dyDescent="0.25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5">
        <f>F19</f>
        <v>3.6027799999999999E-2</v>
      </c>
      <c r="G7" s="3">
        <f>D39/1000</f>
        <v>4.0000000000000001E-3</v>
      </c>
    </row>
    <row r="8" spans="1:8" x14ac:dyDescent="0.25">
      <c r="B8" s="8">
        <v>1E-3</v>
      </c>
    </row>
    <row r="10" spans="1:8" x14ac:dyDescent="0.25">
      <c r="A10" s="6"/>
      <c r="B10" s="6"/>
      <c r="C10" s="49" t="s">
        <v>5</v>
      </c>
      <c r="D10" s="49"/>
      <c r="E10" s="49"/>
      <c r="F10" s="49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6" t="s">
        <v>18</v>
      </c>
      <c r="D12" s="6" t="s">
        <v>45</v>
      </c>
      <c r="E12" s="6" t="str">
        <f>D12</f>
        <v>Si(800)</v>
      </c>
      <c r="F12" s="6" t="str">
        <f>C12</f>
        <v>Si(220)</v>
      </c>
    </row>
    <row r="13" spans="1:8" x14ac:dyDescent="0.25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f>-C13</f>
        <v>-17</v>
      </c>
    </row>
    <row r="14" spans="1:8" x14ac:dyDescent="0.25">
      <c r="A14" s="6" t="s">
        <v>21</v>
      </c>
      <c r="B14" s="6"/>
      <c r="C14" s="11">
        <f>DEGREES(ASIN(12398/$B$1/1.92/2))</f>
        <v>19.909687810699978</v>
      </c>
      <c r="D14" s="11">
        <f>DEGREES(ASIN(12398/$B$1/0.6789/2))</f>
        <v>74.38209572911866</v>
      </c>
      <c r="E14" s="11">
        <f>DEGREES(ASIN(12398/$B$1/0.6789/2))</f>
        <v>74.38209572911866</v>
      </c>
      <c r="F14" s="11">
        <f t="shared" ref="F14" si="0">DEGREES(ASIN(12398/$B$1/1.92/2))</f>
        <v>19.909687810699978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D6+E6+C21+D21+E21+F21+C36+D36+E36+F36+F37</f>
        <v>100.00000000000001</v>
      </c>
    </row>
    <row r="16" spans="1:8" x14ac:dyDescent="0.25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6" x14ac:dyDescent="0.25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15.355513949953727</v>
      </c>
      <c r="E17" s="14">
        <f t="shared" si="2"/>
        <v>15.355513949953727</v>
      </c>
      <c r="F17" s="14">
        <f t="shared" si="2"/>
        <v>24.624812898155728</v>
      </c>
    </row>
    <row r="18" spans="1:6" x14ac:dyDescent="0.25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6" x14ac:dyDescent="0.25">
      <c r="A19" s="13" t="s">
        <v>27</v>
      </c>
      <c r="B19" s="13"/>
      <c r="C19" s="14">
        <f>MIN($B$1*0.000058/SQRT(C15),E7)</f>
        <v>1.891429475294315</v>
      </c>
      <c r="D19" s="15">
        <f>MIN($B$1*0.0000038/SQRT(D15),C19)</f>
        <v>3.6027799999999999E-2</v>
      </c>
      <c r="E19" s="15">
        <f>MIN($B$1*0.0000038/SQRT(E15),D19)</f>
        <v>3.6027799999999999E-2</v>
      </c>
      <c r="F19" s="15">
        <f>MIN($B$1*0.000058/SQRT(F15),E19)</f>
        <v>3.6027799999999999E-2</v>
      </c>
    </row>
    <row r="20" spans="1:6" x14ac:dyDescent="0.25">
      <c r="A20" s="6" t="s">
        <v>28</v>
      </c>
      <c r="B20" s="6"/>
      <c r="C20" s="11">
        <f>F5</f>
        <v>90.25</v>
      </c>
      <c r="D20" s="11">
        <f>C22</f>
        <v>17.104359733999189</v>
      </c>
      <c r="E20" s="11">
        <f t="shared" ref="E20:F20" si="4">D22</f>
        <v>0.30951237499999995</v>
      </c>
      <c r="F20" s="11">
        <f t="shared" si="4"/>
        <v>0.29403675624999992</v>
      </c>
    </row>
    <row r="21" spans="1:6" x14ac:dyDescent="0.25">
      <c r="A21" s="13" t="s">
        <v>29</v>
      </c>
      <c r="B21" s="13"/>
      <c r="C21" s="14">
        <f>C20-C22</f>
        <v>73.145640266000811</v>
      </c>
      <c r="D21" s="14">
        <f>D20-D22</f>
        <v>16.794847358999188</v>
      </c>
      <c r="E21" s="15">
        <f t="shared" ref="E21:F21" si="5">E20-E22</f>
        <v>1.5475618750000031E-2</v>
      </c>
      <c r="F21" s="15">
        <f t="shared" si="5"/>
        <v>1.4701837812500007E-2</v>
      </c>
    </row>
    <row r="22" spans="1:6" x14ac:dyDescent="0.25">
      <c r="A22" s="6" t="s">
        <v>30</v>
      </c>
      <c r="B22" s="6"/>
      <c r="C22" s="11">
        <f>0.95*C20*C19/E7</f>
        <v>17.104359733999189</v>
      </c>
      <c r="D22" s="11">
        <f>0.95*D20*D19/C19</f>
        <v>0.30951237499999995</v>
      </c>
      <c r="E22" s="11">
        <f t="shared" ref="E22:F22" si="6">0.95*E20*E19/D19</f>
        <v>0.29403675624999992</v>
      </c>
      <c r="F22" s="11">
        <f t="shared" si="6"/>
        <v>0.27933491843749991</v>
      </c>
    </row>
    <row r="24" spans="1:6" x14ac:dyDescent="0.25">
      <c r="A24" t="s">
        <v>46</v>
      </c>
    </row>
    <row r="25" spans="1:6" x14ac:dyDescent="0.25">
      <c r="A25" s="16"/>
      <c r="B25" s="16"/>
      <c r="C25" s="47" t="s">
        <v>31</v>
      </c>
      <c r="D25" s="47"/>
      <c r="E25" s="47"/>
      <c r="F25" s="47"/>
    </row>
    <row r="26" spans="1:6" x14ac:dyDescent="0.25">
      <c r="A26" s="18"/>
      <c r="B26" s="18"/>
      <c r="C26" s="19" t="s">
        <v>32</v>
      </c>
      <c r="D26" s="19" t="s">
        <v>33</v>
      </c>
      <c r="E26" s="19" t="s">
        <v>36</v>
      </c>
      <c r="F26" s="19" t="s">
        <v>37</v>
      </c>
    </row>
    <row r="27" spans="1:6" x14ac:dyDescent="0.25">
      <c r="A27" s="16" t="s">
        <v>17</v>
      </c>
      <c r="B27" s="16"/>
      <c r="C27" s="16" t="s">
        <v>38</v>
      </c>
      <c r="D27" s="16" t="str">
        <f>C27</f>
        <v>Si(440)</v>
      </c>
      <c r="E27" s="16" t="str">
        <f t="shared" ref="E27:F27" si="7">D27</f>
        <v>Si(440)</v>
      </c>
      <c r="F27" s="16" t="str">
        <f t="shared" si="7"/>
        <v>Si(440)</v>
      </c>
    </row>
    <row r="28" spans="1:6" x14ac:dyDescent="0.25">
      <c r="A28" s="18" t="s">
        <v>20</v>
      </c>
      <c r="B28" s="18"/>
      <c r="C28" s="18">
        <v>0</v>
      </c>
      <c r="D28" s="18">
        <v>-15</v>
      </c>
      <c r="E28" s="18">
        <f>-D28</f>
        <v>15</v>
      </c>
      <c r="F28" s="18">
        <v>0</v>
      </c>
    </row>
    <row r="29" spans="1:6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F29" si="8">DEGREES(ASIN(12398/$B$1/0.96/2))</f>
        <v>42.927866251322122</v>
      </c>
      <c r="E29" s="17">
        <f t="shared" si="8"/>
        <v>42.927866251322122</v>
      </c>
      <c r="F29" s="17">
        <f t="shared" si="8"/>
        <v>42.927866251322122</v>
      </c>
    </row>
    <row r="30" spans="1:6" x14ac:dyDescent="0.25">
      <c r="A30" s="18" t="s">
        <v>23</v>
      </c>
      <c r="B30" s="18"/>
      <c r="C30" s="20">
        <f>SIN(RADIANS(C29-C28))/SIN(RADIANS(C29+C28))</f>
        <v>1</v>
      </c>
      <c r="D30" s="20">
        <f t="shared" ref="D30:F30" si="9">SIN(RADIANS(D29-D28))/SIN(RADIANS(D29+D28))</f>
        <v>1.809251476321005</v>
      </c>
      <c r="E30" s="20">
        <f t="shared" si="9"/>
        <v>0.55271476247925178</v>
      </c>
      <c r="F30" s="20">
        <f t="shared" si="9"/>
        <v>1</v>
      </c>
    </row>
    <row r="31" spans="1:6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1.2500000000000002</v>
      </c>
    </row>
    <row r="32" spans="1:6" x14ac:dyDescent="0.25">
      <c r="A32" s="18" t="s">
        <v>25</v>
      </c>
      <c r="B32" s="18"/>
      <c r="C32" s="20">
        <f>C31/SIN(RADIANS(C29-C28))</f>
        <v>1.8353282787546379</v>
      </c>
      <c r="D32" s="20">
        <f t="shared" ref="D32:F32" si="10">D31/SIN(RADIANS(D29-D28))</f>
        <v>1.4751346505384422</v>
      </c>
      <c r="E32" s="20">
        <f t="shared" si="10"/>
        <v>1.4751346505384424</v>
      </c>
      <c r="F32" s="20">
        <f t="shared" si="10"/>
        <v>1.8353282787546381</v>
      </c>
    </row>
    <row r="33" spans="1:6" x14ac:dyDescent="0.25">
      <c r="A33" s="16" t="s">
        <v>26</v>
      </c>
      <c r="B33" s="16"/>
      <c r="C33" s="17">
        <f>C31/C30</f>
        <v>1.25</v>
      </c>
      <c r="D33" s="17">
        <f t="shared" ref="D33:F33" si="11">D31/D30</f>
        <v>0.6908934530990648</v>
      </c>
      <c r="E33" s="17">
        <f t="shared" si="11"/>
        <v>1.2500000000000002</v>
      </c>
      <c r="F33" s="17">
        <f t="shared" si="11"/>
        <v>1.2500000000000002</v>
      </c>
    </row>
    <row r="34" spans="1:6" x14ac:dyDescent="0.25">
      <c r="A34" s="18" t="s">
        <v>27</v>
      </c>
      <c r="B34" s="18"/>
      <c r="C34" s="20">
        <f>MIN($B$1*0.0000093/SQRT(C30),F19)</f>
        <v>3.6027799999999999E-2</v>
      </c>
      <c r="D34" s="20">
        <f>MIN($B$1*0.0000093/SQRT(D30),C34)</f>
        <v>3.6027799999999999E-2</v>
      </c>
      <c r="E34" s="20">
        <f>MIN($B$1*0.0000093/SQRT(E30),D34)</f>
        <v>3.6027799999999999E-2</v>
      </c>
      <c r="F34" s="20">
        <f>MIN($B$1*0.0000093/SQRT(F30),E34)</f>
        <v>3.6027799999999999E-2</v>
      </c>
    </row>
    <row r="35" spans="1:6" x14ac:dyDescent="0.25">
      <c r="A35" s="16" t="s">
        <v>28</v>
      </c>
      <c r="B35" s="16"/>
      <c r="C35" s="17">
        <f>F22</f>
        <v>0.27933491843749991</v>
      </c>
      <c r="D35" s="17">
        <f>C37</f>
        <v>0.26536817251562489</v>
      </c>
      <c r="E35" s="17">
        <f t="shared" ref="E35:F35" si="12">D37</f>
        <v>0.25209976388984362</v>
      </c>
      <c r="F35" s="17">
        <f t="shared" si="12"/>
        <v>0.23949477569535141</v>
      </c>
    </row>
    <row r="36" spans="1:6" x14ac:dyDescent="0.25">
      <c r="A36" s="18" t="s">
        <v>29</v>
      </c>
      <c r="B36" s="18"/>
      <c r="C36" s="21">
        <f>C35-C37</f>
        <v>1.3966745921875023E-2</v>
      </c>
      <c r="D36" s="26">
        <f>D35-D37</f>
        <v>1.3268408625781269E-2</v>
      </c>
      <c r="E36" s="21">
        <f t="shared" ref="E36:F36" si="13">E35-E37</f>
        <v>1.2604988194492212E-2</v>
      </c>
      <c r="F36" s="21">
        <f t="shared" si="13"/>
        <v>1.1974738784767569E-2</v>
      </c>
    </row>
    <row r="37" spans="1:6" x14ac:dyDescent="0.25">
      <c r="A37" s="16" t="s">
        <v>30</v>
      </c>
      <c r="B37" s="16"/>
      <c r="C37" s="17">
        <f>0.95*C35*C34/F19</f>
        <v>0.26536817251562489</v>
      </c>
      <c r="D37" s="17">
        <f>0.95*D35*D34/C34</f>
        <v>0.25209976388984362</v>
      </c>
      <c r="E37" s="17">
        <f t="shared" ref="E37:F37" si="14">0.95*E35*E34/D34</f>
        <v>0.23949477569535141</v>
      </c>
      <c r="F37" s="17">
        <f t="shared" si="14"/>
        <v>0.22752003691058384</v>
      </c>
    </row>
    <row r="39" spans="1:6" x14ac:dyDescent="0.25">
      <c r="C39" s="9" t="s">
        <v>40</v>
      </c>
      <c r="D39">
        <v>4</v>
      </c>
    </row>
    <row r="40" spans="1:6" x14ac:dyDescent="0.25">
      <c r="C40" s="9" t="s">
        <v>42</v>
      </c>
      <c r="D40" s="7">
        <f>0.95^2*D37*D39/1000/D34</f>
        <v>2.5260497383751867E-2</v>
      </c>
    </row>
    <row r="41" spans="1:6" x14ac:dyDescent="0.25">
      <c r="C41" s="9" t="s">
        <v>43</v>
      </c>
      <c r="D41" s="8">
        <f>D40/1.6E-19/B1</f>
        <v>16652052383551.227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23A0-050A-CC41-A2E3-B9B041ACA338}">
  <dimension ref="A1:H41"/>
  <sheetViews>
    <sheetView topLeftCell="A4" zoomScaleNormal="100" workbookViewId="0">
      <selection activeCell="H9" sqref="H9"/>
    </sheetView>
  </sheetViews>
  <sheetFormatPr defaultColWidth="11" defaultRowHeight="15.75" x14ac:dyDescent="0.25"/>
  <cols>
    <col min="1" max="1" width="17.875" customWidth="1"/>
  </cols>
  <sheetData>
    <row r="1" spans="1:8" ht="18" x14ac:dyDescent="0.25">
      <c r="A1" s="1" t="s">
        <v>0</v>
      </c>
      <c r="B1" s="1">
        <f>9481</f>
        <v>9481</v>
      </c>
      <c r="C1" s="10" t="s">
        <v>47</v>
      </c>
    </row>
    <row r="2" spans="1:8" x14ac:dyDescent="0.25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 x14ac:dyDescent="0.25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 x14ac:dyDescent="0.25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6.6366999999999995E-2</v>
      </c>
      <c r="G7" s="3">
        <f>D39/1000</f>
        <v>4.0000000000000001E-3</v>
      </c>
    </row>
    <row r="8" spans="1:8" x14ac:dyDescent="0.25">
      <c r="B8" s="8">
        <v>1.5999999999999999E-5</v>
      </c>
    </row>
    <row r="10" spans="1:8" x14ac:dyDescent="0.25">
      <c r="A10" s="6"/>
      <c r="B10" s="6"/>
      <c r="C10" s="49" t="s">
        <v>5</v>
      </c>
      <c r="D10" s="49"/>
      <c r="E10" s="49"/>
      <c r="F10" s="49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6" t="s">
        <v>18</v>
      </c>
      <c r="D12" s="6" t="s">
        <v>19</v>
      </c>
      <c r="E12" s="6" t="s">
        <v>19</v>
      </c>
      <c r="F12" s="6" t="s">
        <v>18</v>
      </c>
    </row>
    <row r="13" spans="1:8" x14ac:dyDescent="0.25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v>-17</v>
      </c>
    </row>
    <row r="14" spans="1:8" x14ac:dyDescent="0.25">
      <c r="A14" s="6" t="s">
        <v>21</v>
      </c>
      <c r="B14" s="6"/>
      <c r="C14" s="11">
        <f>DEGREES(ASIN(12398/$B$1/1.92/2))</f>
        <v>19.909687810699978</v>
      </c>
      <c r="D14" s="11">
        <f>DEGREES(ASIN(12398/$B$1/0.7839/2))</f>
        <v>56.519986703749602</v>
      </c>
      <c r="E14" s="11">
        <f>DEGREES(ASIN(12398/$B$1/0.7839/2))</f>
        <v>56.519986703749602</v>
      </c>
      <c r="F14" s="11">
        <f t="shared" ref="F14" si="0">DEGREES(ASIN(12398/$B$1/1.92/2))</f>
        <v>19.909687810699978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D6+E6+C21+D21+E21+F21+C36+D36+E36+F36+G36+H36+H37</f>
        <v>50</v>
      </c>
    </row>
    <row r="16" spans="1:8" x14ac:dyDescent="0.25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8" x14ac:dyDescent="0.25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17.730427729221869</v>
      </c>
      <c r="E17" s="14">
        <f t="shared" si="2"/>
        <v>17.730427729221869</v>
      </c>
      <c r="F17" s="14">
        <f t="shared" si="2"/>
        <v>24.624812898155728</v>
      </c>
    </row>
    <row r="18" spans="1:8" x14ac:dyDescent="0.25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8" x14ac:dyDescent="0.25">
      <c r="A19" s="13" t="s">
        <v>27</v>
      </c>
      <c r="B19" s="13"/>
      <c r="C19" s="14">
        <f>MIN($B$1*0.000058/SQRT(C15),E7)</f>
        <v>0.151696</v>
      </c>
      <c r="D19" s="15">
        <f>MIN($B$1*0.000007/SQRT(D15),C19)</f>
        <v>6.6366999999999995E-2</v>
      </c>
      <c r="E19" s="15">
        <f>MIN($B$1*0.000007/SQRT(E15),D19)</f>
        <v>6.6366999999999995E-2</v>
      </c>
      <c r="F19" s="15">
        <f>MIN($B$1*0.000058/SQRT(F15),E19)</f>
        <v>6.6366999999999995E-2</v>
      </c>
    </row>
    <row r="20" spans="1:8" x14ac:dyDescent="0.25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4">D22</f>
        <v>17.817324218749999</v>
      </c>
      <c r="F20" s="11">
        <f t="shared" si="4"/>
        <v>16.926458007812499</v>
      </c>
    </row>
    <row r="21" spans="1:8" s="34" customFormat="1" x14ac:dyDescent="0.25">
      <c r="A21" s="27" t="s">
        <v>29</v>
      </c>
      <c r="B21" s="27"/>
      <c r="C21" s="28">
        <f>C20-C22</f>
        <v>2.2562500000000014</v>
      </c>
      <c r="D21" s="28">
        <f>D20-D22</f>
        <v>25.05142578125</v>
      </c>
      <c r="E21" s="28">
        <f t="shared" ref="E21:F21" si="5">E20-E22</f>
        <v>0.8908662109374994</v>
      </c>
      <c r="F21" s="28">
        <f t="shared" si="5"/>
        <v>0.84632290039062497</v>
      </c>
    </row>
    <row r="22" spans="1:8" x14ac:dyDescent="0.25">
      <c r="A22" s="6" t="s">
        <v>30</v>
      </c>
      <c r="B22" s="6"/>
      <c r="C22" s="11">
        <f>0.95*C20*C19/E7</f>
        <v>42.868749999999999</v>
      </c>
      <c r="D22" s="11">
        <f>0.95*D20*D19/C19</f>
        <v>17.817324218749999</v>
      </c>
      <c r="E22" s="11">
        <f t="shared" ref="E22:F22" si="6">0.95*E20*E19/D19</f>
        <v>16.926458007812499</v>
      </c>
      <c r="F22" s="11">
        <f t="shared" si="6"/>
        <v>16.080135107421874</v>
      </c>
    </row>
    <row r="24" spans="1:8" x14ac:dyDescent="0.25">
      <c r="A24" t="s">
        <v>49</v>
      </c>
    </row>
    <row r="25" spans="1:8" x14ac:dyDescent="0.25">
      <c r="A25" s="16"/>
      <c r="B25" s="16"/>
      <c r="C25" s="47" t="s">
        <v>31</v>
      </c>
      <c r="D25" s="47"/>
      <c r="E25" s="47"/>
      <c r="F25" s="47"/>
    </row>
    <row r="26" spans="1:8" x14ac:dyDescent="0.25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 x14ac:dyDescent="0.25">
      <c r="A27" s="16" t="s">
        <v>17</v>
      </c>
      <c r="B27" s="16"/>
      <c r="C27" s="16" t="s">
        <v>38</v>
      </c>
      <c r="D27" s="16" t="str">
        <f>C27</f>
        <v>Si(440)</v>
      </c>
      <c r="E27" s="40"/>
      <c r="F27" s="40"/>
      <c r="G27" s="16" t="str">
        <f>D27</f>
        <v>Si(440)</v>
      </c>
      <c r="H27" s="16" t="str">
        <f t="shared" ref="H27" si="7">G27</f>
        <v>Si(440)</v>
      </c>
    </row>
    <row r="28" spans="1:8" x14ac:dyDescent="0.25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H29" si="8">DEGREES(ASIN(12398/$B$1/0.96/2))</f>
        <v>42.927866251322122</v>
      </c>
      <c r="E29" s="38">
        <v>2.65</v>
      </c>
      <c r="F29" s="39">
        <v>2.65</v>
      </c>
      <c r="G29" s="17">
        <f t="shared" si="8"/>
        <v>42.927866251322122</v>
      </c>
      <c r="H29" s="17">
        <f t="shared" si="8"/>
        <v>42.927866251322122</v>
      </c>
    </row>
    <row r="30" spans="1:8" x14ac:dyDescent="0.25">
      <c r="A30" s="18" t="s">
        <v>23</v>
      </c>
      <c r="B30" s="18"/>
      <c r="C30" s="20">
        <f>SIN(RADIANS(C29-C28))/SIN(RADIANS(C29+C28))</f>
        <v>1</v>
      </c>
      <c r="D30" s="20">
        <f t="shared" ref="D30:H30" si="9">SIN(RADIANS(D29-D28))/SIN(RADIANS(D29+D28))</f>
        <v>1.809251476321005</v>
      </c>
      <c r="E30" s="20">
        <v>1</v>
      </c>
      <c r="F30" s="20">
        <v>1</v>
      </c>
      <c r="G30" s="20">
        <f t="shared" si="9"/>
        <v>0.55271476247925178</v>
      </c>
      <c r="H30" s="20">
        <f t="shared" si="9"/>
        <v>1</v>
      </c>
    </row>
    <row r="31" spans="1:8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 x14ac:dyDescent="0.25">
      <c r="A32" s="18" t="s">
        <v>25</v>
      </c>
      <c r="B32" s="18"/>
      <c r="C32" s="20">
        <f>C31/SIN(RADIANS(C29-C28))</f>
        <v>1.8353282787546379</v>
      </c>
      <c r="D32" s="20">
        <f t="shared" ref="D32:H32" si="10"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si="10"/>
        <v>1.4751346505384424</v>
      </c>
      <c r="H32" s="20">
        <f t="shared" si="10"/>
        <v>1.8353282787546381</v>
      </c>
    </row>
    <row r="33" spans="1:8" x14ac:dyDescent="0.25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 x14ac:dyDescent="0.25">
      <c r="A34" s="18" t="s">
        <v>27</v>
      </c>
      <c r="B34" s="18"/>
      <c r="C34" s="21">
        <f>MIN($B$1*0.0000093/SQRT(C30),F19)</f>
        <v>6.6366999999999995E-2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 x14ac:dyDescent="0.25">
      <c r="A35" s="16" t="s">
        <v>28</v>
      </c>
      <c r="B35" s="16"/>
      <c r="C35" s="17">
        <f>F22</f>
        <v>16.080135107421874</v>
      </c>
      <c r="D35" s="17">
        <f>C37</f>
        <v>15.27612835205078</v>
      </c>
      <c r="E35" s="17">
        <f>D37</f>
        <v>14.334163197833849</v>
      </c>
      <c r="F35" s="17">
        <f>E37</f>
        <v>10.834163197833849</v>
      </c>
      <c r="G35" s="17">
        <f>F37</f>
        <v>10.292455037942156</v>
      </c>
      <c r="H35" s="17">
        <f t="shared" ref="H35" si="12">G37</f>
        <v>9.7778322860450473</v>
      </c>
    </row>
    <row r="36" spans="1:8" s="34" customFormat="1" x14ac:dyDescent="0.25">
      <c r="A36" s="30" t="s">
        <v>29</v>
      </c>
      <c r="B36" s="30"/>
      <c r="C36" s="35">
        <f>C35-C37</f>
        <v>0.80400675537109478</v>
      </c>
      <c r="D36" s="31">
        <f>D35-D37</f>
        <v>0.9419651542169305</v>
      </c>
      <c r="E36" s="35">
        <v>3.5</v>
      </c>
      <c r="F36" s="35">
        <f t="shared" ref="F36" si="13">F35-F37</f>
        <v>0.54170815989169263</v>
      </c>
      <c r="G36" s="31">
        <f t="shared" ref="G36:H36" si="14">G35-G37</f>
        <v>0.51462275189710915</v>
      </c>
      <c r="H36" s="31">
        <f t="shared" si="14"/>
        <v>0.48889161430225236</v>
      </c>
    </row>
    <row r="37" spans="1:8" x14ac:dyDescent="0.25">
      <c r="A37" s="16" t="s">
        <v>30</v>
      </c>
      <c r="B37" s="16"/>
      <c r="C37" s="17">
        <f>0.95*F22*C34/F19</f>
        <v>15.27612835205078</v>
      </c>
      <c r="D37" s="17">
        <f>0.95*D35*D34/C34</f>
        <v>14.334163197833849</v>
      </c>
      <c r="E37" s="17">
        <f>E35-E36</f>
        <v>10.834163197833849</v>
      </c>
      <c r="F37" s="17">
        <f>0.95*F35*F34/E34</f>
        <v>10.292455037942156</v>
      </c>
      <c r="G37" s="17">
        <f>0.95*G35*G34/D34</f>
        <v>9.7778322860450473</v>
      </c>
      <c r="H37" s="17">
        <f t="shared" ref="H37" si="15">0.95*H35*H34/G34</f>
        <v>9.2889406717427949</v>
      </c>
    </row>
    <row r="39" spans="1:8" x14ac:dyDescent="0.25">
      <c r="C39" s="9" t="s">
        <v>40</v>
      </c>
      <c r="D39">
        <v>4</v>
      </c>
    </row>
    <row r="40" spans="1:8" x14ac:dyDescent="0.25">
      <c r="C40" s="9" t="s">
        <v>42</v>
      </c>
      <c r="D40" s="7">
        <f>0.95^2*D37*D39/1000/D34</f>
        <v>0.78939054324224611</v>
      </c>
    </row>
    <row r="41" spans="1:8" x14ac:dyDescent="0.25">
      <c r="C41" s="9" t="s">
        <v>43</v>
      </c>
      <c r="D41" s="8">
        <f>D40/1.6E-19/B1</f>
        <v>520376636985976.06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EDB5-2C9C-6F4D-AB9B-B9A30F9D1EF0}">
  <dimension ref="A1:H41"/>
  <sheetViews>
    <sheetView workbookViewId="0">
      <selection activeCell="C6" sqref="C6"/>
    </sheetView>
  </sheetViews>
  <sheetFormatPr defaultColWidth="11" defaultRowHeight="15.75" x14ac:dyDescent="0.25"/>
  <cols>
    <col min="1" max="1" width="17.875" customWidth="1"/>
  </cols>
  <sheetData>
    <row r="1" spans="1:8" ht="18" x14ac:dyDescent="0.25">
      <c r="A1" s="1" t="s">
        <v>0</v>
      </c>
      <c r="B1" s="1">
        <f>9481</f>
        <v>9481</v>
      </c>
      <c r="C1" s="10" t="s">
        <v>47</v>
      </c>
    </row>
    <row r="2" spans="1:8" x14ac:dyDescent="0.25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 x14ac:dyDescent="0.25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 x14ac:dyDescent="0.25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3.6027799999999999E-2</v>
      </c>
      <c r="G7" s="3">
        <f>D39/1000</f>
        <v>4.0000000000000001E-3</v>
      </c>
    </row>
    <row r="8" spans="1:8" x14ac:dyDescent="0.25">
      <c r="B8" s="8">
        <v>1.5999999999999999E-5</v>
      </c>
    </row>
    <row r="10" spans="1:8" x14ac:dyDescent="0.25">
      <c r="A10" s="6"/>
      <c r="B10" s="6"/>
      <c r="C10" s="49" t="s">
        <v>5</v>
      </c>
      <c r="D10" s="49"/>
      <c r="E10" s="49"/>
      <c r="F10" s="49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6" t="s">
        <v>18</v>
      </c>
      <c r="D12" s="6" t="s">
        <v>45</v>
      </c>
      <c r="E12" s="6" t="str">
        <f>D12</f>
        <v>Si(800)</v>
      </c>
      <c r="F12" s="6" t="str">
        <f>C12</f>
        <v>Si(220)</v>
      </c>
    </row>
    <row r="13" spans="1:8" x14ac:dyDescent="0.25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f>-C13</f>
        <v>-17</v>
      </c>
    </row>
    <row r="14" spans="1:8" x14ac:dyDescent="0.25">
      <c r="A14" s="6" t="s">
        <v>21</v>
      </c>
      <c r="B14" s="6"/>
      <c r="C14" s="11">
        <f>DEGREES(ASIN(12398/$B$1/1.92/2))</f>
        <v>19.909687810699978</v>
      </c>
      <c r="D14" s="11">
        <f>DEGREES(ASIN(12398/$B$1/0.6789/2))</f>
        <v>74.38209572911866</v>
      </c>
      <c r="E14" s="11">
        <f>DEGREES(ASIN(12398/$B$1/0.6789/2))</f>
        <v>74.38209572911866</v>
      </c>
      <c r="F14" s="11">
        <f t="shared" ref="F14" si="0">DEGREES(ASIN(12398/$B$1/1.92/2))</f>
        <v>19.909687810699978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D6+E6+C21+D21+E21+F21+C36+D36+E36+F36+F37</f>
        <v>50</v>
      </c>
    </row>
    <row r="16" spans="1:8" x14ac:dyDescent="0.25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6" x14ac:dyDescent="0.25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15.355513949953727</v>
      </c>
      <c r="E17" s="14">
        <f t="shared" si="2"/>
        <v>15.355513949953727</v>
      </c>
      <c r="F17" s="14">
        <f t="shared" si="2"/>
        <v>24.624812898155728</v>
      </c>
    </row>
    <row r="18" spans="1:6" x14ac:dyDescent="0.25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6" x14ac:dyDescent="0.25">
      <c r="A19" s="13" t="s">
        <v>27</v>
      </c>
      <c r="B19" s="13"/>
      <c r="C19" s="14">
        <f>MIN($B$1*0.000058/SQRT(C15),E7)</f>
        <v>0.151696</v>
      </c>
      <c r="D19" s="15">
        <f>MIN($B$1*0.0000038/SQRT(D15),C19)</f>
        <v>3.6027799999999999E-2</v>
      </c>
      <c r="E19" s="15">
        <f>MIN($B$1*0.0000038/SQRT(E15),D19)</f>
        <v>3.6027799999999999E-2</v>
      </c>
      <c r="F19" s="15">
        <f>MIN($B$1*0.000058/SQRT(F15),E19)</f>
        <v>3.6027799999999999E-2</v>
      </c>
    </row>
    <row r="20" spans="1:6" x14ac:dyDescent="0.25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4">D22</f>
        <v>9.6722617187499971</v>
      </c>
      <c r="F20" s="11">
        <f t="shared" si="4"/>
        <v>9.1886486328124963</v>
      </c>
    </row>
    <row r="21" spans="1:6" s="34" customFormat="1" x14ac:dyDescent="0.25">
      <c r="A21" s="13" t="s">
        <v>29</v>
      </c>
      <c r="B21" s="13"/>
      <c r="C21" s="14">
        <f>C20-C22</f>
        <v>2.2562500000000014</v>
      </c>
      <c r="D21" s="14">
        <f>D20-D22</f>
        <v>33.196488281249998</v>
      </c>
      <c r="E21" s="15">
        <f t="shared" ref="E21:F21" si="5">E20-E22</f>
        <v>0.48361308593750074</v>
      </c>
      <c r="F21" s="15">
        <f t="shared" si="5"/>
        <v>0.45943243164062508</v>
      </c>
    </row>
    <row r="22" spans="1:6" x14ac:dyDescent="0.25">
      <c r="A22" s="6" t="s">
        <v>30</v>
      </c>
      <c r="B22" s="6"/>
      <c r="C22" s="11">
        <f>0.95*C20*C19/E7</f>
        <v>42.868749999999999</v>
      </c>
      <c r="D22" s="11">
        <f>0.95*D20*D19/C19</f>
        <v>9.6722617187499971</v>
      </c>
      <c r="E22" s="11">
        <f t="shared" ref="E22:F22" si="6">0.95*E20*E19/D19</f>
        <v>9.1886486328124963</v>
      </c>
      <c r="F22" s="11">
        <f t="shared" si="6"/>
        <v>8.7292162011718712</v>
      </c>
    </row>
    <row r="24" spans="1:6" x14ac:dyDescent="0.25">
      <c r="A24" t="s">
        <v>50</v>
      </c>
    </row>
    <row r="25" spans="1:6" x14ac:dyDescent="0.25">
      <c r="A25" s="16"/>
      <c r="B25" s="16"/>
      <c r="C25" s="47" t="s">
        <v>31</v>
      </c>
      <c r="D25" s="47"/>
      <c r="E25" s="47"/>
      <c r="F25" s="47"/>
    </row>
    <row r="26" spans="1:6" x14ac:dyDescent="0.25">
      <c r="A26" s="18"/>
      <c r="B26" s="18"/>
      <c r="C26" s="19" t="s">
        <v>32</v>
      </c>
      <c r="D26" s="19" t="s">
        <v>33</v>
      </c>
      <c r="E26" s="19" t="s">
        <v>36</v>
      </c>
      <c r="F26" s="19" t="s">
        <v>37</v>
      </c>
    </row>
    <row r="27" spans="1:6" x14ac:dyDescent="0.25">
      <c r="A27" s="16" t="s">
        <v>17</v>
      </c>
      <c r="B27" s="16"/>
      <c r="C27" s="16" t="s">
        <v>38</v>
      </c>
      <c r="D27" s="16" t="str">
        <f>C27</f>
        <v>Si(440)</v>
      </c>
      <c r="E27" s="16" t="str">
        <f t="shared" ref="E27:F27" si="7">D27</f>
        <v>Si(440)</v>
      </c>
      <c r="F27" s="16" t="str">
        <f t="shared" si="7"/>
        <v>Si(440)</v>
      </c>
    </row>
    <row r="28" spans="1:6" x14ac:dyDescent="0.25">
      <c r="A28" s="18" t="s">
        <v>20</v>
      </c>
      <c r="B28" s="18"/>
      <c r="C28" s="18">
        <v>0</v>
      </c>
      <c r="D28" s="18">
        <v>-15</v>
      </c>
      <c r="E28" s="18">
        <f>-D28</f>
        <v>15</v>
      </c>
      <c r="F28" s="18">
        <v>0</v>
      </c>
    </row>
    <row r="29" spans="1:6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F29" si="8">DEGREES(ASIN(12398/$B$1/0.96/2))</f>
        <v>42.927866251322122</v>
      </c>
      <c r="E29" s="17">
        <f t="shared" si="8"/>
        <v>42.927866251322122</v>
      </c>
      <c r="F29" s="17">
        <f t="shared" si="8"/>
        <v>42.927866251322122</v>
      </c>
    </row>
    <row r="30" spans="1:6" x14ac:dyDescent="0.25">
      <c r="A30" s="18" t="s">
        <v>23</v>
      </c>
      <c r="B30" s="18"/>
      <c r="C30" s="20">
        <f>SIN(RADIANS(C29-C28))/SIN(RADIANS(C29+C28))</f>
        <v>1</v>
      </c>
      <c r="D30" s="20">
        <f t="shared" ref="D30:F30" si="9">SIN(RADIANS(D29-D28))/SIN(RADIANS(D29+D28))</f>
        <v>1.809251476321005</v>
      </c>
      <c r="E30" s="20">
        <f t="shared" si="9"/>
        <v>0.55271476247925178</v>
      </c>
      <c r="F30" s="20">
        <f t="shared" si="9"/>
        <v>1</v>
      </c>
    </row>
    <row r="31" spans="1:6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1.2500000000000002</v>
      </c>
    </row>
    <row r="32" spans="1:6" x14ac:dyDescent="0.25">
      <c r="A32" s="18" t="s">
        <v>25</v>
      </c>
      <c r="B32" s="18"/>
      <c r="C32" s="20">
        <f>C31/SIN(RADIANS(C29-C28))</f>
        <v>1.8353282787546379</v>
      </c>
      <c r="D32" s="20">
        <f t="shared" ref="D32:F32" si="10">D31/SIN(RADIANS(D29-D28))</f>
        <v>1.4751346505384422</v>
      </c>
      <c r="E32" s="20">
        <f t="shared" si="10"/>
        <v>1.4751346505384424</v>
      </c>
      <c r="F32" s="20">
        <f t="shared" si="10"/>
        <v>1.8353282787546381</v>
      </c>
    </row>
    <row r="33" spans="1:6" x14ac:dyDescent="0.25">
      <c r="A33" s="16" t="s">
        <v>26</v>
      </c>
      <c r="B33" s="16"/>
      <c r="C33" s="17">
        <f>C31/C30</f>
        <v>1.25</v>
      </c>
      <c r="D33" s="17">
        <f t="shared" ref="D33:F33" si="11">D31/D30</f>
        <v>0.6908934530990648</v>
      </c>
      <c r="E33" s="17">
        <f t="shared" si="11"/>
        <v>1.2500000000000002</v>
      </c>
      <c r="F33" s="17">
        <f t="shared" si="11"/>
        <v>1.2500000000000002</v>
      </c>
    </row>
    <row r="34" spans="1:6" x14ac:dyDescent="0.25">
      <c r="A34" s="18" t="s">
        <v>27</v>
      </c>
      <c r="B34" s="18"/>
      <c r="C34" s="21">
        <f>MIN($B$1*0.0000093/SQRT(C30),F19)</f>
        <v>3.6027799999999999E-2</v>
      </c>
      <c r="D34" s="21">
        <f>MIN($B$1*0.0000093/SQRT(D30),C34)</f>
        <v>3.6027799999999999E-2</v>
      </c>
      <c r="E34" s="21">
        <f>MIN($B$1*0.0000093/SQRT(E30),D34)</f>
        <v>3.6027799999999999E-2</v>
      </c>
      <c r="F34" s="21">
        <f>MIN($B$1*0.0000093/SQRT(F30),E34)</f>
        <v>3.6027799999999999E-2</v>
      </c>
    </row>
    <row r="35" spans="1:6" x14ac:dyDescent="0.25">
      <c r="A35" s="16" t="s">
        <v>28</v>
      </c>
      <c r="B35" s="16"/>
      <c r="C35" s="17">
        <f>F22</f>
        <v>8.7292162011718712</v>
      </c>
      <c r="D35" s="17">
        <f>C37</f>
        <v>8.2927553911132765</v>
      </c>
      <c r="E35" s="17">
        <f t="shared" ref="E35:F35" si="12">D37</f>
        <v>7.8781176215576121</v>
      </c>
      <c r="F35" s="17">
        <f t="shared" si="12"/>
        <v>7.484211740479731</v>
      </c>
    </row>
    <row r="36" spans="1:6" s="34" customFormat="1" x14ac:dyDescent="0.25">
      <c r="A36" s="30" t="s">
        <v>29</v>
      </c>
      <c r="B36" s="30"/>
      <c r="C36" s="35">
        <f>C35-C37</f>
        <v>0.43646081005859472</v>
      </c>
      <c r="D36" s="31">
        <f>D35-D37</f>
        <v>0.41463776955566445</v>
      </c>
      <c r="E36" s="31">
        <f t="shared" ref="E36:F36" si="13">E35-E37</f>
        <v>0.39390588107788105</v>
      </c>
      <c r="F36" s="31">
        <f t="shared" si="13"/>
        <v>0.37421058702398557</v>
      </c>
    </row>
    <row r="37" spans="1:6" x14ac:dyDescent="0.25">
      <c r="A37" s="16" t="s">
        <v>30</v>
      </c>
      <c r="B37" s="16"/>
      <c r="C37" s="17">
        <f>0.95*F22*C34/F19</f>
        <v>8.2927553911132765</v>
      </c>
      <c r="D37" s="17">
        <f>0.95*D35*D34/C34</f>
        <v>7.8781176215576121</v>
      </c>
      <c r="E37" s="17">
        <f t="shared" ref="E37:F37" si="14">0.95*E35*E34/D34</f>
        <v>7.484211740479731</v>
      </c>
      <c r="F37" s="17">
        <f t="shared" si="14"/>
        <v>7.1100011534557455</v>
      </c>
    </row>
    <row r="39" spans="1:6" x14ac:dyDescent="0.25">
      <c r="C39" s="9" t="s">
        <v>40</v>
      </c>
      <c r="D39">
        <v>4</v>
      </c>
    </row>
    <row r="40" spans="1:6" x14ac:dyDescent="0.25">
      <c r="C40" s="9" t="s">
        <v>42</v>
      </c>
      <c r="D40" s="7">
        <f>0.95^2*D37*D39/1000/D34</f>
        <v>0.78939054324224578</v>
      </c>
    </row>
    <row r="41" spans="1:6" x14ac:dyDescent="0.25">
      <c r="C41" s="9" t="s">
        <v>43</v>
      </c>
      <c r="D41" s="8">
        <f>D40/1.6E-19/B1</f>
        <v>520376636985975.81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0ADF-97D8-5A4B-A19E-7120C7F8BD4E}">
  <dimension ref="A1:H43"/>
  <sheetViews>
    <sheetView zoomScaleNormal="100" workbookViewId="0">
      <selection activeCell="C19" sqref="C19"/>
    </sheetView>
  </sheetViews>
  <sheetFormatPr defaultColWidth="11" defaultRowHeight="15.75" x14ac:dyDescent="0.25"/>
  <cols>
    <col min="1" max="1" width="17.375" customWidth="1"/>
    <col min="2" max="2" width="8.375" bestFit="1" customWidth="1"/>
    <col min="3" max="4" width="12.125" bestFit="1" customWidth="1"/>
  </cols>
  <sheetData>
    <row r="1" spans="1:8" ht="18" x14ac:dyDescent="0.25">
      <c r="A1" s="1" t="s">
        <v>0</v>
      </c>
      <c r="B1" s="1">
        <f>9481</f>
        <v>9481</v>
      </c>
      <c r="C1" s="10" t="s">
        <v>1</v>
      </c>
    </row>
    <row r="2" spans="1:8" x14ac:dyDescent="0.25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x14ac:dyDescent="0.25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 x14ac:dyDescent="0.25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0.227544</v>
      </c>
      <c r="G7" s="3">
        <f>D39/1000</f>
        <v>4.0000000000000001E-3</v>
      </c>
    </row>
    <row r="8" spans="1:8" x14ac:dyDescent="0.25">
      <c r="B8" s="8">
        <v>1E-3</v>
      </c>
    </row>
    <row r="10" spans="1:8" x14ac:dyDescent="0.25">
      <c r="A10" s="6"/>
      <c r="B10" s="6"/>
      <c r="C10" s="46" t="s">
        <v>5</v>
      </c>
      <c r="D10" s="46"/>
      <c r="E10" s="46"/>
      <c r="F10" s="46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41" t="s">
        <v>51</v>
      </c>
      <c r="D12" s="41" t="s">
        <v>52</v>
      </c>
      <c r="E12" s="41" t="str">
        <f>D12</f>
        <v>Si(400)</v>
      </c>
      <c r="F12" s="41" t="str">
        <f>C12</f>
        <v>Si(111)</v>
      </c>
    </row>
    <row r="13" spans="1:8" x14ac:dyDescent="0.25">
      <c r="A13" s="13" t="s">
        <v>20</v>
      </c>
      <c r="B13" s="13"/>
      <c r="C13" s="13">
        <v>9.1</v>
      </c>
      <c r="D13" s="13">
        <v>0</v>
      </c>
      <c r="E13" s="13">
        <v>0</v>
      </c>
      <c r="F13" s="13">
        <f>-C13</f>
        <v>-9.1</v>
      </c>
    </row>
    <row r="14" spans="1:8" x14ac:dyDescent="0.25">
      <c r="A14" s="6" t="s">
        <v>21</v>
      </c>
      <c r="B14" s="6"/>
      <c r="C14" s="11">
        <f>DEGREES(ASIN(12398/$B$1/3.1355/2))</f>
        <v>12.035999336837406</v>
      </c>
      <c r="D14" s="11">
        <f>DEGREES(ASIN(12398/$B$1/1.3577/2))</f>
        <v>28.788299401473669</v>
      </c>
      <c r="E14" s="11">
        <f>D14</f>
        <v>28.788299401473669</v>
      </c>
      <c r="F14" s="11">
        <f>C14</f>
        <v>12.035999336837406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0.14204897065460032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7.0398257403184825</v>
      </c>
      <c r="H15" s="33">
        <f>D6+E6+C21+D21+E21+F21+C36+D36+G36+H36+H37</f>
        <v>49.97763870541138</v>
      </c>
    </row>
    <row r="16" spans="1:8" x14ac:dyDescent="0.25">
      <c r="A16" s="6" t="s">
        <v>24</v>
      </c>
      <c r="B16" s="6"/>
      <c r="C16" s="11">
        <f>F4</f>
        <v>1.25</v>
      </c>
      <c r="D16" s="11">
        <f>C18</f>
        <v>8.7997821753981018</v>
      </c>
      <c r="E16" s="11">
        <f>D18</f>
        <v>8.7997821753981018</v>
      </c>
      <c r="F16" s="11">
        <f>E18</f>
        <v>8.7997821753981018</v>
      </c>
    </row>
    <row r="17" spans="1:8" x14ac:dyDescent="0.25">
      <c r="A17" s="13" t="s">
        <v>25</v>
      </c>
      <c r="B17" s="13"/>
      <c r="C17" s="14">
        <f>C16/SIN(RADIANS(C14-C13))</f>
        <v>24.404323473920876</v>
      </c>
      <c r="D17" s="14">
        <f t="shared" ref="D17:F17" si="1">D16/SIN(RADIANS(D14-D13))</f>
        <v>18.272932512450364</v>
      </c>
      <c r="E17" s="14">
        <f t="shared" si="1"/>
        <v>18.272932512450364</v>
      </c>
      <c r="F17" s="14">
        <f t="shared" si="1"/>
        <v>24.404323473920872</v>
      </c>
    </row>
    <row r="18" spans="1:8" x14ac:dyDescent="0.25">
      <c r="A18" s="6" t="s">
        <v>26</v>
      </c>
      <c r="B18" s="6"/>
      <c r="C18" s="11">
        <f>C16/C15</f>
        <v>8.7997821753981018</v>
      </c>
      <c r="D18" s="11">
        <f t="shared" ref="D18:F18" si="2">D16/D15</f>
        <v>8.7997821753981018</v>
      </c>
      <c r="E18" s="11">
        <f t="shared" si="2"/>
        <v>8.7997821753981018</v>
      </c>
      <c r="F18" s="11">
        <f t="shared" si="2"/>
        <v>1.2499999999999998</v>
      </c>
    </row>
    <row r="19" spans="1:8" x14ac:dyDescent="0.25">
      <c r="A19" s="13" t="s">
        <v>27</v>
      </c>
      <c r="B19" s="13"/>
      <c r="C19" s="14">
        <f>$B$1*0.00011/SQRT(C15)</f>
        <v>2.7671186804901993</v>
      </c>
      <c r="D19" s="15">
        <f>MIN($B$1*0.000024/SQRT(D15),C19)</f>
        <v>0.227544</v>
      </c>
      <c r="E19" s="15">
        <f>MIN($B$1*0.000024/SQRT(E15),D19)</f>
        <v>0.227544</v>
      </c>
      <c r="F19" s="15">
        <f>MIN($B$1*0.00011/SQRT(F15),E19)</f>
        <v>0.227544</v>
      </c>
    </row>
    <row r="20" spans="1:8" x14ac:dyDescent="0.25">
      <c r="A20" s="6" t="s">
        <v>28</v>
      </c>
      <c r="B20" s="6"/>
      <c r="C20" s="11">
        <f>F5</f>
        <v>45.125</v>
      </c>
      <c r="D20" s="11">
        <f>C22</f>
        <v>12.5116463383888</v>
      </c>
      <c r="E20" s="11">
        <f t="shared" ref="E20:F20" si="3">D22</f>
        <v>0.97740749999999976</v>
      </c>
      <c r="F20" s="11">
        <f t="shared" si="3"/>
        <v>0.92853712499999974</v>
      </c>
    </row>
    <row r="21" spans="1:8" x14ac:dyDescent="0.25">
      <c r="A21" s="27" t="s">
        <v>29</v>
      </c>
      <c r="B21" s="27"/>
      <c r="C21" s="28">
        <f>C20-C22</f>
        <v>32.6133536616112</v>
      </c>
      <c r="D21" s="28">
        <f>D20-D22</f>
        <v>11.5342388383888</v>
      </c>
      <c r="E21" s="29">
        <f t="shared" ref="E21:F21" si="4">E20-E22</f>
        <v>4.8870375000000021E-2</v>
      </c>
      <c r="F21" s="29">
        <f t="shared" si="4"/>
        <v>4.6426856249999982E-2</v>
      </c>
    </row>
    <row r="22" spans="1:8" x14ac:dyDescent="0.25">
      <c r="A22" s="6" t="s">
        <v>30</v>
      </c>
      <c r="B22" s="6"/>
      <c r="C22" s="11">
        <f>0.95*C20*C19/E7</f>
        <v>12.5116463383888</v>
      </c>
      <c r="D22" s="11">
        <f>0.95*D20*D19/C19</f>
        <v>0.97740749999999976</v>
      </c>
      <c r="E22" s="11">
        <f t="shared" ref="E22:F22" si="5">0.95*E20*E19/D19</f>
        <v>0.92853712499999974</v>
      </c>
      <c r="F22" s="11">
        <f t="shared" si="5"/>
        <v>0.88211026874999976</v>
      </c>
    </row>
    <row r="25" spans="1:8" x14ac:dyDescent="0.25">
      <c r="A25" s="16"/>
      <c r="B25" s="16"/>
      <c r="C25" s="47" t="s">
        <v>31</v>
      </c>
      <c r="D25" s="47"/>
      <c r="E25" s="47"/>
      <c r="F25" s="47"/>
    </row>
    <row r="26" spans="1:8" x14ac:dyDescent="0.25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 x14ac:dyDescent="0.25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6">G27</f>
        <v>Si(440)</v>
      </c>
    </row>
    <row r="28" spans="1:8" x14ac:dyDescent="0.25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 x14ac:dyDescent="0.25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 x14ac:dyDescent="0.25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 x14ac:dyDescent="0.25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 x14ac:dyDescent="0.25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 x14ac:dyDescent="0.25">
      <c r="A35" s="16" t="s">
        <v>28</v>
      </c>
      <c r="B35" s="16"/>
      <c r="C35" s="17">
        <f>F22</f>
        <v>0.88211026874999976</v>
      </c>
      <c r="D35" s="17">
        <f>C37</f>
        <v>0.3247268426835937</v>
      </c>
      <c r="E35" s="17">
        <f>D37</f>
        <v>0.22934661116534155</v>
      </c>
      <c r="F35" s="17">
        <f>E37</f>
        <v>0.21787928060707445</v>
      </c>
      <c r="G35" s="17">
        <f>F37</f>
        <v>0.20698531657672073</v>
      </c>
      <c r="H35" s="17">
        <f t="shared" ref="H35" si="12">G37</f>
        <v>0.19663605074788468</v>
      </c>
    </row>
    <row r="36" spans="1:8" x14ac:dyDescent="0.25">
      <c r="A36" s="30" t="s">
        <v>29</v>
      </c>
      <c r="B36" s="30"/>
      <c r="C36" s="31">
        <f>C35-C37</f>
        <v>0.55738342606640612</v>
      </c>
      <c r="D36" s="31">
        <f>D35-D37</f>
        <v>9.5380231518252145E-2</v>
      </c>
      <c r="E36" s="31">
        <v>0.28000000000000003</v>
      </c>
      <c r="F36" s="31">
        <f t="shared" ref="F36:H36" si="13">F35-F37</f>
        <v>1.0893964030353726E-2</v>
      </c>
      <c r="G36" s="31">
        <f t="shared" si="13"/>
        <v>1.0349265828836052E-2</v>
      </c>
      <c r="H36" s="31">
        <f t="shared" si="13"/>
        <v>9.8318025373942408E-3</v>
      </c>
    </row>
    <row r="37" spans="1:8" x14ac:dyDescent="0.25">
      <c r="A37" s="16" t="s">
        <v>30</v>
      </c>
      <c r="B37" s="16"/>
      <c r="C37" s="17">
        <f>0.95*C35*C34/F19</f>
        <v>0.3247268426835937</v>
      </c>
      <c r="D37" s="17">
        <f>0.95*D35*D34/C34</f>
        <v>0.22934661116534155</v>
      </c>
      <c r="E37" s="17">
        <f>0.95*E35*E34/D34</f>
        <v>0.21787928060707445</v>
      </c>
      <c r="F37" s="17">
        <f>0.95*F35*F34/E34</f>
        <v>0.20698531657672073</v>
      </c>
      <c r="G37" s="17">
        <f>0.95*G35*G34/D34</f>
        <v>0.19663605074788468</v>
      </c>
      <c r="H37" s="17">
        <f t="shared" ref="H37" si="14">0.95*H35*H34/G34</f>
        <v>0.18680424821049044</v>
      </c>
    </row>
    <row r="39" spans="1:8" x14ac:dyDescent="0.25">
      <c r="C39" s="9" t="s">
        <v>40</v>
      </c>
      <c r="D39">
        <v>4</v>
      </c>
    </row>
    <row r="40" spans="1:8" x14ac:dyDescent="0.25">
      <c r="C40" s="9" t="s">
        <v>42</v>
      </c>
      <c r="D40" s="7">
        <f>0.95^2*D37*D39/1000/D34</f>
        <v>1.2630248691875935E-2</v>
      </c>
      <c r="F40" s="7"/>
    </row>
    <row r="41" spans="1:8" x14ac:dyDescent="0.25">
      <c r="C41" s="9" t="s">
        <v>43</v>
      </c>
      <c r="D41" s="8">
        <f>D40/1.6E-19/$B$1</f>
        <v>8326026191775.6133</v>
      </c>
      <c r="F41" s="8"/>
    </row>
    <row r="43" spans="1:8" x14ac:dyDescent="0.25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2D34-A440-DC49-B362-5860C62B6DCC}">
  <dimension ref="A1:H43"/>
  <sheetViews>
    <sheetView zoomScaleNormal="100" workbookViewId="0">
      <selection activeCell="D19" sqref="D19"/>
    </sheetView>
  </sheetViews>
  <sheetFormatPr defaultColWidth="11" defaultRowHeight="15.75" x14ac:dyDescent="0.25"/>
  <cols>
    <col min="1" max="1" width="17.375" customWidth="1"/>
    <col min="2" max="2" width="8.375" bestFit="1" customWidth="1"/>
    <col min="3" max="4" width="12.125" bestFit="1" customWidth="1"/>
  </cols>
  <sheetData>
    <row r="1" spans="1:8" ht="18" x14ac:dyDescent="0.25">
      <c r="A1" s="1" t="s">
        <v>0</v>
      </c>
      <c r="B1" s="1">
        <f>9481</f>
        <v>9481</v>
      </c>
      <c r="C1" s="10" t="s">
        <v>1</v>
      </c>
    </row>
    <row r="2" spans="1:8" x14ac:dyDescent="0.25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 x14ac:dyDescent="0.25">
      <c r="A6" s="32" t="s">
        <v>10</v>
      </c>
      <c r="B6" s="32"/>
      <c r="C6" s="32"/>
      <c r="D6" s="32">
        <f>D5-E5</f>
        <v>5</v>
      </c>
      <c r="E6" s="32">
        <f>E5-F5</f>
        <v>4.75</v>
      </c>
      <c r="F6" s="48" t="s">
        <v>11</v>
      </c>
      <c r="G6" s="48"/>
    </row>
    <row r="7" spans="1:8" x14ac:dyDescent="0.25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0.39306636024274866</v>
      </c>
      <c r="G7" s="3">
        <f>D39/1000</f>
        <v>4.0000000000000001E-3</v>
      </c>
    </row>
    <row r="8" spans="1:8" x14ac:dyDescent="0.25">
      <c r="B8" s="8">
        <v>1E-3</v>
      </c>
    </row>
    <row r="10" spans="1:8" x14ac:dyDescent="0.25">
      <c r="A10" s="6"/>
      <c r="B10" s="6"/>
      <c r="C10" s="46" t="s">
        <v>5</v>
      </c>
      <c r="D10" s="46"/>
      <c r="E10" s="46"/>
      <c r="F10" s="46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41" t="s">
        <v>51</v>
      </c>
      <c r="D12" s="41" t="s">
        <v>18</v>
      </c>
      <c r="E12" s="41" t="str">
        <f>D12</f>
        <v>Si(220)</v>
      </c>
      <c r="F12" s="41" t="str">
        <f>C12</f>
        <v>Si(111)</v>
      </c>
    </row>
    <row r="13" spans="1:8" x14ac:dyDescent="0.25">
      <c r="A13" s="13" t="s">
        <v>20</v>
      </c>
      <c r="B13" s="13"/>
      <c r="C13" s="13">
        <v>9.1</v>
      </c>
      <c r="D13" s="13">
        <v>0</v>
      </c>
      <c r="E13" s="13">
        <v>0</v>
      </c>
      <c r="F13" s="13">
        <f>-C13</f>
        <v>-9.1</v>
      </c>
    </row>
    <row r="14" spans="1:8" x14ac:dyDescent="0.25">
      <c r="A14" s="6" t="s">
        <v>21</v>
      </c>
      <c r="B14" s="6"/>
      <c r="C14" s="11">
        <f>DEGREES(ASIN(12398/$B$1/3.1355/2))</f>
        <v>12.035999336837406</v>
      </c>
      <c r="D14" s="11">
        <f>DEGREES(ASIN(12398/$B$1/1.9201/2))</f>
        <v>19.908607050857835</v>
      </c>
      <c r="E14" s="11">
        <f>D14</f>
        <v>19.908607050857835</v>
      </c>
      <c r="F14" s="11">
        <f>C14</f>
        <v>12.035999336837406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0.14204897065460032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7.0398257403184825</v>
      </c>
      <c r="H15" s="33">
        <f>D6+E6+C21+D21+E21+F21+C36+D36+G36+H36+H37</f>
        <v>99.95527741082276</v>
      </c>
    </row>
    <row r="16" spans="1:8" x14ac:dyDescent="0.25">
      <c r="A16" s="6" t="s">
        <v>24</v>
      </c>
      <c r="B16" s="6"/>
      <c r="C16" s="11">
        <f>F4</f>
        <v>1.25</v>
      </c>
      <c r="D16" s="11">
        <f>C18</f>
        <v>8.7997821753981018</v>
      </c>
      <c r="E16" s="11">
        <f>D18</f>
        <v>8.7997821753981018</v>
      </c>
      <c r="F16" s="11">
        <f>E18</f>
        <v>8.7997821753981018</v>
      </c>
    </row>
    <row r="17" spans="1:8" x14ac:dyDescent="0.25">
      <c r="A17" s="13" t="s">
        <v>25</v>
      </c>
      <c r="B17" s="13"/>
      <c r="C17" s="14">
        <f>C16/SIN(RADIANS(C14-C13))</f>
        <v>24.404323473920876</v>
      </c>
      <c r="D17" s="14">
        <f t="shared" ref="D17:F17" si="1">D16/SIN(RADIANS(D14-D13))</f>
        <v>25.842128391512077</v>
      </c>
      <c r="E17" s="14">
        <f t="shared" si="1"/>
        <v>25.842128391512077</v>
      </c>
      <c r="F17" s="14">
        <f t="shared" si="1"/>
        <v>24.404323473920872</v>
      </c>
    </row>
    <row r="18" spans="1:8" x14ac:dyDescent="0.25">
      <c r="A18" s="6" t="s">
        <v>26</v>
      </c>
      <c r="B18" s="6"/>
      <c r="C18" s="11">
        <f>C16/C15</f>
        <v>8.7997821753981018</v>
      </c>
      <c r="D18" s="11">
        <f t="shared" ref="D18:F18" si="2">D16/D15</f>
        <v>8.7997821753981018</v>
      </c>
      <c r="E18" s="11">
        <f t="shared" si="2"/>
        <v>8.7997821753981018</v>
      </c>
      <c r="F18" s="11">
        <f t="shared" si="2"/>
        <v>1.2499999999999998</v>
      </c>
    </row>
    <row r="19" spans="1:8" x14ac:dyDescent="0.25">
      <c r="A19" s="13" t="s">
        <v>27</v>
      </c>
      <c r="B19" s="13"/>
      <c r="C19" s="14">
        <f>$B$1*0.00011/SQRT(C15)</f>
        <v>2.7671186804901993</v>
      </c>
      <c r="D19" s="15">
        <f>MIN($B$1*0.000058/SQRT(D15),C19)</f>
        <v>0.549898</v>
      </c>
      <c r="E19" s="15">
        <f>MIN($B$1*0.000058/SQRT(E15),D19)</f>
        <v>0.549898</v>
      </c>
      <c r="F19" s="15">
        <f>MIN($B$1*0.00011/SQRT(F15),E19)</f>
        <v>0.39306636024274866</v>
      </c>
    </row>
    <row r="20" spans="1:8" x14ac:dyDescent="0.25">
      <c r="A20" s="6" t="s">
        <v>28</v>
      </c>
      <c r="B20" s="6"/>
      <c r="C20" s="11">
        <f>F5</f>
        <v>90.25</v>
      </c>
      <c r="D20" s="11">
        <f>C22</f>
        <v>25.023292676777601</v>
      </c>
      <c r="E20" s="11">
        <f t="shared" ref="E20:F20" si="3">D22</f>
        <v>4.724136249999999</v>
      </c>
      <c r="F20" s="11">
        <f t="shared" si="3"/>
        <v>4.4879294374999992</v>
      </c>
    </row>
    <row r="21" spans="1:8" x14ac:dyDescent="0.25">
      <c r="A21" s="27" t="s">
        <v>29</v>
      </c>
      <c r="B21" s="27"/>
      <c r="C21" s="28">
        <f>C20-C22</f>
        <v>65.226707323222399</v>
      </c>
      <c r="D21" s="28">
        <f>D20-D22</f>
        <v>20.2991564267776</v>
      </c>
      <c r="E21" s="29">
        <f t="shared" ref="E21:F21" si="4">E20-E22</f>
        <v>0.23620681249999986</v>
      </c>
      <c r="F21" s="29">
        <f t="shared" si="4"/>
        <v>1.4403617348111544</v>
      </c>
    </row>
    <row r="22" spans="1:8" x14ac:dyDescent="0.25">
      <c r="A22" s="6" t="s">
        <v>30</v>
      </c>
      <c r="B22" s="6"/>
      <c r="C22" s="11">
        <f>0.95*C20*C19/E7</f>
        <v>25.023292676777601</v>
      </c>
      <c r="D22" s="11">
        <f>0.95*D20*D19/C19</f>
        <v>4.724136249999999</v>
      </c>
      <c r="E22" s="11">
        <f t="shared" ref="E22:F22" si="5">0.95*E20*E19/D19</f>
        <v>4.4879294374999992</v>
      </c>
      <c r="F22" s="11">
        <f t="shared" si="5"/>
        <v>3.0475677026888448</v>
      </c>
    </row>
    <row r="25" spans="1:8" x14ac:dyDescent="0.25">
      <c r="A25" s="16"/>
      <c r="B25" s="16"/>
      <c r="C25" s="47" t="s">
        <v>31</v>
      </c>
      <c r="D25" s="47"/>
      <c r="E25" s="47"/>
      <c r="F25" s="47"/>
    </row>
    <row r="26" spans="1:8" x14ac:dyDescent="0.25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 x14ac:dyDescent="0.25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6">G27</f>
        <v>Si(440)</v>
      </c>
    </row>
    <row r="28" spans="1:8" x14ac:dyDescent="0.25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 x14ac:dyDescent="0.25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 x14ac:dyDescent="0.25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 x14ac:dyDescent="0.25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 x14ac:dyDescent="0.25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 x14ac:dyDescent="0.25">
      <c r="A35" s="16" t="s">
        <v>28</v>
      </c>
      <c r="B35" s="16"/>
      <c r="C35" s="17">
        <f>F22</f>
        <v>3.0475677026888448</v>
      </c>
      <c r="D35" s="17">
        <f>C37</f>
        <v>0.64945368536718739</v>
      </c>
      <c r="E35" s="17">
        <f>D37</f>
        <v>0.4586932223306831</v>
      </c>
      <c r="F35" s="17">
        <f>E37</f>
        <v>0.43575856121414891</v>
      </c>
      <c r="G35" s="17">
        <f>F37</f>
        <v>0.41397063315344146</v>
      </c>
      <c r="H35" s="17">
        <f t="shared" ref="H35" si="12">G37</f>
        <v>0.39327210149576936</v>
      </c>
    </row>
    <row r="36" spans="1:8" x14ac:dyDescent="0.25">
      <c r="A36" s="30" t="s">
        <v>29</v>
      </c>
      <c r="B36" s="30"/>
      <c r="C36" s="31">
        <f>C35-C37</f>
        <v>2.3981140173216575</v>
      </c>
      <c r="D36" s="31">
        <f>D35-D37</f>
        <v>0.19076046303650429</v>
      </c>
      <c r="E36" s="31">
        <v>0.28000000000000003</v>
      </c>
      <c r="F36" s="31">
        <f t="shared" ref="F36:H36" si="13">F35-F37</f>
        <v>2.1787928060707451E-2</v>
      </c>
      <c r="G36" s="31">
        <f t="shared" si="13"/>
        <v>2.0698531657672103E-2</v>
      </c>
      <c r="H36" s="31">
        <f t="shared" si="13"/>
        <v>1.9663605074788482E-2</v>
      </c>
    </row>
    <row r="37" spans="1:8" x14ac:dyDescent="0.25">
      <c r="A37" s="16" t="s">
        <v>30</v>
      </c>
      <c r="B37" s="16"/>
      <c r="C37" s="17">
        <f>0.95*C35*C34/F19</f>
        <v>0.64945368536718739</v>
      </c>
      <c r="D37" s="17">
        <f>0.95*D35*D34/C34</f>
        <v>0.4586932223306831</v>
      </c>
      <c r="E37" s="17">
        <f>0.95*E35*E34/D34</f>
        <v>0.43575856121414891</v>
      </c>
      <c r="F37" s="17">
        <f>0.95*F35*F34/E34</f>
        <v>0.41397063315344146</v>
      </c>
      <c r="G37" s="17">
        <f>0.95*G35*G34/D34</f>
        <v>0.39327210149576936</v>
      </c>
      <c r="H37" s="17">
        <f t="shared" ref="H37" si="14">0.95*H35*H34/G34</f>
        <v>0.37360849642098087</v>
      </c>
    </row>
    <row r="39" spans="1:8" x14ac:dyDescent="0.25">
      <c r="C39" s="9" t="s">
        <v>40</v>
      </c>
      <c r="D39">
        <v>4</v>
      </c>
    </row>
    <row r="40" spans="1:8" x14ac:dyDescent="0.25">
      <c r="C40" s="9" t="s">
        <v>42</v>
      </c>
      <c r="D40" s="7">
        <f>0.95^2*D37*D39/1000/D34</f>
        <v>2.526049738375187E-2</v>
      </c>
      <c r="F40" s="7"/>
    </row>
    <row r="41" spans="1:8" x14ac:dyDescent="0.25">
      <c r="C41" s="9" t="s">
        <v>43</v>
      </c>
      <c r="D41" s="8">
        <f>D40/1.6E-19/$B$1</f>
        <v>16652052383551.227</v>
      </c>
      <c r="F41" s="8"/>
    </row>
    <row r="43" spans="1:8" x14ac:dyDescent="0.25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94C3-D1A6-A346-85F9-7B792F32ABD0}">
  <dimension ref="A1:H41"/>
  <sheetViews>
    <sheetView zoomScaleNormal="100" workbookViewId="0">
      <selection activeCell="D19" sqref="D19"/>
    </sheetView>
  </sheetViews>
  <sheetFormatPr defaultColWidth="11" defaultRowHeight="15.75" x14ac:dyDescent="0.25"/>
  <cols>
    <col min="1" max="1" width="17.875" customWidth="1"/>
  </cols>
  <sheetData>
    <row r="1" spans="1:8" ht="18" x14ac:dyDescent="0.25">
      <c r="A1" s="1" t="s">
        <v>0</v>
      </c>
      <c r="B1" s="1">
        <f>9481</f>
        <v>9481</v>
      </c>
      <c r="C1" s="10" t="s">
        <v>47</v>
      </c>
    </row>
    <row r="2" spans="1:8" x14ac:dyDescent="0.25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 x14ac:dyDescent="0.25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 x14ac:dyDescent="0.25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0.227544</v>
      </c>
      <c r="G7" s="3">
        <f>D39/1000</f>
        <v>4.0000000000000001E-3</v>
      </c>
    </row>
    <row r="8" spans="1:8" x14ac:dyDescent="0.25">
      <c r="B8" s="8">
        <v>1.5999999999999999E-5</v>
      </c>
    </row>
    <row r="10" spans="1:8" x14ac:dyDescent="0.25">
      <c r="A10" s="6"/>
      <c r="B10" s="6"/>
      <c r="C10" s="49" t="s">
        <v>5</v>
      </c>
      <c r="D10" s="49"/>
      <c r="E10" s="49"/>
      <c r="F10" s="49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6" t="s">
        <v>51</v>
      </c>
      <c r="D12" s="6" t="s">
        <v>52</v>
      </c>
      <c r="E12" s="6" t="str">
        <f>D12</f>
        <v>Si(400)</v>
      </c>
      <c r="F12" s="6" t="str">
        <f>C12</f>
        <v>Si(111)</v>
      </c>
    </row>
    <row r="13" spans="1:8" x14ac:dyDescent="0.25">
      <c r="A13" s="13" t="s">
        <v>20</v>
      </c>
      <c r="B13" s="13"/>
      <c r="C13" s="13">
        <v>9</v>
      </c>
      <c r="D13" s="13">
        <v>0</v>
      </c>
      <c r="E13" s="13">
        <v>0</v>
      </c>
      <c r="F13" s="13">
        <f>-C13</f>
        <v>-9</v>
      </c>
    </row>
    <row r="14" spans="1:8" x14ac:dyDescent="0.25">
      <c r="A14" s="6" t="s">
        <v>21</v>
      </c>
      <c r="B14" s="6"/>
      <c r="C14" s="11">
        <f>DEGREES(ASIN(12398/$B$1/3.1355/2))</f>
        <v>12.035999336837406</v>
      </c>
      <c r="D14" s="11">
        <f>DEGREES(ASIN(12398/$B$1/1.3577/2))</f>
        <v>28.788299401473669</v>
      </c>
      <c r="E14" s="11">
        <f>D14</f>
        <v>28.788299401473669</v>
      </c>
      <c r="F14" s="11">
        <f>C14</f>
        <v>12.035999336837406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0.14754905862645509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6.7774068456218739</v>
      </c>
      <c r="H15" s="33">
        <f>D6+E6+C21+D21+E21+F21+C36+D36+E36+F36+G36+H36+H37</f>
        <v>50</v>
      </c>
    </row>
    <row r="16" spans="1:8" x14ac:dyDescent="0.25">
      <c r="A16" s="6" t="s">
        <v>24</v>
      </c>
      <c r="B16" s="6"/>
      <c r="C16" s="11">
        <f>F4</f>
        <v>1.25</v>
      </c>
      <c r="D16" s="11">
        <f>C18</f>
        <v>8.4717585570273428</v>
      </c>
      <c r="E16" s="11">
        <f>D18</f>
        <v>8.4717585570273428</v>
      </c>
      <c r="F16" s="11">
        <f>E18</f>
        <v>8.4717585570273428</v>
      </c>
    </row>
    <row r="17" spans="1:8" x14ac:dyDescent="0.25">
      <c r="A17" s="13" t="s">
        <v>25</v>
      </c>
      <c r="B17" s="13"/>
      <c r="C17" s="14">
        <f>C16/SIN(RADIANS(C14-C13))</f>
        <v>23.601207524361531</v>
      </c>
      <c r="D17" s="14">
        <f t="shared" ref="D17:F17" si="1">D16/SIN(RADIANS(D14-D13))</f>
        <v>17.59178457929627</v>
      </c>
      <c r="E17" s="14">
        <f t="shared" si="1"/>
        <v>17.59178457929627</v>
      </c>
      <c r="F17" s="14">
        <f t="shared" si="1"/>
        <v>23.601207524361531</v>
      </c>
    </row>
    <row r="18" spans="1:8" x14ac:dyDescent="0.25">
      <c r="A18" s="6" t="s">
        <v>26</v>
      </c>
      <c r="B18" s="6"/>
      <c r="C18" s="11">
        <f>C16/C15</f>
        <v>8.4717585570273428</v>
      </c>
      <c r="D18" s="11">
        <f t="shared" ref="D18:F18" si="2">D16/D15</f>
        <v>8.4717585570273428</v>
      </c>
      <c r="E18" s="11">
        <f t="shared" si="2"/>
        <v>8.4717585570273428</v>
      </c>
      <c r="F18" s="11">
        <f t="shared" si="2"/>
        <v>1.25</v>
      </c>
    </row>
    <row r="19" spans="1:8" x14ac:dyDescent="0.25">
      <c r="A19" s="13" t="s">
        <v>27</v>
      </c>
      <c r="B19" s="13"/>
      <c r="C19" s="14">
        <f>$B$1*0.00011/SQRT(C15)</f>
        <v>2.7150548657695133</v>
      </c>
      <c r="D19" s="15">
        <f>MIN($B$1*0.000024/SQRT(D15),C19)</f>
        <v>0.227544</v>
      </c>
      <c r="E19" s="15">
        <f>MIN($B$1*0.000024/SQRT(E15),D19)</f>
        <v>0.227544</v>
      </c>
      <c r="F19" s="15">
        <f>MIN($B$1*0.00011/SQRT(F15),E19)</f>
        <v>0.227544</v>
      </c>
    </row>
    <row r="20" spans="1:8" x14ac:dyDescent="0.25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3">D22</f>
        <v>3.413117217015635</v>
      </c>
      <c r="F20" s="11">
        <f t="shared" si="3"/>
        <v>3.2424613561648532</v>
      </c>
    </row>
    <row r="21" spans="1:8" s="34" customFormat="1" x14ac:dyDescent="0.25">
      <c r="A21" s="27" t="s">
        <v>29</v>
      </c>
      <c r="B21" s="27"/>
      <c r="C21" s="28">
        <f>C20-C22</f>
        <v>2.2562500000000014</v>
      </c>
      <c r="D21" s="28">
        <f>D20-D22</f>
        <v>39.455632782984367</v>
      </c>
      <c r="E21" s="28">
        <f t="shared" ref="E21:F21" si="4">E20-E22</f>
        <v>0.17065586085078177</v>
      </c>
      <c r="F21" s="28">
        <f t="shared" si="4"/>
        <v>0.16212306780824282</v>
      </c>
    </row>
    <row r="22" spans="1:8" x14ac:dyDescent="0.25">
      <c r="A22" s="6" t="s">
        <v>30</v>
      </c>
      <c r="B22" s="6"/>
      <c r="C22" s="11">
        <f>MIN(0.95*C20*C19/E7, 0.95*C20)</f>
        <v>42.868749999999999</v>
      </c>
      <c r="D22" s="11">
        <f>0.95*D20*D19/C19</f>
        <v>3.413117217015635</v>
      </c>
      <c r="E22" s="11">
        <f t="shared" ref="E22:F22" si="5">0.95*E20*E19/D19</f>
        <v>3.2424613561648532</v>
      </c>
      <c r="F22" s="11">
        <f t="shared" si="5"/>
        <v>3.0803382883566104</v>
      </c>
    </row>
    <row r="25" spans="1:8" x14ac:dyDescent="0.25">
      <c r="A25" s="16"/>
      <c r="B25" s="16"/>
      <c r="C25" s="47" t="s">
        <v>31</v>
      </c>
      <c r="D25" s="47"/>
      <c r="E25" s="47"/>
      <c r="F25" s="47"/>
    </row>
    <row r="26" spans="1:8" x14ac:dyDescent="0.25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 x14ac:dyDescent="0.25">
      <c r="A27" s="16" t="s">
        <v>17</v>
      </c>
      <c r="B27" s="16"/>
      <c r="C27" s="16" t="s">
        <v>38</v>
      </c>
      <c r="D27" s="16" t="str">
        <f>C27</f>
        <v>Si(440)</v>
      </c>
      <c r="E27" s="40"/>
      <c r="F27" s="40"/>
      <c r="G27" s="16" t="str">
        <f>D27</f>
        <v>Si(440)</v>
      </c>
      <c r="H27" s="16" t="str">
        <f t="shared" ref="H27" si="6">G27</f>
        <v>Si(440)</v>
      </c>
    </row>
    <row r="28" spans="1:8" x14ac:dyDescent="0.25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 x14ac:dyDescent="0.25">
      <c r="A30" s="18" t="s">
        <v>23</v>
      </c>
      <c r="B30" s="18"/>
      <c r="C30" s="20">
        <f>SIN(RADIANS(C29-C28))/SIN(RADIANS(C29+C28))</f>
        <v>1</v>
      </c>
      <c r="D30" s="20">
        <f t="shared" ref="D30:H30" si="8">SIN(RADIANS(D29-D28))/SIN(RADIANS(D29+D28))</f>
        <v>1.809251476321005</v>
      </c>
      <c r="E30" s="20">
        <v>1</v>
      </c>
      <c r="F30" s="20">
        <v>1</v>
      </c>
      <c r="G30" s="20">
        <f t="shared" si="8"/>
        <v>0.55271476247925178</v>
      </c>
      <c r="H30" s="20">
        <f t="shared" si="8"/>
        <v>1</v>
      </c>
    </row>
    <row r="31" spans="1:8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 x14ac:dyDescent="0.25">
      <c r="A32" s="18" t="s">
        <v>25</v>
      </c>
      <c r="B32" s="18"/>
      <c r="C32" s="20">
        <f>C31/SIN(RADIANS(C29-C28))</f>
        <v>1.8353282787546379</v>
      </c>
      <c r="D32" s="20">
        <f t="shared" ref="D32:H32" si="9"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si="9"/>
        <v>1.4751346505384424</v>
      </c>
      <c r="H32" s="20">
        <f t="shared" si="9"/>
        <v>1.8353282787546381</v>
      </c>
    </row>
    <row r="33" spans="1:8" x14ac:dyDescent="0.25">
      <c r="A33" s="16" t="s">
        <v>26</v>
      </c>
      <c r="B33" s="16"/>
      <c r="C33" s="17">
        <f>C31/C30</f>
        <v>1.25</v>
      </c>
      <c r="D33" s="17">
        <f t="shared" ref="D33:H33" si="10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0"/>
        <v>1.2500000000000002</v>
      </c>
      <c r="H33" s="17">
        <f t="shared" si="10"/>
        <v>1.2500000000000002</v>
      </c>
    </row>
    <row r="34" spans="1:8" x14ac:dyDescent="0.25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 x14ac:dyDescent="0.25">
      <c r="A35" s="16" t="s">
        <v>28</v>
      </c>
      <c r="B35" s="16"/>
      <c r="C35" s="17">
        <f>F22</f>
        <v>3.0803382883566104</v>
      </c>
      <c r="D35" s="17">
        <f>C37</f>
        <v>1.1339495324012774</v>
      </c>
      <c r="E35" s="17">
        <f>D37</f>
        <v>0.8008807659370506</v>
      </c>
      <c r="F35" s="17">
        <f>E37</f>
        <v>-2.6991192340629495</v>
      </c>
      <c r="G35" s="17">
        <f>F37</f>
        <v>-2.564163272359802</v>
      </c>
      <c r="H35" s="17">
        <f t="shared" ref="H35" si="11">G37</f>
        <v>-2.4359551087418119</v>
      </c>
    </row>
    <row r="36" spans="1:8" s="34" customFormat="1" x14ac:dyDescent="0.25">
      <c r="A36" s="30" t="s">
        <v>29</v>
      </c>
      <c r="B36" s="30"/>
      <c r="C36" s="35">
        <f>C35-C37</f>
        <v>1.946388755955333</v>
      </c>
      <c r="D36" s="31">
        <f>D35-D37</f>
        <v>0.33306876646422678</v>
      </c>
      <c r="E36" s="35">
        <v>3.5</v>
      </c>
      <c r="F36" s="35">
        <f t="shared" ref="F36:H36" si="12">F35-F37</f>
        <v>-0.1349559617031475</v>
      </c>
      <c r="G36" s="31">
        <f t="shared" si="12"/>
        <v>-0.12820816361799015</v>
      </c>
      <c r="H36" s="31">
        <f t="shared" si="12"/>
        <v>-0.12179775543709059</v>
      </c>
    </row>
    <row r="37" spans="1:8" x14ac:dyDescent="0.25">
      <c r="A37" s="16" t="s">
        <v>30</v>
      </c>
      <c r="B37" s="16"/>
      <c r="C37" s="17">
        <f>0.95*F22*C34/F19</f>
        <v>1.1339495324012774</v>
      </c>
      <c r="D37" s="17">
        <f>0.95*D35*D34/C34</f>
        <v>0.8008807659370506</v>
      </c>
      <c r="E37" s="17">
        <f>E35-E36</f>
        <v>-2.6991192340629495</v>
      </c>
      <c r="F37" s="17">
        <f>0.95*F35*F34/E34</f>
        <v>-2.564163272359802</v>
      </c>
      <c r="G37" s="17">
        <f>0.95*G35*G34/D34</f>
        <v>-2.4359551087418119</v>
      </c>
      <c r="H37" s="17">
        <f t="shared" ref="H37" si="13">0.95*H35*H34/G34</f>
        <v>-2.3141573533047213</v>
      </c>
    </row>
    <row r="39" spans="1:8" x14ac:dyDescent="0.25">
      <c r="C39" s="9" t="s">
        <v>40</v>
      </c>
      <c r="D39">
        <v>4</v>
      </c>
    </row>
    <row r="40" spans="1:8" x14ac:dyDescent="0.25">
      <c r="C40" s="9" t="s">
        <v>42</v>
      </c>
      <c r="D40" s="7">
        <f>0.95^2*D37*D39/1000/D34</f>
        <v>4.4104960587504155E-2</v>
      </c>
    </row>
    <row r="41" spans="1:8" x14ac:dyDescent="0.25">
      <c r="C41" s="9" t="s">
        <v>43</v>
      </c>
      <c r="D41" s="8">
        <f>D40/1.6E-19/B1</f>
        <v>29074570580308.09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252B-B0F2-439A-A6D4-8EFF7A39CC63}">
  <dimension ref="A1:H43"/>
  <sheetViews>
    <sheetView workbookViewId="0">
      <selection activeCell="E74" sqref="E74"/>
    </sheetView>
  </sheetViews>
  <sheetFormatPr defaultColWidth="11" defaultRowHeight="15.75" x14ac:dyDescent="0.25"/>
  <cols>
    <col min="1" max="1" width="17.375" customWidth="1"/>
    <col min="2" max="2" width="8.375" bestFit="1" customWidth="1"/>
    <col min="3" max="4" width="12.125" bestFit="1" customWidth="1"/>
  </cols>
  <sheetData>
    <row r="1" spans="1:8" ht="18" x14ac:dyDescent="0.25">
      <c r="A1" s="1" t="s">
        <v>0</v>
      </c>
      <c r="B1" s="1">
        <f>9481</f>
        <v>9481</v>
      </c>
      <c r="C1" s="10" t="s">
        <v>1</v>
      </c>
    </row>
    <row r="2" spans="1:8" x14ac:dyDescent="0.25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x14ac:dyDescent="0.25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 x14ac:dyDescent="0.25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7.9472748360726694E-2</v>
      </c>
      <c r="G7" s="3">
        <f>D39/1000</f>
        <v>4.0000000000000001E-3</v>
      </c>
    </row>
    <row r="8" spans="1:8" x14ac:dyDescent="0.25">
      <c r="B8" s="8">
        <v>1E-3</v>
      </c>
    </row>
    <row r="10" spans="1:8" x14ac:dyDescent="0.25">
      <c r="A10" s="6"/>
      <c r="B10" s="6"/>
      <c r="C10" s="46" t="s">
        <v>5</v>
      </c>
      <c r="D10" s="46"/>
      <c r="E10" s="46"/>
      <c r="F10" s="46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43" t="s">
        <v>51</v>
      </c>
      <c r="D12" s="43" t="s">
        <v>53</v>
      </c>
      <c r="E12" s="43" t="str">
        <f>D12</f>
        <v>Si(440)</v>
      </c>
      <c r="F12" s="43" t="str">
        <f>C12</f>
        <v>Si(111)</v>
      </c>
    </row>
    <row r="13" spans="1:8" x14ac:dyDescent="0.25">
      <c r="A13" s="13" t="s">
        <v>20</v>
      </c>
      <c r="B13" s="13"/>
      <c r="C13" s="13">
        <v>9</v>
      </c>
      <c r="D13" s="13">
        <v>5.5</v>
      </c>
      <c r="E13" s="13">
        <f>-D13</f>
        <v>-5.5</v>
      </c>
      <c r="F13" s="13">
        <f>-C13</f>
        <v>-9</v>
      </c>
    </row>
    <row r="14" spans="1:8" x14ac:dyDescent="0.25">
      <c r="A14" s="6" t="s">
        <v>21</v>
      </c>
      <c r="B14" s="6"/>
      <c r="C14" s="11">
        <v>12.042999999999999</v>
      </c>
      <c r="D14" s="11">
        <v>42.927999999999997</v>
      </c>
      <c r="E14" s="11">
        <f>D14</f>
        <v>42.927999999999997</v>
      </c>
      <c r="F14" s="11">
        <f>C14</f>
        <v>12.042999999999999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0.81238570760926454</v>
      </c>
      <c r="E15" s="14">
        <f t="shared" si="0"/>
        <v>1.2309423844282756</v>
      </c>
      <c r="F15" s="14">
        <f t="shared" si="0"/>
        <v>6.7639777120843556</v>
      </c>
      <c r="H15" s="33">
        <f>D6+E6+C21+D21+E21+F21+C36+D36+G36+H36+H37</f>
        <v>49.97763870541138</v>
      </c>
    </row>
    <row r="16" spans="1:8" x14ac:dyDescent="0.25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10.903862816053016</v>
      </c>
      <c r="F16" s="11">
        <f>E18</f>
        <v>8.8581423094935765</v>
      </c>
    </row>
    <row r="17" spans="1:8" x14ac:dyDescent="0.25">
      <c r="A17" s="13" t="s">
        <v>25</v>
      </c>
      <c r="B17" s="13"/>
      <c r="C17" s="14">
        <v>24.669784419999999</v>
      </c>
      <c r="D17" s="14">
        <f t="shared" ref="D17:F17" si="1">D16/SIN(RADIANS(D14-D13))</f>
        <v>14.574970605048016</v>
      </c>
      <c r="E17" s="14">
        <f t="shared" si="1"/>
        <v>14.574970605048016</v>
      </c>
      <c r="F17" s="14">
        <f t="shared" si="1"/>
        <v>24.669784419999996</v>
      </c>
    </row>
    <row r="18" spans="1:8" x14ac:dyDescent="0.25">
      <c r="A18" s="6" t="s">
        <v>26</v>
      </c>
      <c r="B18" s="6"/>
      <c r="C18" s="11">
        <f>C16/C15</f>
        <v>8.8581423094935765</v>
      </c>
      <c r="D18" s="11">
        <f t="shared" ref="D18:F18" si="2">D16/D15</f>
        <v>10.903862816053016</v>
      </c>
      <c r="E18" s="11">
        <f t="shared" si="2"/>
        <v>8.8581423094935765</v>
      </c>
      <c r="F18" s="11">
        <f t="shared" si="2"/>
        <v>1.3096054846052845</v>
      </c>
    </row>
    <row r="19" spans="1:8" x14ac:dyDescent="0.25">
      <c r="A19" s="13" t="s">
        <v>27</v>
      </c>
      <c r="B19" s="13"/>
      <c r="C19" s="14">
        <f>$B$1*0.00011/SQRT(C15)</f>
        <v>2.7123636510847517</v>
      </c>
      <c r="D19" s="15">
        <f>MIN($B$1*0.0000093/SQRT(D15),C19)</f>
        <v>9.7826374364221258E-2</v>
      </c>
      <c r="E19" s="15">
        <f>MIN($B$1*0.0000093/SQRT(E15),D19)</f>
        <v>7.9472748360726694E-2</v>
      </c>
      <c r="F19" s="15">
        <f>MIN($B$1*0.00011/SQRT(F15),E19)</f>
        <v>7.9472748360726694E-2</v>
      </c>
    </row>
    <row r="20" spans="1:8" x14ac:dyDescent="0.25">
      <c r="A20" s="6" t="s">
        <v>28</v>
      </c>
      <c r="B20" s="6"/>
      <c r="C20" s="11">
        <f>F5</f>
        <v>45.125</v>
      </c>
      <c r="D20" s="11">
        <f>C22</f>
        <v>12.264069113747437</v>
      </c>
      <c r="E20" s="11">
        <f t="shared" ref="E20:F20" si="3">D22</f>
        <v>0.4202098583192595</v>
      </c>
      <c r="F20" s="11">
        <f t="shared" si="3"/>
        <v>0.32430385894032632</v>
      </c>
    </row>
    <row r="21" spans="1:8" x14ac:dyDescent="0.25">
      <c r="A21" s="27" t="s">
        <v>29</v>
      </c>
      <c r="B21" s="27"/>
      <c r="C21" s="28">
        <f>C20-C22</f>
        <v>32.860930886252561</v>
      </c>
      <c r="D21" s="28">
        <f>D20-D22</f>
        <v>11.843859255428178</v>
      </c>
      <c r="E21" s="29">
        <f t="shared" ref="E21:F21" si="4">E20-E22</f>
        <v>9.5905999378933182E-2</v>
      </c>
      <c r="F21" s="29">
        <f t="shared" si="4"/>
        <v>1.6215192947016344E-2</v>
      </c>
    </row>
    <row r="22" spans="1:8" x14ac:dyDescent="0.25">
      <c r="A22" s="6" t="s">
        <v>30</v>
      </c>
      <c r="B22" s="6"/>
      <c r="C22" s="11">
        <f>0.95*C20*C19/E7</f>
        <v>12.264069113747437</v>
      </c>
      <c r="D22" s="11">
        <f>0.95*D20*D19/C19</f>
        <v>0.4202098583192595</v>
      </c>
      <c r="E22" s="11">
        <f t="shared" ref="E22:F22" si="5">0.95*E20*E19/D19</f>
        <v>0.32430385894032632</v>
      </c>
      <c r="F22" s="11">
        <f t="shared" si="5"/>
        <v>0.30808866599330997</v>
      </c>
    </row>
    <row r="25" spans="1:8" x14ac:dyDescent="0.25">
      <c r="A25" s="16"/>
      <c r="B25" s="16"/>
      <c r="C25" s="47" t="s">
        <v>31</v>
      </c>
      <c r="D25" s="47"/>
      <c r="E25" s="47"/>
      <c r="F25" s="47"/>
    </row>
    <row r="26" spans="1:8" x14ac:dyDescent="0.25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 x14ac:dyDescent="0.25">
      <c r="A27" s="16" t="s">
        <v>17</v>
      </c>
      <c r="B27" s="16"/>
      <c r="C27" s="42" t="s">
        <v>38</v>
      </c>
      <c r="D27" s="42" t="str">
        <f>C27</f>
        <v>Si(440)</v>
      </c>
      <c r="E27" s="42"/>
      <c r="F27" s="42"/>
      <c r="G27" s="42" t="str">
        <f>D27</f>
        <v>Si(440)</v>
      </c>
      <c r="H27" s="42" t="str">
        <f t="shared" ref="H27" si="6">G27</f>
        <v>Si(440)</v>
      </c>
    </row>
    <row r="28" spans="1:8" x14ac:dyDescent="0.25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 x14ac:dyDescent="0.25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 x14ac:dyDescent="0.25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 x14ac:dyDescent="0.25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 x14ac:dyDescent="0.25">
      <c r="A34" s="18" t="s">
        <v>27</v>
      </c>
      <c r="B34" s="18"/>
      <c r="C34" s="21">
        <f>MIN($B$1*0.0000093/SQRT(C30),F19)</f>
        <v>7.9472748360726694E-2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 x14ac:dyDescent="0.25">
      <c r="A35" s="16" t="s">
        <v>28</v>
      </c>
      <c r="B35" s="16"/>
      <c r="C35" s="17">
        <f>F22</f>
        <v>0.30808866599330997</v>
      </c>
      <c r="D35" s="17">
        <f>C37</f>
        <v>0.29268423269364446</v>
      </c>
      <c r="E35" s="17">
        <f>D37</f>
        <v>0.22934661116534152</v>
      </c>
      <c r="F35" s="17">
        <f>E37</f>
        <v>0.21787928060707443</v>
      </c>
      <c r="G35" s="17">
        <f>F37</f>
        <v>0.2069853165767207</v>
      </c>
      <c r="H35" s="17">
        <f t="shared" ref="H35" si="12">G37</f>
        <v>0.19663605074788465</v>
      </c>
    </row>
    <row r="36" spans="1:8" x14ac:dyDescent="0.25">
      <c r="A36" s="30" t="s">
        <v>29</v>
      </c>
      <c r="B36" s="30"/>
      <c r="C36" s="31">
        <f>C35-C37</f>
        <v>1.540443329966551E-2</v>
      </c>
      <c r="D36" s="31">
        <f>D35-D37</f>
        <v>6.333762152830294E-2</v>
      </c>
      <c r="E36" s="31">
        <v>0.28000000000000003</v>
      </c>
      <c r="F36" s="31">
        <f t="shared" ref="F36:H36" si="13">F35-F37</f>
        <v>1.0893964030353726E-2</v>
      </c>
      <c r="G36" s="31">
        <f t="shared" si="13"/>
        <v>1.0349265828836052E-2</v>
      </c>
      <c r="H36" s="31">
        <f t="shared" si="13"/>
        <v>9.8318025373942408E-3</v>
      </c>
    </row>
    <row r="37" spans="1:8" x14ac:dyDescent="0.25">
      <c r="A37" s="16" t="s">
        <v>30</v>
      </c>
      <c r="B37" s="16"/>
      <c r="C37" s="17">
        <f>0.95*C35*C34/F19</f>
        <v>0.29268423269364446</v>
      </c>
      <c r="D37" s="17">
        <f>0.95*D35*D34/C34</f>
        <v>0.22934661116534152</v>
      </c>
      <c r="E37" s="17">
        <f>0.95*E35*E34/D34</f>
        <v>0.21787928060707443</v>
      </c>
      <c r="F37" s="17">
        <f>0.95*F35*F34/E34</f>
        <v>0.2069853165767207</v>
      </c>
      <c r="G37" s="17">
        <f>0.95*G35*G34/D34</f>
        <v>0.19663605074788465</v>
      </c>
      <c r="H37" s="17">
        <f t="shared" ref="H37" si="14">0.95*H35*H34/G34</f>
        <v>0.18680424821049041</v>
      </c>
    </row>
    <row r="39" spans="1:8" x14ac:dyDescent="0.25">
      <c r="C39" s="9" t="s">
        <v>40</v>
      </c>
      <c r="D39">
        <v>4</v>
      </c>
    </row>
    <row r="40" spans="1:8" x14ac:dyDescent="0.25">
      <c r="C40" s="9" t="s">
        <v>42</v>
      </c>
      <c r="D40" s="7">
        <f>0.95^2*D37*D39/1000/D34</f>
        <v>1.2630248691875933E-2</v>
      </c>
      <c r="F40" s="7"/>
    </row>
    <row r="41" spans="1:8" x14ac:dyDescent="0.25">
      <c r="C41" s="9" t="s">
        <v>43</v>
      </c>
      <c r="D41" s="8">
        <f>D40/1.6E-19/$B$1</f>
        <v>8326026191775.6133</v>
      </c>
      <c r="F41" s="8"/>
    </row>
    <row r="43" spans="1:8" x14ac:dyDescent="0.25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F116-EFD8-4336-9150-D74CBB2F085F}">
  <dimension ref="A1:I44"/>
  <sheetViews>
    <sheetView workbookViewId="0">
      <selection activeCell="C22" sqref="C22"/>
    </sheetView>
  </sheetViews>
  <sheetFormatPr defaultColWidth="11" defaultRowHeight="15.75" x14ac:dyDescent="0.25"/>
  <cols>
    <col min="1" max="1" width="17.375" customWidth="1"/>
    <col min="2" max="2" width="8.375" bestFit="1" customWidth="1"/>
    <col min="3" max="4" width="12.125" bestFit="1" customWidth="1"/>
    <col min="9" max="9" width="12.75" bestFit="1" customWidth="1"/>
  </cols>
  <sheetData>
    <row r="1" spans="1:8" ht="18" x14ac:dyDescent="0.25">
      <c r="A1" s="1" t="s">
        <v>0</v>
      </c>
      <c r="B1" s="1">
        <f>9481</f>
        <v>9481</v>
      </c>
      <c r="C1" s="10" t="s">
        <v>1</v>
      </c>
    </row>
    <row r="2" spans="1:8" x14ac:dyDescent="0.25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x14ac:dyDescent="0.25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 x14ac:dyDescent="0.25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0.107</v>
      </c>
      <c r="G7" s="3">
        <f>D40/1000</f>
        <v>4.0000000000000001E-3</v>
      </c>
    </row>
    <row r="8" spans="1:8" x14ac:dyDescent="0.25">
      <c r="B8" s="8">
        <v>1E-3</v>
      </c>
    </row>
    <row r="10" spans="1:8" x14ac:dyDescent="0.25">
      <c r="A10" s="6"/>
      <c r="B10" s="6"/>
      <c r="C10" s="46" t="s">
        <v>5</v>
      </c>
      <c r="D10" s="46"/>
      <c r="E10" s="46"/>
      <c r="F10" s="46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43" t="s">
        <v>51</v>
      </c>
      <c r="D12" s="43" t="str">
        <f>C12</f>
        <v>Si(111)</v>
      </c>
      <c r="E12" s="43" t="s">
        <v>53</v>
      </c>
      <c r="F12" s="43" t="str">
        <f>E12</f>
        <v>Si(440)</v>
      </c>
    </row>
    <row r="13" spans="1:8" x14ac:dyDescent="0.25">
      <c r="A13" s="13" t="s">
        <v>20</v>
      </c>
      <c r="B13" s="13"/>
      <c r="C13" s="13">
        <v>9</v>
      </c>
      <c r="D13" s="13">
        <f>-C13</f>
        <v>-9</v>
      </c>
      <c r="E13" s="13">
        <v>5.5</v>
      </c>
      <c r="F13" s="13">
        <f>-E13</f>
        <v>-5.5</v>
      </c>
    </row>
    <row r="14" spans="1:8" x14ac:dyDescent="0.25">
      <c r="A14" s="6" t="s">
        <v>21</v>
      </c>
      <c r="B14" s="6"/>
      <c r="C14" s="11">
        <v>12.042999999999999</v>
      </c>
      <c r="D14" s="11">
        <f>C14</f>
        <v>12.042999999999999</v>
      </c>
      <c r="E14" s="11">
        <v>42.93</v>
      </c>
      <c r="F14" s="11">
        <f>E14</f>
        <v>42.93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6.7639777120843556</v>
      </c>
      <c r="E15" s="14">
        <f t="shared" si="0"/>
        <v>0.81239760762072533</v>
      </c>
      <c r="F15" s="14">
        <f t="shared" si="0"/>
        <v>1.2309243535671002</v>
      </c>
      <c r="H15" s="33">
        <f>D6+E6+C21+D21+E21+F21+C37+D37+G37+H37+H38</f>
        <v>49.97763870541138</v>
      </c>
    </row>
    <row r="16" spans="1:8" x14ac:dyDescent="0.25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1.3096054846052845</v>
      </c>
      <c r="F16" s="11">
        <f>E18</f>
        <v>1.6120252845656888</v>
      </c>
    </row>
    <row r="17" spans="1:9" x14ac:dyDescent="0.25">
      <c r="A17" s="13" t="s">
        <v>25</v>
      </c>
      <c r="B17" s="13"/>
      <c r="C17" s="14">
        <v>24.669784419999999</v>
      </c>
      <c r="D17" s="14">
        <f t="shared" ref="D17:F17" si="1">D16/SIN(RADIANS(D14-D13))</f>
        <v>24.669784419999996</v>
      </c>
      <c r="E17" s="14">
        <f t="shared" si="1"/>
        <v>2.1546945457960813</v>
      </c>
      <c r="F17" s="14">
        <f t="shared" si="1"/>
        <v>2.1546945457960813</v>
      </c>
    </row>
    <row r="18" spans="1:9" x14ac:dyDescent="0.25">
      <c r="A18" s="6" t="s">
        <v>26</v>
      </c>
      <c r="B18" s="6"/>
      <c r="C18" s="11">
        <f>C16/C15</f>
        <v>8.8581423094935765</v>
      </c>
      <c r="D18" s="11">
        <f t="shared" ref="D18:F18" si="2">D16/D15</f>
        <v>1.3096054846052845</v>
      </c>
      <c r="E18" s="11">
        <f t="shared" si="2"/>
        <v>1.6120252845656888</v>
      </c>
      <c r="F18" s="11">
        <f t="shared" si="2"/>
        <v>1.3096054846052845</v>
      </c>
    </row>
    <row r="19" spans="1:9" x14ac:dyDescent="0.25">
      <c r="A19" s="13" t="s">
        <v>27</v>
      </c>
      <c r="B19" s="13"/>
      <c r="C19" s="14">
        <v>3.3530000000000002</v>
      </c>
      <c r="D19" s="15">
        <v>3.2509999999999999</v>
      </c>
      <c r="E19" s="15">
        <v>0.107</v>
      </c>
      <c r="F19" s="15">
        <v>0.107</v>
      </c>
    </row>
    <row r="20" spans="1:9" x14ac:dyDescent="0.25">
      <c r="A20" s="6" t="s">
        <v>28</v>
      </c>
      <c r="B20" s="6"/>
      <c r="C20" s="11">
        <f>F5</f>
        <v>45.125</v>
      </c>
      <c r="D20" s="11">
        <f>C22</f>
        <v>15.160733967935872</v>
      </c>
      <c r="E20" s="11">
        <f t="shared" ref="E20:F20" si="3">D22</f>
        <v>13.964559744488977</v>
      </c>
      <c r="F20" s="11">
        <f t="shared" si="3"/>
        <v>0.43663411197394786</v>
      </c>
      <c r="I20">
        <f xml:space="preserve"> 0.00011 /0.0000093</f>
        <v>11.827956989247312</v>
      </c>
    </row>
    <row r="21" spans="1:9" x14ac:dyDescent="0.25">
      <c r="A21" s="27" t="s">
        <v>29</v>
      </c>
      <c r="B21" s="27"/>
      <c r="C21" s="28">
        <f>C20-C22</f>
        <v>29.964266032064128</v>
      </c>
      <c r="D21" s="28">
        <f>D20-D22</f>
        <v>1.1961742234468957</v>
      </c>
      <c r="E21" s="29">
        <f t="shared" ref="E21:F21" si="4">E20-E22</f>
        <v>13.527925632515029</v>
      </c>
      <c r="F21" s="29">
        <f t="shared" si="4"/>
        <v>2.1831705598697404E-2</v>
      </c>
    </row>
    <row r="22" spans="1:9" x14ac:dyDescent="0.25">
      <c r="A22" s="6" t="s">
        <v>30</v>
      </c>
      <c r="B22" s="6"/>
      <c r="C22" s="11">
        <f>0.95*C20*C19/E7</f>
        <v>15.160733967935872</v>
      </c>
      <c r="D22" s="11">
        <f>0.95*D20*D19/C19</f>
        <v>13.964559744488977</v>
      </c>
      <c r="E22" s="11">
        <f t="shared" ref="E22:F22" si="5">0.95*E20*E19/D19</f>
        <v>0.43663411197394786</v>
      </c>
      <c r="F22" s="11">
        <f t="shared" si="5"/>
        <v>0.41480240637525045</v>
      </c>
      <c r="I22">
        <f>C23/E23</f>
        <v>3.9677836197446896</v>
      </c>
    </row>
    <row r="23" spans="1:9" x14ac:dyDescent="0.25">
      <c r="A23" s="6" t="s">
        <v>55</v>
      </c>
      <c r="B23" s="6"/>
      <c r="C23" s="11">
        <f>0.00556122792263178*1000</f>
        <v>5.5612279226317805</v>
      </c>
      <c r="D23" s="11">
        <f>C23</f>
        <v>5.5612279226317805</v>
      </c>
      <c r="E23" s="11">
        <f>0.00140159556457608*1000</f>
        <v>1.40159556457608</v>
      </c>
      <c r="F23" s="11">
        <f>E23</f>
        <v>1.40159556457608</v>
      </c>
    </row>
    <row r="26" spans="1:9" x14ac:dyDescent="0.25">
      <c r="A26" s="16"/>
      <c r="B26" s="16"/>
      <c r="C26" s="47" t="s">
        <v>31</v>
      </c>
      <c r="D26" s="47"/>
      <c r="E26" s="47"/>
      <c r="F26" s="47"/>
    </row>
    <row r="27" spans="1:9" x14ac:dyDescent="0.25">
      <c r="A27" s="18"/>
      <c r="B27" s="18"/>
      <c r="C27" s="19" t="s">
        <v>32</v>
      </c>
      <c r="D27" s="19" t="s">
        <v>33</v>
      </c>
      <c r="E27" s="19" t="s">
        <v>34</v>
      </c>
      <c r="F27" s="19" t="s">
        <v>35</v>
      </c>
      <c r="G27" s="19" t="s">
        <v>36</v>
      </c>
      <c r="H27" s="19" t="s">
        <v>37</v>
      </c>
    </row>
    <row r="28" spans="1:9" x14ac:dyDescent="0.25">
      <c r="A28" s="16" t="s">
        <v>17</v>
      </c>
      <c r="B28" s="16"/>
      <c r="C28" s="42" t="s">
        <v>38</v>
      </c>
      <c r="D28" s="42" t="str">
        <f>C28</f>
        <v>Si(440)</v>
      </c>
      <c r="E28" s="42"/>
      <c r="F28" s="42"/>
      <c r="G28" s="42" t="str">
        <f>D28</f>
        <v>Si(440)</v>
      </c>
      <c r="H28" s="42" t="str">
        <f t="shared" ref="H28" si="6">G28</f>
        <v>Si(440)</v>
      </c>
    </row>
    <row r="29" spans="1:9" x14ac:dyDescent="0.25">
      <c r="A29" s="18" t="s">
        <v>20</v>
      </c>
      <c r="B29" s="18"/>
      <c r="C29" s="18">
        <v>0</v>
      </c>
      <c r="D29" s="18">
        <v>-15</v>
      </c>
      <c r="E29" s="36" t="s">
        <v>39</v>
      </c>
      <c r="F29" s="37" t="s">
        <v>39</v>
      </c>
      <c r="G29" s="18">
        <f>-D29</f>
        <v>15</v>
      </c>
      <c r="H29" s="18">
        <v>0</v>
      </c>
    </row>
    <row r="30" spans="1:9" x14ac:dyDescent="0.25">
      <c r="A30" s="16" t="s">
        <v>21</v>
      </c>
      <c r="B30" s="16"/>
      <c r="C30" s="17">
        <f>DEGREES(ASIN(12398/$B$1/0.96/2))</f>
        <v>42.927866251322122</v>
      </c>
      <c r="D30" s="17">
        <f t="shared" ref="D30:H30" si="7">DEGREES(ASIN(12398/$B$1/0.96/2))</f>
        <v>42.927866251322122</v>
      </c>
      <c r="E30" s="38">
        <v>2.65</v>
      </c>
      <c r="F30" s="39">
        <v>2.65</v>
      </c>
      <c r="G30" s="17">
        <f t="shared" si="7"/>
        <v>42.927866251322122</v>
      </c>
      <c r="H30" s="17">
        <f t="shared" si="7"/>
        <v>42.927866251322122</v>
      </c>
    </row>
    <row r="31" spans="1:9" x14ac:dyDescent="0.25">
      <c r="A31" s="18" t="s">
        <v>23</v>
      </c>
      <c r="B31" s="18"/>
      <c r="C31" s="20">
        <f>SIN(RADIANS(C30-C29))/SIN(RADIANS(C30+C29))</f>
        <v>1</v>
      </c>
      <c r="D31" s="20">
        <f t="shared" ref="D31" si="8">SIN(RADIANS(D30-D29))/SIN(RADIANS(D30+D29))</f>
        <v>1.809251476321005</v>
      </c>
      <c r="E31" s="20">
        <v>1</v>
      </c>
      <c r="F31" s="20">
        <v>1</v>
      </c>
      <c r="G31" s="20">
        <f t="shared" ref="G31:H31" si="9">SIN(RADIANS(G30-G29))/SIN(RADIANS(G30+G29))</f>
        <v>0.55271476247925178</v>
      </c>
      <c r="H31" s="20">
        <f t="shared" si="9"/>
        <v>1</v>
      </c>
    </row>
    <row r="32" spans="1:9" x14ac:dyDescent="0.25">
      <c r="A32" s="16" t="s">
        <v>24</v>
      </c>
      <c r="B32" s="16"/>
      <c r="C32" s="17">
        <f>G4</f>
        <v>1.25</v>
      </c>
      <c r="D32" s="17">
        <f>C34</f>
        <v>1.25</v>
      </c>
      <c r="E32" s="17">
        <f>D34</f>
        <v>0.6908934530990648</v>
      </c>
      <c r="F32" s="17">
        <f>E34</f>
        <v>0.6908934530990648</v>
      </c>
      <c r="G32" s="17">
        <f>D34</f>
        <v>0.6908934530990648</v>
      </c>
      <c r="H32" s="17">
        <f>G34</f>
        <v>1.2500000000000002</v>
      </c>
    </row>
    <row r="33" spans="1:8" x14ac:dyDescent="0.25">
      <c r="A33" s="18" t="s">
        <v>25</v>
      </c>
      <c r="B33" s="18"/>
      <c r="C33" s="20">
        <f>C32/SIN(RADIANS(C30-C29))</f>
        <v>1.8353282787546379</v>
      </c>
      <c r="D33" s="20">
        <f>D32/SIN(RADIANS(D30-D29))</f>
        <v>1.4751346505384422</v>
      </c>
      <c r="E33" s="20">
        <f>E32*1000/E30</f>
        <v>260.71451060342071</v>
      </c>
      <c r="F33" s="20">
        <f>F32*1000/F30</f>
        <v>260.71451060342071</v>
      </c>
      <c r="G33" s="20">
        <f t="shared" ref="G33:H33" si="10">G32/SIN(RADIANS(G30-G29))</f>
        <v>1.4751346505384424</v>
      </c>
      <c r="H33" s="20">
        <f t="shared" si="10"/>
        <v>1.8353282787546381</v>
      </c>
    </row>
    <row r="34" spans="1:8" x14ac:dyDescent="0.25">
      <c r="A34" s="16" t="s">
        <v>26</v>
      </c>
      <c r="B34" s="16"/>
      <c r="C34" s="17">
        <f>C32/C31</f>
        <v>1.25</v>
      </c>
      <c r="D34" s="17">
        <f t="shared" ref="D34:H34" si="11">D32/D31</f>
        <v>0.6908934530990648</v>
      </c>
      <c r="E34" s="17">
        <f>E32</f>
        <v>0.6908934530990648</v>
      </c>
      <c r="F34" s="17">
        <f>F32</f>
        <v>0.6908934530990648</v>
      </c>
      <c r="G34" s="17">
        <f t="shared" si="11"/>
        <v>1.2500000000000002</v>
      </c>
      <c r="H34" s="17">
        <f t="shared" si="11"/>
        <v>1.2500000000000002</v>
      </c>
    </row>
    <row r="35" spans="1:8" x14ac:dyDescent="0.25">
      <c r="A35" s="18" t="s">
        <v>27</v>
      </c>
      <c r="B35" s="18"/>
      <c r="C35" s="21">
        <f>MIN($B$1*0.0000093/SQRT(C31),F19)</f>
        <v>8.817330000000001E-2</v>
      </c>
      <c r="D35" s="21">
        <f>MIN($B$1*0.0000093/SQRT(D31),C35)</f>
        <v>6.555225368123066E-2</v>
      </c>
      <c r="E35" s="21">
        <f>D35</f>
        <v>6.555225368123066E-2</v>
      </c>
      <c r="F35" s="21">
        <f>E35</f>
        <v>6.555225368123066E-2</v>
      </c>
      <c r="G35" s="21">
        <f>MIN($B$1*0.0000093/SQRT(G31),D35)</f>
        <v>6.555225368123066E-2</v>
      </c>
      <c r="H35" s="21">
        <f>MIN($B$1*0.0000093/SQRT(H31),G35)</f>
        <v>6.555225368123066E-2</v>
      </c>
    </row>
    <row r="36" spans="1:8" x14ac:dyDescent="0.25">
      <c r="A36" s="16" t="s">
        <v>28</v>
      </c>
      <c r="B36" s="16"/>
      <c r="C36" s="17">
        <f>F22</f>
        <v>0.41480240637525045</v>
      </c>
      <c r="D36" s="17">
        <f>C38</f>
        <v>0.32472684268359375</v>
      </c>
      <c r="E36" s="17">
        <f>D38</f>
        <v>0.22934661116534161</v>
      </c>
      <c r="F36" s="17">
        <f>E38</f>
        <v>0.21787928060707451</v>
      </c>
      <c r="G36" s="17">
        <f>F38</f>
        <v>0.20698531657672078</v>
      </c>
      <c r="H36" s="17">
        <f t="shared" ref="H36" si="12">G38</f>
        <v>0.19663605074788473</v>
      </c>
    </row>
    <row r="37" spans="1:8" x14ac:dyDescent="0.25">
      <c r="A37" s="30" t="s">
        <v>29</v>
      </c>
      <c r="B37" s="30"/>
      <c r="C37" s="31">
        <f>C36-C38</f>
        <v>9.0075563691656702E-2</v>
      </c>
      <c r="D37" s="31">
        <f>D36-D38</f>
        <v>9.5380231518252145E-2</v>
      </c>
      <c r="E37" s="31">
        <v>0.28000000000000003</v>
      </c>
      <c r="F37" s="31">
        <f t="shared" ref="F37:H37" si="13">F36-F38</f>
        <v>1.0893964030353726E-2</v>
      </c>
      <c r="G37" s="31">
        <f t="shared" si="13"/>
        <v>1.0349265828836052E-2</v>
      </c>
      <c r="H37" s="31">
        <f t="shared" si="13"/>
        <v>9.8318025373942408E-3</v>
      </c>
    </row>
    <row r="38" spans="1:8" x14ac:dyDescent="0.25">
      <c r="A38" s="16" t="s">
        <v>30</v>
      </c>
      <c r="B38" s="16"/>
      <c r="C38" s="17">
        <f>0.95*C36*C35/F19</f>
        <v>0.32472684268359375</v>
      </c>
      <c r="D38" s="17">
        <f>0.95*D36*D35/C35</f>
        <v>0.22934661116534161</v>
      </c>
      <c r="E38" s="17">
        <f>0.95*E36*E35/D35</f>
        <v>0.21787928060707451</v>
      </c>
      <c r="F38" s="17">
        <f>0.95*F36*F35/E35</f>
        <v>0.20698531657672078</v>
      </c>
      <c r="G38" s="17">
        <f>0.95*G36*G35/D35</f>
        <v>0.19663605074788473</v>
      </c>
      <c r="H38" s="17">
        <f t="shared" ref="H38" si="14">0.95*H36*H35/G35</f>
        <v>0.18680424821049049</v>
      </c>
    </row>
    <row r="40" spans="1:8" x14ac:dyDescent="0.25">
      <c r="C40" s="9" t="s">
        <v>40</v>
      </c>
      <c r="D40">
        <v>4</v>
      </c>
    </row>
    <row r="41" spans="1:8" x14ac:dyDescent="0.25">
      <c r="C41" s="9" t="s">
        <v>42</v>
      </c>
      <c r="D41" s="7">
        <f>0.95^2*D38*D40/1000/D35</f>
        <v>1.2630248691875937E-2</v>
      </c>
      <c r="F41" s="7"/>
    </row>
    <row r="42" spans="1:8" x14ac:dyDescent="0.25">
      <c r="C42" s="9" t="s">
        <v>43</v>
      </c>
      <c r="D42" s="8">
        <f>D41/1.6E-19/$B$1</f>
        <v>8326026191775.6152</v>
      </c>
      <c r="F42" s="8"/>
    </row>
    <row r="44" spans="1:8" x14ac:dyDescent="0.25">
      <c r="C44" s="9" t="s">
        <v>44</v>
      </c>
      <c r="D44">
        <v>2.25</v>
      </c>
    </row>
  </sheetData>
  <mergeCells count="3">
    <mergeCell ref="F6:G6"/>
    <mergeCell ref="C10:F10"/>
    <mergeCell ref="C26:F2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SASE-HHLM-66meV</vt:lpstr>
      <vt:lpstr>SASE-HHLM-36meV</vt:lpstr>
      <vt:lpstr>HXRSS-HHLM-66meV</vt:lpstr>
      <vt:lpstr>HXRSS-HHLM-36meV</vt:lpstr>
      <vt:lpstr>Option-1</vt:lpstr>
      <vt:lpstr>SASE-111-220</vt:lpstr>
      <vt:lpstr>Option-2</vt:lpstr>
      <vt:lpstr>zig-zag_power_calc</vt:lpstr>
      <vt:lpstr>2DCM-111-440</vt:lpstr>
      <vt:lpstr>2DCM-111-333</vt:lpstr>
      <vt:lpstr>bw 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Yavas, Hasan</dc:creator>
  <cp:keywords/>
  <dc:description/>
  <cp:lastModifiedBy>Nan Wang</cp:lastModifiedBy>
  <cp:revision/>
  <dcterms:created xsi:type="dcterms:W3CDTF">2021-05-12T18:04:16Z</dcterms:created>
  <dcterms:modified xsi:type="dcterms:W3CDTF">2021-07-09T13:46:43Z</dcterms:modified>
  <cp:category/>
  <cp:contentStatus/>
</cp:coreProperties>
</file>