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nw0\GoogleDrive\SLAC\SLAC-Diling\11. 21 Winter\DXS optics\"/>
    </mc:Choice>
  </mc:AlternateContent>
  <xr:revisionPtr revIDLastSave="0" documentId="13_ncr:1_{B963B881-01B5-458B-93A3-116B589A23E8}" xr6:coauthVersionLast="46" xr6:coauthVersionMax="46" xr10:uidLastSave="{00000000-0000-0000-0000-000000000000}"/>
  <bookViews>
    <workbookView xWindow="240" yWindow="720" windowWidth="25485" windowHeight="20040" xr2:uid="{00000000-000D-0000-FFFF-FFFF00000000}"/>
  </bookViews>
  <sheets>
    <sheet name="9481" sheetId="1" r:id="rId1"/>
    <sheet name="9481 redu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N21" i="1" s="1"/>
  <c r="J21" i="2"/>
  <c r="I8" i="2"/>
  <c r="V22" i="2"/>
  <c r="R22" i="2"/>
  <c r="P22" i="2"/>
  <c r="L22" i="2"/>
  <c r="N22" i="2" s="1"/>
  <c r="D22" i="2"/>
  <c r="B22" i="2"/>
  <c r="B21" i="2"/>
  <c r="D18" i="2"/>
  <c r="F18" i="2" s="1"/>
  <c r="C18" i="2"/>
  <c r="B18" i="2"/>
  <c r="C17" i="2"/>
  <c r="B17" i="2"/>
  <c r="B8" i="2"/>
  <c r="C19" i="2" s="1"/>
  <c r="B7" i="2"/>
  <c r="B19" i="2" s="1"/>
  <c r="N5" i="2"/>
  <c r="Q3" i="2" s="1"/>
  <c r="F5" i="2"/>
  <c r="I3" i="2" s="1"/>
  <c r="N4" i="2"/>
  <c r="Q2" i="2" s="1"/>
  <c r="F4" i="2"/>
  <c r="I2" i="2" s="1"/>
  <c r="L22" i="1"/>
  <c r="V17" i="1"/>
  <c r="N17" i="1"/>
  <c r="J17" i="1"/>
  <c r="I8" i="1"/>
  <c r="B22" i="1"/>
  <c r="D22" i="1" s="1"/>
  <c r="F5" i="1"/>
  <c r="I3" i="1" s="1"/>
  <c r="N5" i="1"/>
  <c r="Q3" i="1" s="1"/>
  <c r="N4" i="1"/>
  <c r="Q2" i="1" s="1"/>
  <c r="F4" i="1"/>
  <c r="I2" i="1" s="1"/>
  <c r="B8" i="1"/>
  <c r="C19" i="1" s="1"/>
  <c r="B21" i="1"/>
  <c r="B18" i="1"/>
  <c r="D18" i="1" s="1"/>
  <c r="F18" i="1" s="1"/>
  <c r="B17" i="1"/>
  <c r="B7" i="1"/>
  <c r="B19" i="1" s="1"/>
  <c r="L21" i="1" l="1"/>
  <c r="B9" i="2"/>
  <c r="B20" i="2" s="1"/>
  <c r="I4" i="2"/>
  <c r="D19" i="2" s="1"/>
  <c r="Q4" i="2"/>
  <c r="T22" i="2"/>
  <c r="X22" i="2" s="1"/>
  <c r="H18" i="2"/>
  <c r="D21" i="2"/>
  <c r="D17" i="2"/>
  <c r="F22" i="2"/>
  <c r="H22" i="2" s="1"/>
  <c r="J22" i="2" s="1"/>
  <c r="B14" i="2"/>
  <c r="B23" i="2" s="1"/>
  <c r="Q4" i="1"/>
  <c r="F22" i="1"/>
  <c r="G18" i="1" s="1"/>
  <c r="D21" i="1"/>
  <c r="D17" i="1"/>
  <c r="H18" i="1"/>
  <c r="I4" i="1"/>
  <c r="D19" i="1" s="1"/>
  <c r="E18" i="1"/>
  <c r="C18" i="1"/>
  <c r="C17" i="1"/>
  <c r="B9" i="1"/>
  <c r="B20" i="1" s="1"/>
  <c r="B14" i="1"/>
  <c r="B23" i="1" s="1"/>
  <c r="B24" i="1" s="1"/>
  <c r="B25" i="1" s="1"/>
  <c r="D23" i="2" l="1"/>
  <c r="F23" i="2" s="1"/>
  <c r="H23" i="2" s="1"/>
  <c r="J23" i="2" s="1"/>
  <c r="L23" i="2" s="1"/>
  <c r="N23" i="2" s="1"/>
  <c r="P23" i="2" s="1"/>
  <c r="R23" i="2" s="1"/>
  <c r="T23" i="2" s="1"/>
  <c r="V23" i="2" s="1"/>
  <c r="X23" i="2" s="1"/>
  <c r="E18" i="2"/>
  <c r="G18" i="2"/>
  <c r="B10" i="2"/>
  <c r="C20" i="2" s="1"/>
  <c r="J18" i="2"/>
  <c r="I18" i="2"/>
  <c r="F19" i="2"/>
  <c r="F17" i="2"/>
  <c r="E17" i="2"/>
  <c r="D24" i="2"/>
  <c r="F21" i="2"/>
  <c r="B24" i="2"/>
  <c r="B25" i="2" s="1"/>
  <c r="H22" i="1"/>
  <c r="E17" i="1"/>
  <c r="F21" i="1"/>
  <c r="F17" i="1"/>
  <c r="H17" i="1" s="1"/>
  <c r="F19" i="1"/>
  <c r="D23" i="1"/>
  <c r="D24" i="1" s="1"/>
  <c r="D25" i="1" s="1"/>
  <c r="B10" i="1"/>
  <c r="C20" i="1" s="1"/>
  <c r="E19" i="2" l="1"/>
  <c r="D20" i="2" s="1"/>
  <c r="H21" i="2"/>
  <c r="F24" i="2"/>
  <c r="G20" i="2"/>
  <c r="E20" i="2"/>
  <c r="H17" i="2"/>
  <c r="G17" i="2"/>
  <c r="H19" i="2"/>
  <c r="G19" i="2"/>
  <c r="F20" i="2" s="1"/>
  <c r="K18" i="2"/>
  <c r="L18" i="2"/>
  <c r="D25" i="2"/>
  <c r="N22" i="1"/>
  <c r="P22" i="1" s="1"/>
  <c r="R22" i="1" s="1"/>
  <c r="J22" i="1"/>
  <c r="I18" i="1"/>
  <c r="F23" i="1"/>
  <c r="F24" i="1" s="1"/>
  <c r="F25" i="1" s="1"/>
  <c r="H21" i="1"/>
  <c r="I17" i="1" s="1"/>
  <c r="G17" i="1"/>
  <c r="E19" i="1"/>
  <c r="D20" i="1" s="1"/>
  <c r="G20" i="1"/>
  <c r="H19" i="1"/>
  <c r="J18" i="1"/>
  <c r="E20" i="1"/>
  <c r="K18" i="1" l="1"/>
  <c r="J19" i="2"/>
  <c r="I19" i="2"/>
  <c r="H20" i="2" s="1"/>
  <c r="I20" i="2"/>
  <c r="J17" i="2"/>
  <c r="I17" i="2"/>
  <c r="F25" i="2"/>
  <c r="N18" i="2"/>
  <c r="M18" i="2"/>
  <c r="H24" i="2"/>
  <c r="H23" i="1"/>
  <c r="H24" i="1" s="1"/>
  <c r="H25" i="1" s="1"/>
  <c r="G19" i="1"/>
  <c r="F20" i="1" s="1"/>
  <c r="T22" i="1"/>
  <c r="J19" i="1"/>
  <c r="I20" i="1"/>
  <c r="L17" i="1"/>
  <c r="L18" i="1"/>
  <c r="N18" i="1" s="1"/>
  <c r="H25" i="2" l="1"/>
  <c r="P18" i="2"/>
  <c r="O18" i="2"/>
  <c r="K19" i="2"/>
  <c r="J20" i="2" s="1"/>
  <c r="L19" i="2"/>
  <c r="K20" i="2"/>
  <c r="L17" i="2"/>
  <c r="K17" i="2"/>
  <c r="J24" i="2"/>
  <c r="N21" i="2"/>
  <c r="L21" i="2"/>
  <c r="L24" i="2" s="1"/>
  <c r="I19" i="1"/>
  <c r="H20" i="1" s="1"/>
  <c r="J23" i="1"/>
  <c r="J24" i="1" s="1"/>
  <c r="J25" i="1" s="1"/>
  <c r="V22" i="1"/>
  <c r="O18" i="1"/>
  <c r="P18" i="1"/>
  <c r="P17" i="1"/>
  <c r="L19" i="1"/>
  <c r="K20" i="1"/>
  <c r="M18" i="1"/>
  <c r="J25" i="2" l="1"/>
  <c r="L25" i="2" s="1"/>
  <c r="P21" i="2"/>
  <c r="N24" i="2"/>
  <c r="R18" i="2"/>
  <c r="Q18" i="2"/>
  <c r="N17" i="2"/>
  <c r="M17" i="2"/>
  <c r="M19" i="2"/>
  <c r="L20" i="2" s="1"/>
  <c r="N19" i="2"/>
  <c r="M20" i="2"/>
  <c r="L23" i="1"/>
  <c r="K19" i="1"/>
  <c r="J20" i="1" s="1"/>
  <c r="X22" i="1"/>
  <c r="R17" i="1"/>
  <c r="Q18" i="1"/>
  <c r="R18" i="1"/>
  <c r="N19" i="1"/>
  <c r="M20" i="1"/>
  <c r="N25" i="2" l="1"/>
  <c r="P19" i="2"/>
  <c r="O19" i="2"/>
  <c r="N20" i="2" s="1"/>
  <c r="O20" i="2"/>
  <c r="R21" i="2"/>
  <c r="P24" i="2"/>
  <c r="P17" i="2"/>
  <c r="O17" i="2"/>
  <c r="T18" i="2"/>
  <c r="S18" i="2"/>
  <c r="N23" i="1"/>
  <c r="M19" i="1"/>
  <c r="L20" i="1" s="1"/>
  <c r="T17" i="1"/>
  <c r="S18" i="1"/>
  <c r="T18" i="1"/>
  <c r="L24" i="1"/>
  <c r="L25" i="1" s="1"/>
  <c r="K17" i="1"/>
  <c r="P19" i="1"/>
  <c r="O20" i="1"/>
  <c r="P25" i="2" l="1"/>
  <c r="R19" i="2"/>
  <c r="Q19" i="2"/>
  <c r="P20" i="2" s="1"/>
  <c r="Q20" i="2"/>
  <c r="R17" i="2"/>
  <c r="Q17" i="2"/>
  <c r="R24" i="2"/>
  <c r="T21" i="2"/>
  <c r="V18" i="2"/>
  <c r="U18" i="2"/>
  <c r="P23" i="1"/>
  <c r="O19" i="1"/>
  <c r="N20" i="1" s="1"/>
  <c r="N24" i="1"/>
  <c r="N25" i="1" s="1"/>
  <c r="M17" i="1"/>
  <c r="U18" i="1"/>
  <c r="V18" i="1"/>
  <c r="R19" i="1"/>
  <c r="Q20" i="1"/>
  <c r="R25" i="2" l="1"/>
  <c r="V21" i="2"/>
  <c r="T24" i="2"/>
  <c r="S17" i="2"/>
  <c r="T17" i="2"/>
  <c r="X18" i="2"/>
  <c r="Y18" i="2" s="1"/>
  <c r="W18" i="2"/>
  <c r="T19" i="2"/>
  <c r="S19" i="2"/>
  <c r="R20" i="2" s="1"/>
  <c r="S20" i="2"/>
  <c r="R23" i="1"/>
  <c r="Q19" i="1"/>
  <c r="P20" i="1" s="1"/>
  <c r="W18" i="1"/>
  <c r="X18" i="1"/>
  <c r="Y18" i="1" s="1"/>
  <c r="X17" i="1"/>
  <c r="P21" i="1"/>
  <c r="P24" i="1" s="1"/>
  <c r="P25" i="1" s="1"/>
  <c r="O17" i="1"/>
  <c r="T19" i="1"/>
  <c r="S20" i="1"/>
  <c r="T25" i="2" l="1"/>
  <c r="U17" i="2"/>
  <c r="V17" i="2"/>
  <c r="V24" i="2"/>
  <c r="X21" i="2"/>
  <c r="X24" i="2" s="1"/>
  <c r="V19" i="2"/>
  <c r="U19" i="2"/>
  <c r="T20" i="2" s="1"/>
  <c r="U20" i="2"/>
  <c r="T23" i="1"/>
  <c r="S19" i="1"/>
  <c r="R20" i="1" s="1"/>
  <c r="R21" i="1"/>
  <c r="R24" i="1" s="1"/>
  <c r="R25" i="1" s="1"/>
  <c r="Q17" i="1"/>
  <c r="V19" i="1"/>
  <c r="U20" i="1"/>
  <c r="V25" i="2" l="1"/>
  <c r="X25" i="2" s="1"/>
  <c r="X19" i="2"/>
  <c r="W19" i="2"/>
  <c r="V20" i="2" s="1"/>
  <c r="W20" i="2"/>
  <c r="X17" i="2"/>
  <c r="Y17" i="2" s="1"/>
  <c r="W17" i="2"/>
  <c r="U19" i="1"/>
  <c r="T20" i="1" s="1"/>
  <c r="V23" i="1"/>
  <c r="T21" i="1"/>
  <c r="T24" i="1" s="1"/>
  <c r="T25" i="1" s="1"/>
  <c r="S17" i="1"/>
  <c r="W20" i="1"/>
  <c r="X19" i="1"/>
  <c r="F10" i="2" l="1"/>
  <c r="F9" i="2" a="1"/>
  <c r="F9" i="2" s="1"/>
  <c r="Y19" i="2"/>
  <c r="X20" i="2" s="1"/>
  <c r="Y20" i="2"/>
  <c r="X23" i="1"/>
  <c r="W19" i="1"/>
  <c r="V20" i="1" s="1"/>
  <c r="V21" i="1"/>
  <c r="V24" i="1" s="1"/>
  <c r="V25" i="1" s="1"/>
  <c r="U17" i="1"/>
  <c r="Y20" i="1"/>
  <c r="Y19" i="1" l="1"/>
  <c r="X20" i="1" s="1"/>
  <c r="X21" i="1"/>
  <c r="W17" i="1"/>
  <c r="X24" i="1" l="1"/>
  <c r="X25" i="1" s="1"/>
  <c r="F10" i="1" s="1"/>
  <c r="Y17" i="1"/>
  <c r="F9" i="1" l="1" a="1"/>
  <c r="F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<sst xmlns="http://schemas.openxmlformats.org/spreadsheetml/2006/main" count="108" uniqueCount="47">
  <si>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T (fs)</t>
    <phoneticPr fontId="1" type="noConversion"/>
  </si>
  <si>
    <t>E (eV)</t>
    <phoneticPr fontId="1" type="noConversion"/>
  </si>
  <si>
    <t>HHLM1</t>
  </si>
  <si>
    <t>HHLM2</t>
  </si>
  <si>
    <t>HHLM3</t>
  </si>
  <si>
    <t>HHLM4</t>
  </si>
  <si>
    <t>X range, res (um)</t>
  </si>
  <si>
    <t>Y range, res (um)</t>
  </si>
  <si>
    <t>T range, res (fs)</t>
  </si>
  <si>
    <t>E range, res (meV)</t>
  </si>
  <si>
    <t>Nx</t>
  </si>
  <si>
    <t>Ny</t>
  </si>
  <si>
    <t>Nz</t>
  </si>
  <si>
    <t>X range (m)</t>
    <phoneticPr fontId="1" type="noConversion"/>
  </si>
  <si>
    <t>Y range (m)</t>
    <phoneticPr fontId="1" type="noConversion"/>
  </si>
  <si>
    <t>T range (fs)</t>
    <phoneticPr fontId="1" type="noConversion"/>
  </si>
  <si>
    <t>T res (fs)</t>
    <phoneticPr fontId="1" type="noConversion"/>
  </si>
  <si>
    <t>E range (eV)</t>
    <phoneticPr fontId="1" type="noConversion"/>
  </si>
  <si>
    <t>Input Parameters</t>
    <phoneticPr fontId="1" type="noConversion"/>
  </si>
  <si>
    <t>E res (eV)</t>
    <phoneticPr fontId="1" type="noConversion"/>
  </si>
  <si>
    <t>Nx</t>
    <phoneticPr fontId="1" type="noConversion"/>
  </si>
  <si>
    <t>Ny</t>
    <phoneticPr fontId="1" type="noConversion"/>
  </si>
  <si>
    <t>Nz</t>
    <phoneticPr fontId="1" type="noConversion"/>
  </si>
  <si>
    <t>x_scaling</t>
    <phoneticPr fontId="1" type="noConversion"/>
  </si>
  <si>
    <t>z_scaling</t>
    <phoneticPr fontId="1" type="noConversion"/>
  </si>
  <si>
    <t>Unit Time (s)</t>
    <phoneticPr fontId="1" type="noConversion"/>
  </si>
  <si>
    <t>b factor 1</t>
    <phoneticPr fontId="1" type="noConversion"/>
  </si>
  <si>
    <t>stretch factor 1</t>
    <phoneticPr fontId="1" type="noConversion"/>
  </si>
  <si>
    <t>Si 220</t>
    <phoneticPr fontId="1" type="noConversion"/>
  </si>
  <si>
    <t>Si 440</t>
    <phoneticPr fontId="1" type="noConversion"/>
  </si>
  <si>
    <t>asymmetry angle</t>
    <phoneticPr fontId="1" type="noConversion"/>
  </si>
  <si>
    <t>Bragg angle</t>
    <phoneticPr fontId="1" type="noConversion"/>
  </si>
  <si>
    <t>Estimated time</t>
    <phoneticPr fontId="1" type="noConversion"/>
  </si>
  <si>
    <t>incident (CRL0)</t>
    <phoneticPr fontId="1" type="noConversion"/>
  </si>
  <si>
    <t>HRM1</t>
    <phoneticPr fontId="1" type="noConversion"/>
  </si>
  <si>
    <t>HRM2</t>
    <phoneticPr fontId="1" type="noConversion"/>
  </si>
  <si>
    <t>CRL1</t>
    <phoneticPr fontId="1" type="noConversion"/>
  </si>
  <si>
    <t>Slit</t>
    <phoneticPr fontId="1" type="noConversion"/>
  </si>
  <si>
    <t>CRL2</t>
    <phoneticPr fontId="1" type="noConversion"/>
  </si>
  <si>
    <t>HRM3</t>
    <phoneticPr fontId="1" type="noConversion"/>
  </si>
  <si>
    <t>HRM4</t>
    <phoneticPr fontId="1" type="noConversion"/>
  </si>
  <si>
    <t>Total time</t>
    <phoneticPr fontId="1" type="noConversion"/>
  </si>
  <si>
    <t>t_stretching (fs)</t>
    <phoneticPr fontId="1" type="noConversion"/>
  </si>
  <si>
    <t>pts</t>
    <phoneticPr fontId="1" type="noConversion"/>
  </si>
  <si>
    <t>HRM only</t>
    <phoneticPr fontId="1" type="noConversion"/>
  </si>
  <si>
    <t>Max pts</t>
    <phoneticPr fontId="1" type="noConversion"/>
  </si>
  <si>
    <t>Ny reduced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</si>
</sst>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/>
    <xf numFmtId="46" fontId="0" fillId="0" borderId="0" xfId="0" applyNumberFormat="1"/>
    <xf numFmtId="4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P10" sqref="P10"/>
    </sheetView>
  </sheetViews>
  <sheetFormatPr defaultRowHeight="14.25" x14ac:dyDescent="0.2"/>
  <cols>
    <col min="1" max="1" width="16.5" customWidth="1"/>
    <col min="2" max="2" width="11.625" bestFit="1" customWidth="1"/>
    <col min="3" max="3" width="9.125" bestFit="1" customWidth="1"/>
    <col min="4" max="4" width="12.75" bestFit="1" customWidth="1"/>
    <col min="5" max="5" width="13.375" bestFit="1" customWidth="1"/>
    <col min="6" max="6" width="9.375" bestFit="1" customWidth="1"/>
    <col min="7" max="7" width="9.125" bestFit="1" customWidth="1"/>
    <col min="8" max="8" width="13.5" customWidth="1"/>
    <col min="9" max="9" width="13" bestFit="1" customWidth="1"/>
    <col min="10" max="10" width="9.375" bestFit="1" customWidth="1"/>
    <col min="11" max="11" width="9.125" bestFit="1" customWidth="1"/>
    <col min="12" max="12" width="10.5" bestFit="1" customWidth="1"/>
    <col min="14" max="14" width="9.375" bestFit="1" customWidth="1"/>
    <col min="16" max="16" width="13.375" customWidth="1"/>
  </cols>
  <sheetData>
    <row r="1" spans="1:27" x14ac:dyDescent="0.2">
      <c r="A1" t="s">
        <v>18</v>
      </c>
      <c r="D1" s="6" t="s">
        <v>28</v>
      </c>
      <c r="E1" s="6"/>
      <c r="L1" s="6" t="s">
        <v>29</v>
      </c>
      <c r="M1" s="6"/>
    </row>
    <row r="2" spans="1:27" x14ac:dyDescent="0.2">
      <c r="A2" t="s">
        <v>1</v>
      </c>
      <c r="B2">
        <v>9481</v>
      </c>
      <c r="D2" s="6" t="s">
        <v>31</v>
      </c>
      <c r="E2" s="6"/>
      <c r="F2">
        <v>19.909876918386299</v>
      </c>
      <c r="H2" t="s">
        <v>23</v>
      </c>
      <c r="I2" s="2">
        <f>ROUND(F4,0)</f>
        <v>12</v>
      </c>
      <c r="L2" s="6" t="s">
        <v>31</v>
      </c>
      <c r="M2" s="6"/>
      <c r="N2">
        <v>42.926477759350803</v>
      </c>
      <c r="P2" t="s">
        <v>23</v>
      </c>
      <c r="Q2" s="2">
        <f>ROUND(1/N4,0)</f>
        <v>4</v>
      </c>
    </row>
    <row r="3" spans="1:27" x14ac:dyDescent="0.2">
      <c r="A3" t="s">
        <v>0</v>
      </c>
      <c r="B3">
        <v>800</v>
      </c>
      <c r="D3" s="6" t="s">
        <v>30</v>
      </c>
      <c r="E3" s="6"/>
      <c r="F3">
        <v>17</v>
      </c>
      <c r="H3" t="s">
        <v>42</v>
      </c>
      <c r="I3" s="2">
        <f>$B4*F5/300000000*1000000000000000</f>
        <v>52300.882458116022</v>
      </c>
      <c r="L3" s="6" t="s">
        <v>30</v>
      </c>
      <c r="M3" s="6"/>
      <c r="N3">
        <v>-29.5</v>
      </c>
      <c r="P3" t="s">
        <v>42</v>
      </c>
      <c r="Q3" s="2">
        <f>$B4*N5/300000000*1000000000000000</f>
        <v>9380.9992619267869</v>
      </c>
    </row>
    <row r="4" spans="1:27" x14ac:dyDescent="0.2">
      <c r="A4" t="s">
        <v>13</v>
      </c>
      <c r="B4" s="1">
        <v>4.0000000000000001E-3</v>
      </c>
      <c r="D4" s="6" t="s">
        <v>26</v>
      </c>
      <c r="E4" s="6"/>
      <c r="F4">
        <f>SIN(RADIANS(F2+F3))/SIN(RADIANS(F2-F3))</f>
        <v>11.830135875287004</v>
      </c>
      <c r="H4" t="s">
        <v>24</v>
      </c>
      <c r="I4" s="2">
        <f>MAX(ROUND(I3/$B7,0),1)</f>
        <v>2</v>
      </c>
      <c r="L4" s="6" t="s">
        <v>26</v>
      </c>
      <c r="M4" s="6"/>
      <c r="N4">
        <f>SIN(RADIANS(N2+N3))/SIN(RADIANS(N2-N3))</f>
        <v>0.24356450463759297</v>
      </c>
      <c r="P4" t="s">
        <v>24</v>
      </c>
      <c r="Q4" s="2">
        <f>MAX(ROUND(Q3/$B7,0),1)</f>
        <v>1</v>
      </c>
    </row>
    <row r="5" spans="1:27" x14ac:dyDescent="0.2">
      <c r="A5" t="s">
        <v>14</v>
      </c>
      <c r="B5" s="1">
        <v>4.0000000000000001E-3</v>
      </c>
      <c r="D5" s="6" t="s">
        <v>27</v>
      </c>
      <c r="E5" s="6"/>
      <c r="F5">
        <f>ABS((COS(RADIANS(F2-F3))-COS(RADIANS(F2+F3)))/SIN(RADIANS(F2-F3)))</f>
        <v>3.9225661843587014</v>
      </c>
      <c r="L5" s="6" t="s">
        <v>27</v>
      </c>
      <c r="M5" s="6"/>
      <c r="N5">
        <f>ABS((COS(RADIANS(N2-N3))-COS(RADIANS(N2+N3)))/SIN(RADIANS(N2-N3)))</f>
        <v>0.70357494464450898</v>
      </c>
    </row>
    <row r="6" spans="1:27" x14ac:dyDescent="0.2">
      <c r="L6" s="2"/>
    </row>
    <row r="7" spans="1:27" x14ac:dyDescent="0.2">
      <c r="A7" t="s">
        <v>15</v>
      </c>
      <c r="B7">
        <f>B3*40</f>
        <v>32000</v>
      </c>
    </row>
    <row r="8" spans="1:27" x14ac:dyDescent="0.2">
      <c r="A8" t="s">
        <v>16</v>
      </c>
      <c r="B8">
        <f>B3/10</f>
        <v>80</v>
      </c>
      <c r="D8" s="6" t="s">
        <v>25</v>
      </c>
      <c r="E8" s="6"/>
      <c r="F8" s="1">
        <v>5.9999999999999997E-7</v>
      </c>
      <c r="H8" t="s">
        <v>45</v>
      </c>
      <c r="I8" s="1">
        <f>2048*2*500000</f>
        <v>2048000000</v>
      </c>
    </row>
    <row r="9" spans="1:27" x14ac:dyDescent="0.2">
      <c r="A9" t="s">
        <v>17</v>
      </c>
      <c r="B9">
        <f>4/B8</f>
        <v>0.05</v>
      </c>
      <c r="D9" s="6" t="s">
        <v>41</v>
      </c>
      <c r="E9" s="6"/>
      <c r="F9" s="11" cm="1">
        <f t="array" ref="F9">IFERROR(LOOKUP(1,0/(25:25&lt;&gt;""),25:25),"")</f>
        <v>2.9673244444444438E-2</v>
      </c>
    </row>
    <row r="10" spans="1:27" x14ac:dyDescent="0.2">
      <c r="A10" t="s">
        <v>19</v>
      </c>
      <c r="B10">
        <f>B9/B14</f>
        <v>1.25E-4</v>
      </c>
      <c r="D10" s="6" t="s">
        <v>44</v>
      </c>
      <c r="E10" s="6"/>
      <c r="F10" s="11">
        <f>X25-J25</f>
        <v>1.2014933333333328E-2</v>
      </c>
    </row>
    <row r="12" spans="1:27" x14ac:dyDescent="0.2">
      <c r="A12" s="3" t="s">
        <v>20</v>
      </c>
      <c r="B12">
        <v>256</v>
      </c>
      <c r="H12" s="3"/>
      <c r="I12" s="3"/>
      <c r="J12" s="5"/>
    </row>
    <row r="13" spans="1:27" x14ac:dyDescent="0.2">
      <c r="A13" s="3" t="s">
        <v>21</v>
      </c>
      <c r="B13">
        <v>256</v>
      </c>
      <c r="D13" t="s">
        <v>46</v>
      </c>
      <c r="E13">
        <v>8</v>
      </c>
    </row>
    <row r="14" spans="1:27" x14ac:dyDescent="0.2">
      <c r="A14" s="3" t="s">
        <v>22</v>
      </c>
      <c r="B14">
        <f>B7/B8</f>
        <v>400</v>
      </c>
    </row>
    <row r="16" spans="1:27" x14ac:dyDescent="0.2">
      <c r="B16" s="6" t="s">
        <v>33</v>
      </c>
      <c r="C16" s="6"/>
      <c r="D16" s="6" t="s">
        <v>2</v>
      </c>
      <c r="E16" s="6"/>
      <c r="F16" s="6" t="s">
        <v>3</v>
      </c>
      <c r="G16" s="6"/>
      <c r="H16" s="6" t="s">
        <v>4</v>
      </c>
      <c r="I16" s="6"/>
      <c r="J16" s="6" t="s">
        <v>5</v>
      </c>
      <c r="K16" s="6"/>
      <c r="L16" s="6" t="s">
        <v>34</v>
      </c>
      <c r="M16" s="6"/>
      <c r="N16" s="6" t="s">
        <v>35</v>
      </c>
      <c r="O16" s="6"/>
      <c r="P16" s="6" t="s">
        <v>36</v>
      </c>
      <c r="Q16" s="6"/>
      <c r="R16" s="6" t="s">
        <v>37</v>
      </c>
      <c r="S16" s="6"/>
      <c r="T16" s="6" t="s">
        <v>38</v>
      </c>
      <c r="U16" s="6"/>
      <c r="V16" s="6" t="s">
        <v>39</v>
      </c>
      <c r="W16" s="6"/>
      <c r="X16" s="6" t="s">
        <v>40</v>
      </c>
      <c r="Y16" s="6"/>
      <c r="Z16" s="6"/>
      <c r="AA16" s="6"/>
    </row>
    <row r="17" spans="1:27" x14ac:dyDescent="0.2">
      <c r="A17" s="3" t="s">
        <v>6</v>
      </c>
      <c r="B17" s="2">
        <f>B4*1000000</f>
        <v>4000</v>
      </c>
      <c r="C17" s="2">
        <f>B17/B21</f>
        <v>15.625</v>
      </c>
      <c r="D17" s="2">
        <f>B17*$I2</f>
        <v>48000</v>
      </c>
      <c r="E17" s="2">
        <f>D17/D21</f>
        <v>15.625</v>
      </c>
      <c r="F17" s="2">
        <f>D17</f>
        <v>48000</v>
      </c>
      <c r="G17" s="2">
        <f t="shared" ref="G17:I17" si="0">F17/F21</f>
        <v>15.625</v>
      </c>
      <c r="H17" s="2">
        <f>F17</f>
        <v>48000</v>
      </c>
      <c r="I17" s="2">
        <f t="shared" ref="I17" si="1">H17/H21</f>
        <v>15.625</v>
      </c>
      <c r="J17" s="2">
        <f>H17/I2</f>
        <v>4000</v>
      </c>
      <c r="K17" s="2">
        <f>J17/J21</f>
        <v>1.3020833333333333</v>
      </c>
      <c r="L17" s="2">
        <f>J17</f>
        <v>4000</v>
      </c>
      <c r="M17" s="2">
        <f>L17/L21</f>
        <v>1.3020833333333333</v>
      </c>
      <c r="N17" s="2">
        <f>L17*Q2</f>
        <v>16000</v>
      </c>
      <c r="O17" s="2">
        <f>N17/N21</f>
        <v>5.208333333333333</v>
      </c>
      <c r="P17" s="2">
        <f t="shared" ref="P17:P19" si="2">N17</f>
        <v>16000</v>
      </c>
      <c r="Q17" s="2">
        <f t="shared" ref="Q17:Y17" si="3">P17/P21</f>
        <v>5.208333333333333</v>
      </c>
      <c r="R17" s="2">
        <f t="shared" ref="R17:R19" si="4">P17</f>
        <v>16000</v>
      </c>
      <c r="S17" s="2">
        <f t="shared" ref="S17:Y17" si="5">R17/R21</f>
        <v>5.208333333333333</v>
      </c>
      <c r="T17" s="2">
        <f t="shared" ref="T17:T19" si="6">R17</f>
        <v>16000</v>
      </c>
      <c r="U17" s="2">
        <f t="shared" ref="U17:Y17" si="7">T17/T21</f>
        <v>5.208333333333333</v>
      </c>
      <c r="V17" s="2">
        <f>T17/Q2</f>
        <v>4000</v>
      </c>
      <c r="W17" s="2">
        <f t="shared" ref="W17:Y17" si="8">V17/V21</f>
        <v>5.208333333333333</v>
      </c>
      <c r="X17" s="2">
        <f t="shared" ref="X17:X19" si="9">V17</f>
        <v>4000</v>
      </c>
      <c r="Y17" s="2">
        <f t="shared" ref="Y17:Y19" si="10">X17/X21</f>
        <v>5.208333333333333</v>
      </c>
      <c r="Z17" s="2"/>
      <c r="AA17" s="2"/>
    </row>
    <row r="18" spans="1:27" x14ac:dyDescent="0.2">
      <c r="A18" s="3" t="s">
        <v>7</v>
      </c>
      <c r="B18" s="2">
        <f>B5*1000000</f>
        <v>4000</v>
      </c>
      <c r="C18" s="2">
        <f>B18/B22</f>
        <v>15.625</v>
      </c>
      <c r="D18" s="2">
        <f>B18</f>
        <v>4000</v>
      </c>
      <c r="E18" s="2">
        <f>D18/D22</f>
        <v>15.625</v>
      </c>
      <c r="F18" s="2">
        <f t="shared" ref="F18" si="11">D18</f>
        <v>4000</v>
      </c>
      <c r="G18" s="2">
        <f t="shared" ref="G18:I18" si="12">F18/F22</f>
        <v>15.625</v>
      </c>
      <c r="H18" s="2">
        <f t="shared" ref="H18" si="13">F18</f>
        <v>4000</v>
      </c>
      <c r="I18" s="2">
        <f t="shared" ref="I18" si="14">H18/H22</f>
        <v>15.625</v>
      </c>
      <c r="J18" s="2">
        <f t="shared" ref="J18" si="15">H18</f>
        <v>4000</v>
      </c>
      <c r="K18" s="2">
        <f>J18/J22</f>
        <v>15.625</v>
      </c>
      <c r="L18" s="2">
        <f t="shared" ref="L18" si="16">J18</f>
        <v>4000</v>
      </c>
      <c r="M18" s="2">
        <f>L18/L22</f>
        <v>15.625</v>
      </c>
      <c r="N18" s="2">
        <f t="shared" ref="N18" si="17">L18</f>
        <v>4000</v>
      </c>
      <c r="O18" s="2">
        <f>N18/N22</f>
        <v>15.625</v>
      </c>
      <c r="P18" s="2">
        <f t="shared" si="2"/>
        <v>4000</v>
      </c>
      <c r="Q18" s="2">
        <f t="shared" ref="Q18:Y18" si="18">P18/P22</f>
        <v>15.625</v>
      </c>
      <c r="R18" s="2">
        <f t="shared" si="4"/>
        <v>4000</v>
      </c>
      <c r="S18" s="2">
        <f t="shared" ref="S18:Y18" si="19">R18/R22</f>
        <v>15.625</v>
      </c>
      <c r="T18" s="2">
        <f t="shared" si="6"/>
        <v>4000</v>
      </c>
      <c r="U18" s="2">
        <f t="shared" ref="U18:Y18" si="20">T18/T22</f>
        <v>15.625</v>
      </c>
      <c r="V18" s="2">
        <f t="shared" ref="V17:V19" si="21">T18</f>
        <v>4000</v>
      </c>
      <c r="W18" s="2">
        <f t="shared" ref="W18:Y18" si="22">V18/V22</f>
        <v>15.625</v>
      </c>
      <c r="X18" s="2">
        <f t="shared" si="9"/>
        <v>4000</v>
      </c>
      <c r="Y18" s="2">
        <f t="shared" si="10"/>
        <v>15.625</v>
      </c>
      <c r="Z18" s="2"/>
      <c r="AA18" s="2"/>
    </row>
    <row r="19" spans="1:27" x14ac:dyDescent="0.2">
      <c r="A19" s="3" t="s">
        <v>8</v>
      </c>
      <c r="B19" s="2">
        <f>B7</f>
        <v>32000</v>
      </c>
      <c r="C19" s="2">
        <f>B8</f>
        <v>80</v>
      </c>
      <c r="D19" s="2">
        <f>B19*$I4</f>
        <v>64000</v>
      </c>
      <c r="E19" s="2">
        <f>D19/D23</f>
        <v>80</v>
      </c>
      <c r="F19" s="2">
        <f>D19</f>
        <v>64000</v>
      </c>
      <c r="G19" s="2">
        <f t="shared" ref="G19:I19" si="23">F19/F23</f>
        <v>80</v>
      </c>
      <c r="H19" s="2">
        <f>F19</f>
        <v>64000</v>
      </c>
      <c r="I19" s="2">
        <f t="shared" ref="I19" si="24">H19/H23</f>
        <v>80</v>
      </c>
      <c r="J19" s="2">
        <f>H19</f>
        <v>64000</v>
      </c>
      <c r="K19" s="2">
        <f>J19/J23</f>
        <v>80</v>
      </c>
      <c r="L19" s="2">
        <f>J19/I4*Q4</f>
        <v>32000</v>
      </c>
      <c r="M19" s="2">
        <f>L19/L23</f>
        <v>80</v>
      </c>
      <c r="N19" s="2">
        <f>L19</f>
        <v>32000</v>
      </c>
      <c r="O19" s="2">
        <f>N19/N23</f>
        <v>80</v>
      </c>
      <c r="P19" s="2">
        <f t="shared" si="2"/>
        <v>32000</v>
      </c>
      <c r="Q19" s="2">
        <f t="shared" ref="Q19:Y19" si="25">P19/P23</f>
        <v>80</v>
      </c>
      <c r="R19" s="2">
        <f t="shared" si="4"/>
        <v>32000</v>
      </c>
      <c r="S19" s="2">
        <f t="shared" ref="S19:Y19" si="26">R19/R23</f>
        <v>80</v>
      </c>
      <c r="T19" s="2">
        <f t="shared" si="6"/>
        <v>32000</v>
      </c>
      <c r="U19" s="2">
        <f t="shared" ref="U19:Y19" si="27">T19/T23</f>
        <v>80</v>
      </c>
      <c r="V19" s="2">
        <f t="shared" si="21"/>
        <v>32000</v>
      </c>
      <c r="W19" s="2">
        <f t="shared" ref="W19:Y19" si="28">V19/V23</f>
        <v>80</v>
      </c>
      <c r="X19" s="2">
        <f t="shared" si="9"/>
        <v>32000</v>
      </c>
      <c r="Y19" s="2">
        <f t="shared" si="10"/>
        <v>80</v>
      </c>
      <c r="Z19" s="2"/>
      <c r="AA19" s="2"/>
    </row>
    <row r="20" spans="1:27" x14ac:dyDescent="0.2">
      <c r="A20" s="3" t="s">
        <v>9</v>
      </c>
      <c r="B20" s="2">
        <f>B9*1000</f>
        <v>50</v>
      </c>
      <c r="C20" s="2">
        <f>B10*1000</f>
        <v>0.125</v>
      </c>
      <c r="D20" s="2">
        <f>$B20*$C19/E19</f>
        <v>50</v>
      </c>
      <c r="E20" s="2">
        <f>$B19*$C20/D19</f>
        <v>6.25E-2</v>
      </c>
      <c r="F20" s="2">
        <f>$B20*$C19/G19</f>
        <v>50</v>
      </c>
      <c r="G20" s="2">
        <f t="shared" ref="G20" si="29">$B19*$C20/F19</f>
        <v>6.25E-2</v>
      </c>
      <c r="H20" s="2">
        <f>$B20*$C19/I19</f>
        <v>50</v>
      </c>
      <c r="I20" s="2">
        <f t="shared" ref="I20" si="30">$B19*$C20/H19</f>
        <v>6.25E-2</v>
      </c>
      <c r="J20" s="2">
        <f>$B20*$C19/K19</f>
        <v>50</v>
      </c>
      <c r="K20" s="2">
        <f>$B19*$C20/J19</f>
        <v>6.25E-2</v>
      </c>
      <c r="L20" s="2">
        <f>$B20*$C19/M19</f>
        <v>50</v>
      </c>
      <c r="M20" s="2">
        <f>$B19*$C20/L19</f>
        <v>0.125</v>
      </c>
      <c r="N20" s="2">
        <f>$B20*$C19/O19</f>
        <v>50</v>
      </c>
      <c r="O20" s="2">
        <f>$B19*$C20/N19</f>
        <v>0.125</v>
      </c>
      <c r="P20" s="2">
        <f t="shared" ref="P20" si="31">$B20*$C19/Q19</f>
        <v>50</v>
      </c>
      <c r="Q20" s="2">
        <f t="shared" ref="Q20" si="32">$B19*$C20/P19</f>
        <v>0.125</v>
      </c>
      <c r="R20" s="2">
        <f t="shared" ref="R20" si="33">$B20*$C19/S19</f>
        <v>50</v>
      </c>
      <c r="S20" s="2">
        <f t="shared" ref="S20" si="34">$B19*$C20/R19</f>
        <v>0.125</v>
      </c>
      <c r="T20" s="2">
        <f t="shared" ref="T20" si="35">$B20*$C19/U19</f>
        <v>50</v>
      </c>
      <c r="U20" s="2">
        <f t="shared" ref="U20" si="36">$B19*$C20/T19</f>
        <v>0.125</v>
      </c>
      <c r="V20" s="2">
        <f t="shared" ref="V20" si="37">$B20*$C19/W19</f>
        <v>50</v>
      </c>
      <c r="W20" s="2">
        <f t="shared" ref="W20" si="38">$B19*$C20/V19</f>
        <v>0.125</v>
      </c>
      <c r="X20" s="2">
        <f t="shared" ref="X20" si="39">$B20*$C19/Y19</f>
        <v>50</v>
      </c>
      <c r="Y20" s="2">
        <f t="shared" ref="Y20" si="40">$B19*$C20/X19</f>
        <v>0.125</v>
      </c>
      <c r="Z20" s="2"/>
      <c r="AA20" s="2"/>
    </row>
    <row r="21" spans="1:27" x14ac:dyDescent="0.2">
      <c r="A21" s="3" t="s">
        <v>10</v>
      </c>
      <c r="B21" s="7">
        <f>B12</f>
        <v>256</v>
      </c>
      <c r="C21" s="7"/>
      <c r="D21" s="7">
        <f>B21*$I2</f>
        <v>3072</v>
      </c>
      <c r="E21" s="7"/>
      <c r="F21" s="7">
        <f>D21</f>
        <v>3072</v>
      </c>
      <c r="G21" s="7"/>
      <c r="H21" s="7">
        <f>F21</f>
        <v>3072</v>
      </c>
      <c r="I21" s="7"/>
      <c r="J21" s="7">
        <f>H21</f>
        <v>3072</v>
      </c>
      <c r="K21" s="7"/>
      <c r="L21" s="7">
        <f>J21</f>
        <v>3072</v>
      </c>
      <c r="M21" s="7"/>
      <c r="N21" s="7">
        <f>J21</f>
        <v>3072</v>
      </c>
      <c r="O21" s="7"/>
      <c r="P21" s="7">
        <f>N21</f>
        <v>3072</v>
      </c>
      <c r="Q21" s="7"/>
      <c r="R21" s="7">
        <f t="shared" ref="R21" si="41">P21</f>
        <v>3072</v>
      </c>
      <c r="S21" s="7"/>
      <c r="T21" s="7">
        <f t="shared" ref="T21" si="42">R21</f>
        <v>3072</v>
      </c>
      <c r="U21" s="7"/>
      <c r="V21" s="7">
        <f>T21/Q2</f>
        <v>768</v>
      </c>
      <c r="W21" s="7"/>
      <c r="X21" s="7">
        <f t="shared" ref="X21:X23" si="43">V21</f>
        <v>768</v>
      </c>
      <c r="Y21" s="7"/>
      <c r="Z21" s="7"/>
      <c r="AA21" s="7"/>
    </row>
    <row r="22" spans="1:27" x14ac:dyDescent="0.2">
      <c r="A22" s="3" t="s">
        <v>11</v>
      </c>
      <c r="B22" s="7">
        <f>B13</f>
        <v>256</v>
      </c>
      <c r="C22" s="7"/>
      <c r="D22" s="7">
        <f>B22</f>
        <v>256</v>
      </c>
      <c r="E22" s="7"/>
      <c r="F22" s="7">
        <f t="shared" ref="F22" si="44">D22</f>
        <v>256</v>
      </c>
      <c r="G22" s="7"/>
      <c r="H22" s="7">
        <f t="shared" ref="H22:H23" si="45">F22</f>
        <v>256</v>
      </c>
      <c r="I22" s="7"/>
      <c r="J22" s="7">
        <f>H22</f>
        <v>256</v>
      </c>
      <c r="K22" s="7"/>
      <c r="L22" s="7">
        <f>B13</f>
        <v>256</v>
      </c>
      <c r="M22" s="7"/>
      <c r="N22" s="7">
        <f t="shared" ref="N22" si="46">L22</f>
        <v>256</v>
      </c>
      <c r="O22" s="7"/>
      <c r="P22" s="7">
        <f t="shared" ref="P22" si="47">N22</f>
        <v>256</v>
      </c>
      <c r="Q22" s="7"/>
      <c r="R22" s="7">
        <f t="shared" ref="R22" si="48">P22</f>
        <v>256</v>
      </c>
      <c r="S22" s="7"/>
      <c r="T22" s="7">
        <f t="shared" ref="T22" si="49">R22</f>
        <v>256</v>
      </c>
      <c r="U22" s="7"/>
      <c r="V22" s="7">
        <f t="shared" ref="V22" si="50">T22</f>
        <v>256</v>
      </c>
      <c r="W22" s="7"/>
      <c r="X22" s="7">
        <f t="shared" si="43"/>
        <v>256</v>
      </c>
      <c r="Y22" s="7"/>
      <c r="Z22" s="7"/>
      <c r="AA22" s="7"/>
    </row>
    <row r="23" spans="1:27" x14ac:dyDescent="0.2">
      <c r="A23" s="3" t="s">
        <v>12</v>
      </c>
      <c r="B23" s="7">
        <f>B14</f>
        <v>400</v>
      </c>
      <c r="C23" s="7"/>
      <c r="D23" s="7">
        <f>B23*$I4</f>
        <v>800</v>
      </c>
      <c r="E23" s="7"/>
      <c r="F23" s="7">
        <f>D23</f>
        <v>800</v>
      </c>
      <c r="G23" s="7"/>
      <c r="H23" s="7">
        <f t="shared" si="45"/>
        <v>800</v>
      </c>
      <c r="I23" s="7"/>
      <c r="J23" s="7">
        <f t="shared" ref="J22:J23" si="51">H23</f>
        <v>800</v>
      </c>
      <c r="K23" s="7"/>
      <c r="L23" s="7">
        <f>J23/I4*Q4</f>
        <v>400</v>
      </c>
      <c r="M23" s="7"/>
      <c r="N23" s="7">
        <f>L23</f>
        <v>400</v>
      </c>
      <c r="O23" s="7"/>
      <c r="P23" s="7">
        <f t="shared" ref="P22:P23" si="52">N23</f>
        <v>400</v>
      </c>
      <c r="Q23" s="7"/>
      <c r="R23" s="7">
        <f t="shared" ref="R22:R23" si="53">P23</f>
        <v>400</v>
      </c>
      <c r="S23" s="7"/>
      <c r="T23" s="7">
        <f t="shared" ref="T23" si="54">R23</f>
        <v>400</v>
      </c>
      <c r="U23" s="7"/>
      <c r="V23" s="7">
        <f t="shared" ref="V22:V23" si="55">T23</f>
        <v>400</v>
      </c>
      <c r="W23" s="7"/>
      <c r="X23" s="7">
        <f t="shared" si="43"/>
        <v>400</v>
      </c>
      <c r="Y23" s="7"/>
      <c r="Z23" s="7"/>
      <c r="AA23" s="7"/>
    </row>
    <row r="24" spans="1:27" x14ac:dyDescent="0.2">
      <c r="A24" s="3" t="s">
        <v>43</v>
      </c>
      <c r="B24" s="8">
        <f>B21*B22*B23</f>
        <v>26214400</v>
      </c>
      <c r="C24" s="8"/>
      <c r="D24" s="8">
        <f t="shared" ref="D24" si="56">D21*D22*D23</f>
        <v>629145600</v>
      </c>
      <c r="E24" s="8"/>
      <c r="F24" s="8">
        <f t="shared" ref="F24" si="57">F21*F22*F23</f>
        <v>629145600</v>
      </c>
      <c r="G24" s="8"/>
      <c r="H24" s="8">
        <f t="shared" ref="H24" si="58">H21*H22*H23</f>
        <v>629145600</v>
      </c>
      <c r="I24" s="8"/>
      <c r="J24" s="8">
        <f t="shared" ref="J24" si="59">J21*J22*J23</f>
        <v>629145600</v>
      </c>
      <c r="K24" s="8"/>
      <c r="L24" s="8">
        <f t="shared" ref="L24" si="60">L21*L22*L23</f>
        <v>314572800</v>
      </c>
      <c r="M24" s="8"/>
      <c r="N24" s="8">
        <f t="shared" ref="N24" si="61">N21*N22*N23</f>
        <v>314572800</v>
      </c>
      <c r="O24" s="8"/>
      <c r="P24" s="8">
        <f t="shared" ref="P24" si="62">P21*P22*P23</f>
        <v>314572800</v>
      </c>
      <c r="Q24" s="8"/>
      <c r="R24" s="8">
        <f t="shared" ref="R24" si="63">R21*R22*R23</f>
        <v>314572800</v>
      </c>
      <c r="S24" s="8"/>
      <c r="T24" s="8">
        <f t="shared" ref="T24" si="64">T21*T22*T23</f>
        <v>314572800</v>
      </c>
      <c r="U24" s="8"/>
      <c r="V24" s="8">
        <f t="shared" ref="V24" si="65">V21*V22*V23</f>
        <v>78643200</v>
      </c>
      <c r="W24" s="8"/>
      <c r="X24" s="8">
        <f t="shared" ref="X24" si="66">X21*X22*X23</f>
        <v>78643200</v>
      </c>
      <c r="Y24" s="8"/>
      <c r="Z24" s="4"/>
      <c r="AA24" s="4"/>
    </row>
    <row r="25" spans="1:27" x14ac:dyDescent="0.2">
      <c r="A25" s="3" t="s">
        <v>32</v>
      </c>
      <c r="B25" s="12">
        <f>B24*$F8/86400</f>
        <v>1.8204444444444443E-4</v>
      </c>
      <c r="C25" s="12"/>
      <c r="D25" s="12">
        <f>D24*$F8/86400+B25</f>
        <v>4.5511111111111099E-3</v>
      </c>
      <c r="E25" s="12"/>
      <c r="F25" s="12">
        <f t="shared" ref="F25" si="67">F24*$F8/86400+D25</f>
        <v>8.9201777777777758E-3</v>
      </c>
      <c r="G25" s="12"/>
      <c r="H25" s="12">
        <f t="shared" ref="H25" si="68">H24*$F8/86400+F25</f>
        <v>1.3289244444444442E-2</v>
      </c>
      <c r="I25" s="12"/>
      <c r="J25" s="12">
        <f t="shared" ref="J25" si="69">J24*$F8/86400+H25</f>
        <v>1.7658311111111109E-2</v>
      </c>
      <c r="K25" s="12"/>
      <c r="L25" s="12">
        <f t="shared" ref="L25" si="70">L24*$F8/86400+J25</f>
        <v>1.9842844444444441E-2</v>
      </c>
      <c r="M25" s="12"/>
      <c r="N25" s="12">
        <f t="shared" ref="N25" si="71">N24*$F8/86400+L25</f>
        <v>2.2027377777777774E-2</v>
      </c>
      <c r="O25" s="12"/>
      <c r="P25" s="12">
        <f t="shared" ref="P25" si="72">P24*$F8/86400+N25</f>
        <v>2.4211911111111106E-2</v>
      </c>
      <c r="Q25" s="12"/>
      <c r="R25" s="12">
        <f t="shared" ref="R25" si="73">R24*$F8/86400+P25</f>
        <v>2.6396444444444438E-2</v>
      </c>
      <c r="S25" s="12"/>
      <c r="T25" s="12">
        <f t="shared" ref="T25" si="74">T24*$F8/86400+R25</f>
        <v>2.858097777777777E-2</v>
      </c>
      <c r="U25" s="12"/>
      <c r="V25" s="12">
        <f t="shared" ref="V25" si="75">V24*$F8/86400+T25</f>
        <v>2.9127111111111104E-2</v>
      </c>
      <c r="W25" s="12"/>
      <c r="X25" s="12">
        <f t="shared" ref="X25" si="76">X24*$F8/86400+V25</f>
        <v>2.9673244444444438E-2</v>
      </c>
      <c r="Y25" s="12"/>
      <c r="Z25" s="9"/>
      <c r="AA25" s="9"/>
    </row>
    <row r="31" spans="1:27" x14ac:dyDescent="0.2">
      <c r="E31" s="10"/>
    </row>
  </sheetData>
  <mergeCells count="90">
    <mergeCell ref="Z25:AA25"/>
    <mergeCell ref="Z22:AA22"/>
    <mergeCell ref="T23:U23"/>
    <mergeCell ref="V23:W23"/>
    <mergeCell ref="X23:Y23"/>
    <mergeCell ref="Z23:AA23"/>
    <mergeCell ref="Z16:AA16"/>
    <mergeCell ref="T21:U21"/>
    <mergeCell ref="V21:W21"/>
    <mergeCell ref="X21:Y21"/>
    <mergeCell ref="Z21:AA21"/>
    <mergeCell ref="P25:Q25"/>
    <mergeCell ref="R25:S25"/>
    <mergeCell ref="T16:U16"/>
    <mergeCell ref="V16:W16"/>
    <mergeCell ref="X16:Y16"/>
    <mergeCell ref="T22:U22"/>
    <mergeCell ref="V22:W22"/>
    <mergeCell ref="X22:Y22"/>
    <mergeCell ref="T25:U25"/>
    <mergeCell ref="V25:W25"/>
    <mergeCell ref="X25:Y25"/>
    <mergeCell ref="P24:Q24"/>
    <mergeCell ref="R24:S24"/>
    <mergeCell ref="T24:U24"/>
    <mergeCell ref="V24:W24"/>
    <mergeCell ref="X24:Y24"/>
    <mergeCell ref="P22:Q22"/>
    <mergeCell ref="R22:S22"/>
    <mergeCell ref="L23:M23"/>
    <mergeCell ref="N23:O23"/>
    <mergeCell ref="P23:Q23"/>
    <mergeCell ref="R23:S23"/>
    <mergeCell ref="P16:Q16"/>
    <mergeCell ref="R16:S16"/>
    <mergeCell ref="L21:M21"/>
    <mergeCell ref="N21:O21"/>
    <mergeCell ref="P21:Q21"/>
    <mergeCell ref="R21:S21"/>
    <mergeCell ref="J25:K25"/>
    <mergeCell ref="L2:M2"/>
    <mergeCell ref="L5:M5"/>
    <mergeCell ref="L16:M16"/>
    <mergeCell ref="N16:O16"/>
    <mergeCell ref="L22:M22"/>
    <mergeCell ref="N22:O22"/>
    <mergeCell ref="L25:M25"/>
    <mergeCell ref="N25:O25"/>
    <mergeCell ref="J24:K24"/>
    <mergeCell ref="L24:M24"/>
    <mergeCell ref="N24:O24"/>
    <mergeCell ref="D3:E3"/>
    <mergeCell ref="D2:E2"/>
    <mergeCell ref="D1:E1"/>
    <mergeCell ref="B25:C25"/>
    <mergeCell ref="D25:E25"/>
    <mergeCell ref="B24:C24"/>
    <mergeCell ref="D24:E24"/>
    <mergeCell ref="D10:E10"/>
    <mergeCell ref="L3:M3"/>
    <mergeCell ref="L4:M4"/>
    <mergeCell ref="L1:M1"/>
    <mergeCell ref="B16:C16"/>
    <mergeCell ref="D16:E16"/>
    <mergeCell ref="F16:G16"/>
    <mergeCell ref="H16:I16"/>
    <mergeCell ref="J16:K16"/>
    <mergeCell ref="B21:C21"/>
    <mergeCell ref="B22:C22"/>
    <mergeCell ref="B23:C23"/>
    <mergeCell ref="D21:E21"/>
    <mergeCell ref="D22:E22"/>
    <mergeCell ref="D23:E23"/>
    <mergeCell ref="J21:K21"/>
    <mergeCell ref="F22:G22"/>
    <mergeCell ref="H22:I22"/>
    <mergeCell ref="J22:K22"/>
    <mergeCell ref="J23:K23"/>
    <mergeCell ref="F23:G23"/>
    <mergeCell ref="H23:I23"/>
    <mergeCell ref="F21:G21"/>
    <mergeCell ref="H21:I21"/>
    <mergeCell ref="F25:G25"/>
    <mergeCell ref="H25:I25"/>
    <mergeCell ref="F24:G24"/>
    <mergeCell ref="H24:I24"/>
    <mergeCell ref="D9:E9"/>
    <mergeCell ref="D8:E8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  <ignoredErrors>
    <ignoredError sqref="E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FF28-7221-43C9-AFD5-E9B2F94032D2}">
  <dimension ref="A1:Y25"/>
  <sheetViews>
    <sheetView workbookViewId="0">
      <selection activeCell="C33" sqref="C33"/>
    </sheetView>
  </sheetViews>
  <sheetFormatPr defaultRowHeight="14.25" x14ac:dyDescent="0.2"/>
  <cols>
    <col min="1" max="1" width="16.5" customWidth="1"/>
    <col min="2" max="2" width="11.625" bestFit="1" customWidth="1"/>
    <col min="3" max="3" width="9.125" bestFit="1" customWidth="1"/>
    <col min="4" max="4" width="12.75" bestFit="1" customWidth="1"/>
    <col min="5" max="5" width="13.375" bestFit="1" customWidth="1"/>
    <col min="6" max="6" width="9.375" bestFit="1" customWidth="1"/>
    <col min="7" max="7" width="9.125" bestFit="1" customWidth="1"/>
    <col min="8" max="8" width="13.5" customWidth="1"/>
    <col min="9" max="9" width="13" bestFit="1" customWidth="1"/>
    <col min="10" max="10" width="9.375" bestFit="1" customWidth="1"/>
    <col min="11" max="11" width="9.125" bestFit="1" customWidth="1"/>
    <col min="12" max="12" width="10.5" bestFit="1" customWidth="1"/>
    <col min="14" max="14" width="9.375" bestFit="1" customWidth="1"/>
    <col min="16" max="16" width="13.375" customWidth="1"/>
  </cols>
  <sheetData>
    <row r="1" spans="1:25" x14ac:dyDescent="0.2">
      <c r="A1" t="s">
        <v>18</v>
      </c>
      <c r="D1" s="6" t="s">
        <v>28</v>
      </c>
      <c r="E1" s="6"/>
      <c r="L1" s="6" t="s">
        <v>29</v>
      </c>
      <c r="M1" s="6"/>
    </row>
    <row r="2" spans="1:25" x14ac:dyDescent="0.2">
      <c r="A2" t="s">
        <v>1</v>
      </c>
      <c r="B2">
        <v>9481</v>
      </c>
      <c r="D2" s="6" t="s">
        <v>31</v>
      </c>
      <c r="E2" s="6"/>
      <c r="F2">
        <v>19.909876918386299</v>
      </c>
      <c r="H2" t="s">
        <v>23</v>
      </c>
      <c r="I2" s="2">
        <f>ROUND(F4,0)</f>
        <v>12</v>
      </c>
      <c r="L2" s="6" t="s">
        <v>31</v>
      </c>
      <c r="M2" s="6"/>
      <c r="N2">
        <v>42.926477759350803</v>
      </c>
      <c r="P2" t="s">
        <v>23</v>
      </c>
      <c r="Q2" s="2">
        <f>ROUND(1/N4,0)</f>
        <v>4</v>
      </c>
    </row>
    <row r="3" spans="1:25" x14ac:dyDescent="0.2">
      <c r="A3" t="s">
        <v>0</v>
      </c>
      <c r="B3">
        <v>20</v>
      </c>
      <c r="D3" s="6" t="s">
        <v>30</v>
      </c>
      <c r="E3" s="6"/>
      <c r="F3">
        <v>17</v>
      </c>
      <c r="H3" t="s">
        <v>42</v>
      </c>
      <c r="I3" s="2">
        <f>$B4*F5/300000000*1000000000000000</f>
        <v>52300.882458116022</v>
      </c>
      <c r="L3" s="6" t="s">
        <v>30</v>
      </c>
      <c r="M3" s="6"/>
      <c r="N3">
        <v>-29.5</v>
      </c>
      <c r="P3" t="s">
        <v>42</v>
      </c>
      <c r="Q3" s="2">
        <f>$B4*N5/300000000*1000000000000000</f>
        <v>9380.9992619267869</v>
      </c>
    </row>
    <row r="4" spans="1:25" x14ac:dyDescent="0.2">
      <c r="A4" t="s">
        <v>13</v>
      </c>
      <c r="B4" s="1">
        <v>4.0000000000000001E-3</v>
      </c>
      <c r="D4" s="6" t="s">
        <v>26</v>
      </c>
      <c r="E4" s="6"/>
      <c r="F4">
        <f>SIN(RADIANS(F2+F3))/SIN(RADIANS(F2-F3))</f>
        <v>11.830135875287004</v>
      </c>
      <c r="H4" t="s">
        <v>24</v>
      </c>
      <c r="I4" s="2">
        <f>MAX(ROUND(I3/$B7,0),1)</f>
        <v>65</v>
      </c>
      <c r="L4" s="6" t="s">
        <v>26</v>
      </c>
      <c r="M4" s="6"/>
      <c r="N4">
        <f>SIN(RADIANS(N2+N3))/SIN(RADIANS(N2-N3))</f>
        <v>0.24356450463759297</v>
      </c>
      <c r="P4" t="s">
        <v>24</v>
      </c>
      <c r="Q4" s="2">
        <f>MAX(ROUND(Q3/$B7,0),1)</f>
        <v>12</v>
      </c>
    </row>
    <row r="5" spans="1:25" x14ac:dyDescent="0.2">
      <c r="A5" t="s">
        <v>14</v>
      </c>
      <c r="B5" s="1">
        <v>4.0000000000000001E-3</v>
      </c>
      <c r="D5" s="6" t="s">
        <v>27</v>
      </c>
      <c r="E5" s="6"/>
      <c r="F5">
        <f>ABS((COS(RADIANS(F2-F3))-COS(RADIANS(F2+F3)))/SIN(RADIANS(F2-F3)))</f>
        <v>3.9225661843587014</v>
      </c>
      <c r="L5" s="6" t="s">
        <v>27</v>
      </c>
      <c r="M5" s="6"/>
      <c r="N5">
        <f>ABS((COS(RADIANS(N2-N3))-COS(RADIANS(N2+N3)))/SIN(RADIANS(N2-N3)))</f>
        <v>0.70357494464450898</v>
      </c>
    </row>
    <row r="6" spans="1:25" x14ac:dyDescent="0.2">
      <c r="L6" s="2"/>
    </row>
    <row r="7" spans="1:25" x14ac:dyDescent="0.2">
      <c r="A7" t="s">
        <v>15</v>
      </c>
      <c r="B7">
        <f>B3*40</f>
        <v>800</v>
      </c>
    </row>
    <row r="8" spans="1:25" x14ac:dyDescent="0.2">
      <c r="A8" t="s">
        <v>16</v>
      </c>
      <c r="B8">
        <f>B3/10</f>
        <v>2</v>
      </c>
      <c r="D8" s="6" t="s">
        <v>25</v>
      </c>
      <c r="E8" s="6"/>
      <c r="F8" s="1">
        <v>5.9999999999999997E-7</v>
      </c>
      <c r="H8" t="s">
        <v>45</v>
      </c>
      <c r="I8" s="1">
        <f>2048*2*500000</f>
        <v>2048000000</v>
      </c>
    </row>
    <row r="9" spans="1:25" x14ac:dyDescent="0.2">
      <c r="A9" t="s">
        <v>17</v>
      </c>
      <c r="B9">
        <f>4/B8</f>
        <v>2</v>
      </c>
      <c r="D9" s="6" t="s">
        <v>41</v>
      </c>
      <c r="E9" s="6"/>
      <c r="F9" s="11" cm="1">
        <f t="array" ref="F9">IFERROR(LOOKUP(1,0/(25:25&lt;&gt;""),25:25),"")</f>
        <v>9.8622577777777776E-2</v>
      </c>
    </row>
    <row r="10" spans="1:25" x14ac:dyDescent="0.2">
      <c r="A10" t="s">
        <v>19</v>
      </c>
      <c r="B10">
        <f>B9/B14</f>
        <v>5.0000000000000001E-3</v>
      </c>
      <c r="D10" s="6" t="s">
        <v>44</v>
      </c>
      <c r="E10" s="6"/>
      <c r="F10" s="11">
        <f>X25-J25</f>
        <v>8.0691199999999991E-2</v>
      </c>
    </row>
    <row r="12" spans="1:25" x14ac:dyDescent="0.2">
      <c r="A12" s="3" t="s">
        <v>20</v>
      </c>
      <c r="B12">
        <v>256</v>
      </c>
      <c r="H12" s="3"/>
      <c r="I12" s="3"/>
      <c r="J12" s="5"/>
    </row>
    <row r="13" spans="1:25" x14ac:dyDescent="0.2">
      <c r="A13" s="3" t="s">
        <v>21</v>
      </c>
      <c r="B13">
        <v>256</v>
      </c>
      <c r="D13" t="s">
        <v>46</v>
      </c>
      <c r="E13">
        <v>8</v>
      </c>
    </row>
    <row r="14" spans="1:25" x14ac:dyDescent="0.2">
      <c r="A14" s="3" t="s">
        <v>22</v>
      </c>
      <c r="B14">
        <f>B7/B8</f>
        <v>400</v>
      </c>
    </row>
    <row r="16" spans="1:25" x14ac:dyDescent="0.2">
      <c r="B16" s="6" t="s">
        <v>33</v>
      </c>
      <c r="C16" s="6"/>
      <c r="D16" s="6" t="s">
        <v>2</v>
      </c>
      <c r="E16" s="6"/>
      <c r="F16" s="6" t="s">
        <v>3</v>
      </c>
      <c r="G16" s="6"/>
      <c r="H16" s="6" t="s">
        <v>4</v>
      </c>
      <c r="I16" s="6"/>
      <c r="J16" s="6" t="s">
        <v>5</v>
      </c>
      <c r="K16" s="6"/>
      <c r="L16" s="6" t="s">
        <v>34</v>
      </c>
      <c r="M16" s="6"/>
      <c r="N16" s="6" t="s">
        <v>35</v>
      </c>
      <c r="O16" s="6"/>
      <c r="P16" s="6" t="s">
        <v>36</v>
      </c>
      <c r="Q16" s="6"/>
      <c r="R16" s="6" t="s">
        <v>37</v>
      </c>
      <c r="S16" s="6"/>
      <c r="T16" s="6" t="s">
        <v>38</v>
      </c>
      <c r="U16" s="6"/>
      <c r="V16" s="6" t="s">
        <v>39</v>
      </c>
      <c r="W16" s="6"/>
      <c r="X16" s="6" t="s">
        <v>40</v>
      </c>
      <c r="Y16" s="6"/>
    </row>
    <row r="17" spans="1:25" x14ac:dyDescent="0.2">
      <c r="A17" s="3" t="s">
        <v>6</v>
      </c>
      <c r="B17" s="2">
        <f>B4*1000000</f>
        <v>4000</v>
      </c>
      <c r="C17" s="2">
        <f>B17/B21</f>
        <v>15.625</v>
      </c>
      <c r="D17" s="2">
        <f>B17*$I2</f>
        <v>48000</v>
      </c>
      <c r="E17" s="2">
        <f>D17/D21</f>
        <v>15.625</v>
      </c>
      <c r="F17" s="2">
        <f>D17</f>
        <v>48000</v>
      </c>
      <c r="G17" s="2">
        <f t="shared" ref="G17:I19" si="0">F17/F21</f>
        <v>15.625</v>
      </c>
      <c r="H17" s="2">
        <f>F17</f>
        <v>48000</v>
      </c>
      <c r="I17" s="2">
        <f t="shared" ref="I17:I19" si="1">H17/H21</f>
        <v>15.625</v>
      </c>
      <c r="J17" s="2">
        <f>H17/I2</f>
        <v>4000</v>
      </c>
      <c r="K17" s="2">
        <f>J17/J21</f>
        <v>1.3020833333333333</v>
      </c>
      <c r="L17" s="2">
        <f>J17</f>
        <v>4000</v>
      </c>
      <c r="M17" s="2">
        <f>L17/L21</f>
        <v>1.3020833333333333</v>
      </c>
      <c r="N17" s="2">
        <f>L17*Q2</f>
        <v>16000</v>
      </c>
      <c r="O17" s="2">
        <f>N17/N21</f>
        <v>5.208333333333333</v>
      </c>
      <c r="P17" s="2">
        <f t="shared" ref="P17:P19" si="2">N17</f>
        <v>16000</v>
      </c>
      <c r="Q17" s="2">
        <f t="shared" ref="Q17:Y19" si="3">P17/P21</f>
        <v>5.208333333333333</v>
      </c>
      <c r="R17" s="2">
        <f t="shared" ref="R17:R19" si="4">P17</f>
        <v>16000</v>
      </c>
      <c r="S17" s="2">
        <f t="shared" ref="S17:Y19" si="5">R17/R21</f>
        <v>5.208333333333333</v>
      </c>
      <c r="T17" s="2">
        <f t="shared" ref="T17:T19" si="6">R17</f>
        <v>16000</v>
      </c>
      <c r="U17" s="2">
        <f t="shared" ref="U17:Y19" si="7">T17/T21</f>
        <v>5.208333333333333</v>
      </c>
      <c r="V17" s="2">
        <f>T17/Q2</f>
        <v>4000</v>
      </c>
      <c r="W17" s="2">
        <f t="shared" ref="W17:Y19" si="8">V17/V21</f>
        <v>5.208333333333333</v>
      </c>
      <c r="X17" s="2">
        <f t="shared" ref="X17:X19" si="9">V17</f>
        <v>4000</v>
      </c>
      <c r="Y17" s="2">
        <f t="shared" ref="Y17:Y19" si="10">X17/X21</f>
        <v>5.208333333333333</v>
      </c>
    </row>
    <row r="18" spans="1:25" x14ac:dyDescent="0.2">
      <c r="A18" s="3" t="s">
        <v>7</v>
      </c>
      <c r="B18" s="2">
        <f>B5*1000000</f>
        <v>4000</v>
      </c>
      <c r="C18" s="2">
        <f>B18/B22</f>
        <v>15.625</v>
      </c>
      <c r="D18" s="2">
        <f>B18</f>
        <v>4000</v>
      </c>
      <c r="E18" s="2">
        <f>D18/D22</f>
        <v>500</v>
      </c>
      <c r="F18" s="2">
        <f t="shared" ref="F18" si="11">D18</f>
        <v>4000</v>
      </c>
      <c r="G18" s="2">
        <f t="shared" si="0"/>
        <v>500</v>
      </c>
      <c r="H18" s="2">
        <f t="shared" ref="H18" si="12">F18</f>
        <v>4000</v>
      </c>
      <c r="I18" s="2">
        <f t="shared" si="1"/>
        <v>500</v>
      </c>
      <c r="J18" s="2">
        <f t="shared" ref="J18" si="13">H18</f>
        <v>4000</v>
      </c>
      <c r="K18" s="2">
        <f>J18/J22</f>
        <v>500</v>
      </c>
      <c r="L18" s="2">
        <f t="shared" ref="L18" si="14">J18</f>
        <v>4000</v>
      </c>
      <c r="M18" s="2">
        <f>L18/L22</f>
        <v>500</v>
      </c>
      <c r="N18" s="2">
        <f t="shared" ref="N18" si="15">L18</f>
        <v>4000</v>
      </c>
      <c r="O18" s="2">
        <f>N18/N22</f>
        <v>500</v>
      </c>
      <c r="P18" s="2">
        <f t="shared" si="2"/>
        <v>4000</v>
      </c>
      <c r="Q18" s="2">
        <f t="shared" si="3"/>
        <v>15.625</v>
      </c>
      <c r="R18" s="2">
        <f t="shared" si="4"/>
        <v>4000</v>
      </c>
      <c r="S18" s="2">
        <f t="shared" si="5"/>
        <v>15.625</v>
      </c>
      <c r="T18" s="2">
        <f t="shared" si="6"/>
        <v>4000</v>
      </c>
      <c r="U18" s="2">
        <f t="shared" si="7"/>
        <v>15.625</v>
      </c>
      <c r="V18" s="2">
        <f t="shared" ref="V18:V20" si="16">T18</f>
        <v>4000</v>
      </c>
      <c r="W18" s="2">
        <f t="shared" si="8"/>
        <v>500</v>
      </c>
      <c r="X18" s="2">
        <f t="shared" si="9"/>
        <v>4000</v>
      </c>
      <c r="Y18" s="2">
        <f t="shared" si="10"/>
        <v>500</v>
      </c>
    </row>
    <row r="19" spans="1:25" x14ac:dyDescent="0.2">
      <c r="A19" s="3" t="s">
        <v>8</v>
      </c>
      <c r="B19" s="2">
        <f>B7</f>
        <v>800</v>
      </c>
      <c r="C19" s="2">
        <f>B8</f>
        <v>2</v>
      </c>
      <c r="D19" s="2">
        <f>B19*$I4</f>
        <v>52000</v>
      </c>
      <c r="E19" s="2">
        <f>D19/D23</f>
        <v>2</v>
      </c>
      <c r="F19" s="2">
        <f>D19</f>
        <v>52000</v>
      </c>
      <c r="G19" s="2">
        <f t="shared" si="0"/>
        <v>2</v>
      </c>
      <c r="H19" s="2">
        <f>F19</f>
        <v>52000</v>
      </c>
      <c r="I19" s="2">
        <f t="shared" si="1"/>
        <v>2</v>
      </c>
      <c r="J19" s="2">
        <f>H19</f>
        <v>52000</v>
      </c>
      <c r="K19" s="2">
        <f>J19/J23</f>
        <v>2</v>
      </c>
      <c r="L19" s="2">
        <f>J19/I4*Q4</f>
        <v>9600</v>
      </c>
      <c r="M19" s="2">
        <f>L19/L23</f>
        <v>2</v>
      </c>
      <c r="N19" s="2">
        <f>L19</f>
        <v>9600</v>
      </c>
      <c r="O19" s="2">
        <f>N19/N23</f>
        <v>2</v>
      </c>
      <c r="P19" s="2">
        <f t="shared" si="2"/>
        <v>9600</v>
      </c>
      <c r="Q19" s="2">
        <f t="shared" si="3"/>
        <v>2</v>
      </c>
      <c r="R19" s="2">
        <f t="shared" si="4"/>
        <v>9600</v>
      </c>
      <c r="S19" s="2">
        <f t="shared" si="5"/>
        <v>2</v>
      </c>
      <c r="T19" s="2">
        <f t="shared" si="6"/>
        <v>9600</v>
      </c>
      <c r="U19" s="2">
        <f t="shared" si="7"/>
        <v>2</v>
      </c>
      <c r="V19" s="2">
        <f t="shared" si="16"/>
        <v>9600</v>
      </c>
      <c r="W19" s="2">
        <f t="shared" si="8"/>
        <v>2</v>
      </c>
      <c r="X19" s="2">
        <f t="shared" si="9"/>
        <v>9600</v>
      </c>
      <c r="Y19" s="2">
        <f t="shared" si="10"/>
        <v>2</v>
      </c>
    </row>
    <row r="20" spans="1:25" x14ac:dyDescent="0.2">
      <c r="A20" s="3" t="s">
        <v>9</v>
      </c>
      <c r="B20" s="2">
        <f>B9*1000</f>
        <v>2000</v>
      </c>
      <c r="C20" s="2">
        <f>B10*1000</f>
        <v>5</v>
      </c>
      <c r="D20" s="2">
        <f>$B20*$C19/E19</f>
        <v>2000</v>
      </c>
      <c r="E20" s="2">
        <f>$B19*$C20/D19</f>
        <v>7.6923076923076927E-2</v>
      </c>
      <c r="F20" s="2">
        <f>$B20*$C19/G19</f>
        <v>2000</v>
      </c>
      <c r="G20" s="2">
        <f t="shared" ref="G20" si="17">$B19*$C20/F19</f>
        <v>7.6923076923076927E-2</v>
      </c>
      <c r="H20" s="2">
        <f>$B20*$C19/I19</f>
        <v>2000</v>
      </c>
      <c r="I20" s="2">
        <f t="shared" ref="I20" si="18">$B19*$C20/H19</f>
        <v>7.6923076923076927E-2</v>
      </c>
      <c r="J20" s="2">
        <f>$B20*$C19/K19</f>
        <v>2000</v>
      </c>
      <c r="K20" s="2">
        <f>$B19*$C20/J19</f>
        <v>7.6923076923076927E-2</v>
      </c>
      <c r="L20" s="2">
        <f>$B20*$C19/M19</f>
        <v>2000</v>
      </c>
      <c r="M20" s="2">
        <f>$B19*$C20/L19</f>
        <v>0.41666666666666669</v>
      </c>
      <c r="N20" s="2">
        <f>$B20*$C19/O19</f>
        <v>2000</v>
      </c>
      <c r="O20" s="2">
        <f>$B19*$C20/N19</f>
        <v>0.41666666666666669</v>
      </c>
      <c r="P20" s="2">
        <f t="shared" ref="P20" si="19">$B20*$C19/Q19</f>
        <v>2000</v>
      </c>
      <c r="Q20" s="2">
        <f t="shared" ref="Q20" si="20">$B19*$C20/P19</f>
        <v>0.41666666666666669</v>
      </c>
      <c r="R20" s="2">
        <f t="shared" ref="R20" si="21">$B20*$C19/S19</f>
        <v>2000</v>
      </c>
      <c r="S20" s="2">
        <f t="shared" ref="S20" si="22">$B19*$C20/R19</f>
        <v>0.41666666666666669</v>
      </c>
      <c r="T20" s="2">
        <f t="shared" ref="T20" si="23">$B20*$C19/U19</f>
        <v>2000</v>
      </c>
      <c r="U20" s="2">
        <f t="shared" ref="U20" si="24">$B19*$C20/T19</f>
        <v>0.41666666666666669</v>
      </c>
      <c r="V20" s="2">
        <f t="shared" ref="V20" si="25">$B20*$C19/W19</f>
        <v>2000</v>
      </c>
      <c r="W20" s="2">
        <f t="shared" ref="W20" si="26">$B19*$C20/V19</f>
        <v>0.41666666666666669</v>
      </c>
      <c r="X20" s="2">
        <f t="shared" ref="X20" si="27">$B20*$C19/Y19</f>
        <v>2000</v>
      </c>
      <c r="Y20" s="2">
        <f t="shared" ref="Y20" si="28">$B19*$C20/X19</f>
        <v>0.41666666666666669</v>
      </c>
    </row>
    <row r="21" spans="1:25" x14ac:dyDescent="0.2">
      <c r="A21" s="3" t="s">
        <v>10</v>
      </c>
      <c r="B21" s="7">
        <f>B12</f>
        <v>256</v>
      </c>
      <c r="C21" s="7"/>
      <c r="D21" s="7">
        <f>B21*$I2</f>
        <v>3072</v>
      </c>
      <c r="E21" s="7"/>
      <c r="F21" s="7">
        <f>D21</f>
        <v>3072</v>
      </c>
      <c r="G21" s="7"/>
      <c r="H21" s="7">
        <f>F21</f>
        <v>3072</v>
      </c>
      <c r="I21" s="7"/>
      <c r="J21" s="7">
        <f>H21</f>
        <v>3072</v>
      </c>
      <c r="K21" s="7"/>
      <c r="L21" s="7">
        <f>J21</f>
        <v>3072</v>
      </c>
      <c r="M21" s="7"/>
      <c r="N21" s="7">
        <f>J21</f>
        <v>3072</v>
      </c>
      <c r="O21" s="7"/>
      <c r="P21" s="7">
        <f>N21</f>
        <v>3072</v>
      </c>
      <c r="Q21" s="7"/>
      <c r="R21" s="7">
        <f t="shared" ref="R21:R23" si="29">P21</f>
        <v>3072</v>
      </c>
      <c r="S21" s="7"/>
      <c r="T21" s="7">
        <f t="shared" ref="T21:T23" si="30">R21</f>
        <v>3072</v>
      </c>
      <c r="U21" s="7"/>
      <c r="V21" s="7">
        <f>T21/Q2</f>
        <v>768</v>
      </c>
      <c r="W21" s="7"/>
      <c r="X21" s="7">
        <f t="shared" ref="X21:X23" si="31">V21</f>
        <v>768</v>
      </c>
      <c r="Y21" s="7"/>
    </row>
    <row r="22" spans="1:25" x14ac:dyDescent="0.2">
      <c r="A22" s="3" t="s">
        <v>11</v>
      </c>
      <c r="B22" s="7">
        <f>B13</f>
        <v>256</v>
      </c>
      <c r="C22" s="7"/>
      <c r="D22" s="7">
        <f>E13</f>
        <v>8</v>
      </c>
      <c r="E22" s="7"/>
      <c r="F22" s="7">
        <f t="shared" ref="F22" si="32">D22</f>
        <v>8</v>
      </c>
      <c r="G22" s="7"/>
      <c r="H22" s="7">
        <f t="shared" ref="H22:H23" si="33">F22</f>
        <v>8</v>
      </c>
      <c r="I22" s="7"/>
      <c r="J22" s="7">
        <f>H22</f>
        <v>8</v>
      </c>
      <c r="K22" s="7"/>
      <c r="L22" s="7">
        <f>J22</f>
        <v>8</v>
      </c>
      <c r="M22" s="7"/>
      <c r="N22" s="7">
        <f t="shared" ref="N22" si="34">L22</f>
        <v>8</v>
      </c>
      <c r="O22" s="7"/>
      <c r="P22" s="7">
        <f>B13</f>
        <v>256</v>
      </c>
      <c r="Q22" s="7"/>
      <c r="R22" s="7">
        <f>P22</f>
        <v>256</v>
      </c>
      <c r="S22" s="7"/>
      <c r="T22" s="7">
        <f t="shared" si="30"/>
        <v>256</v>
      </c>
      <c r="U22" s="7"/>
      <c r="V22" s="7">
        <f>E13</f>
        <v>8</v>
      </c>
      <c r="W22" s="7"/>
      <c r="X22" s="7">
        <f t="shared" si="31"/>
        <v>8</v>
      </c>
      <c r="Y22" s="7"/>
    </row>
    <row r="23" spans="1:25" x14ac:dyDescent="0.2">
      <c r="A23" s="3" t="s">
        <v>12</v>
      </c>
      <c r="B23" s="7">
        <f>B14</f>
        <v>400</v>
      </c>
      <c r="C23" s="7"/>
      <c r="D23" s="7">
        <f>B23*$I4</f>
        <v>26000</v>
      </c>
      <c r="E23" s="7"/>
      <c r="F23" s="7">
        <f>D23</f>
        <v>26000</v>
      </c>
      <c r="G23" s="7"/>
      <c r="H23" s="7">
        <f t="shared" si="33"/>
        <v>26000</v>
      </c>
      <c r="I23" s="7"/>
      <c r="J23" s="7">
        <f t="shared" ref="J23:J24" si="35">H23</f>
        <v>26000</v>
      </c>
      <c r="K23" s="7"/>
      <c r="L23" s="7">
        <f>J23/I4*Q4</f>
        <v>4800</v>
      </c>
      <c r="M23" s="7"/>
      <c r="N23" s="7">
        <f>L23</f>
        <v>4800</v>
      </c>
      <c r="O23" s="7"/>
      <c r="P23" s="7">
        <f t="shared" ref="P22:P23" si="36">N23</f>
        <v>4800</v>
      </c>
      <c r="Q23" s="7"/>
      <c r="R23" s="7">
        <f t="shared" si="29"/>
        <v>4800</v>
      </c>
      <c r="S23" s="7"/>
      <c r="T23" s="7">
        <f t="shared" si="30"/>
        <v>4800</v>
      </c>
      <c r="U23" s="7"/>
      <c r="V23" s="7">
        <f t="shared" ref="V22:V23" si="37">T23</f>
        <v>4800</v>
      </c>
      <c r="W23" s="7"/>
      <c r="X23" s="7">
        <f t="shared" si="31"/>
        <v>4800</v>
      </c>
      <c r="Y23" s="7"/>
    </row>
    <row r="24" spans="1:25" x14ac:dyDescent="0.2">
      <c r="A24" s="3" t="s">
        <v>43</v>
      </c>
      <c r="B24" s="8">
        <f>B21*B22*B23</f>
        <v>26214400</v>
      </c>
      <c r="C24" s="8"/>
      <c r="D24" s="8">
        <f t="shared" ref="D24" si="38">D21*D22*D23</f>
        <v>638976000</v>
      </c>
      <c r="E24" s="8"/>
      <c r="F24" s="8">
        <f t="shared" ref="F24" si="39">F21*F22*F23</f>
        <v>638976000</v>
      </c>
      <c r="G24" s="8"/>
      <c r="H24" s="8">
        <f t="shared" ref="H24" si="40">H21*H22*H23</f>
        <v>638976000</v>
      </c>
      <c r="I24" s="8"/>
      <c r="J24" s="8">
        <f t="shared" ref="J24" si="41">J21*J22*J23</f>
        <v>638976000</v>
      </c>
      <c r="K24" s="8"/>
      <c r="L24" s="8">
        <f t="shared" ref="L24" si="42">L21*L22*L23</f>
        <v>117964800</v>
      </c>
      <c r="M24" s="8"/>
      <c r="N24" s="8">
        <f t="shared" ref="N24" si="43">N21*N22*N23</f>
        <v>117964800</v>
      </c>
      <c r="O24" s="8"/>
      <c r="P24" s="8">
        <f t="shared" ref="P24" si="44">P21*P22*P23</f>
        <v>3774873600</v>
      </c>
      <c r="Q24" s="8"/>
      <c r="R24" s="8">
        <f t="shared" ref="R24" si="45">R21*R22*R23</f>
        <v>3774873600</v>
      </c>
      <c r="S24" s="8"/>
      <c r="T24" s="8">
        <f t="shared" ref="T24" si="46">T21*T22*T23</f>
        <v>3774873600</v>
      </c>
      <c r="U24" s="8"/>
      <c r="V24" s="8">
        <f t="shared" ref="V24" si="47">V21*V22*V23</f>
        <v>29491200</v>
      </c>
      <c r="W24" s="8"/>
      <c r="X24" s="8">
        <f t="shared" ref="X24" si="48">X21*X22*X23</f>
        <v>29491200</v>
      </c>
      <c r="Y24" s="8"/>
    </row>
    <row r="25" spans="1:25" x14ac:dyDescent="0.2">
      <c r="A25" s="3" t="s">
        <v>32</v>
      </c>
      <c r="B25" s="12">
        <f>B24*$F8/86400</f>
        <v>1.8204444444444443E-4</v>
      </c>
      <c r="C25" s="12"/>
      <c r="D25" s="12">
        <f>D24*$F8/86400+B25</f>
        <v>4.6193777777777771E-3</v>
      </c>
      <c r="E25" s="12"/>
      <c r="F25" s="12">
        <f t="shared" ref="F25" si="49">F24*$F8/86400+D25</f>
        <v>9.0567111111111102E-3</v>
      </c>
      <c r="G25" s="12"/>
      <c r="H25" s="12">
        <f t="shared" ref="H25" si="50">H24*$F8/86400+F25</f>
        <v>1.3494044444444443E-2</v>
      </c>
      <c r="I25" s="12"/>
      <c r="J25" s="12">
        <f t="shared" ref="J25" si="51">J24*$F8/86400+H25</f>
        <v>1.7931377777777778E-2</v>
      </c>
      <c r="K25" s="12"/>
      <c r="L25" s="12">
        <f t="shared" ref="L25" si="52">L24*$F8/86400+J25</f>
        <v>1.8750577777777777E-2</v>
      </c>
      <c r="M25" s="12"/>
      <c r="N25" s="12">
        <f t="shared" ref="N25" si="53">N24*$F8/86400+L25</f>
        <v>1.9569777777777776E-2</v>
      </c>
      <c r="O25" s="12"/>
      <c r="P25" s="12">
        <f t="shared" ref="P25" si="54">P24*$F8/86400+N25</f>
        <v>4.5784177777777775E-2</v>
      </c>
      <c r="Q25" s="12"/>
      <c r="R25" s="12">
        <f t="shared" ref="R25" si="55">R24*$F8/86400+P25</f>
        <v>7.1998577777777767E-2</v>
      </c>
      <c r="S25" s="12"/>
      <c r="T25" s="12">
        <f t="shared" ref="T25" si="56">T24*$F8/86400+R25</f>
        <v>9.8212977777777766E-2</v>
      </c>
      <c r="U25" s="12"/>
      <c r="V25" s="12">
        <f t="shared" ref="V25" si="57">V24*$F8/86400+T25</f>
        <v>9.8417777777777771E-2</v>
      </c>
      <c r="W25" s="12"/>
      <c r="X25" s="12">
        <f t="shared" ref="X25" si="58">X24*$F8/86400+V25</f>
        <v>9.8622577777777776E-2</v>
      </c>
      <c r="Y25" s="12"/>
    </row>
  </sheetData>
  <mergeCells count="85">
    <mergeCell ref="P25:Q25"/>
    <mergeCell ref="R25:S25"/>
    <mergeCell ref="T25:U25"/>
    <mergeCell ref="V25:W25"/>
    <mergeCell ref="X25:Y25"/>
    <mergeCell ref="T24:U24"/>
    <mergeCell ref="V24:W24"/>
    <mergeCell ref="X24:Y24"/>
    <mergeCell ref="B25:C25"/>
    <mergeCell ref="D25:E25"/>
    <mergeCell ref="F25:G25"/>
    <mergeCell ref="H25:I25"/>
    <mergeCell ref="J25:K25"/>
    <mergeCell ref="L25:M25"/>
    <mergeCell ref="N25:O25"/>
    <mergeCell ref="X23:Y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L23:M23"/>
    <mergeCell ref="N23:O23"/>
    <mergeCell ref="P23:Q23"/>
    <mergeCell ref="R23:S23"/>
    <mergeCell ref="T23:U23"/>
    <mergeCell ref="V23:W23"/>
    <mergeCell ref="P22:Q22"/>
    <mergeCell ref="R22:S22"/>
    <mergeCell ref="T22:U22"/>
    <mergeCell ref="V22:W22"/>
    <mergeCell ref="X22:Y22"/>
    <mergeCell ref="B23:C23"/>
    <mergeCell ref="D23:E23"/>
    <mergeCell ref="F23:G23"/>
    <mergeCell ref="H23:I23"/>
    <mergeCell ref="J23:K23"/>
    <mergeCell ref="T21:U21"/>
    <mergeCell ref="V21:W21"/>
    <mergeCell ref="X21:Y21"/>
    <mergeCell ref="B22:C22"/>
    <mergeCell ref="D22:E22"/>
    <mergeCell ref="F22:G22"/>
    <mergeCell ref="H22:I22"/>
    <mergeCell ref="J22:K22"/>
    <mergeCell ref="L22:M22"/>
    <mergeCell ref="N22:O22"/>
    <mergeCell ref="X16:Y16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L16:M16"/>
    <mergeCell ref="N16:O16"/>
    <mergeCell ref="P16:Q16"/>
    <mergeCell ref="R16:S16"/>
    <mergeCell ref="T16:U16"/>
    <mergeCell ref="V16:W16"/>
    <mergeCell ref="D10:E10"/>
    <mergeCell ref="B16:C16"/>
    <mergeCell ref="D16:E16"/>
    <mergeCell ref="F16:G16"/>
    <mergeCell ref="H16:I16"/>
    <mergeCell ref="J16:K16"/>
    <mergeCell ref="D4:E4"/>
    <mergeCell ref="L4:M4"/>
    <mergeCell ref="D5:E5"/>
    <mergeCell ref="L5:M5"/>
    <mergeCell ref="D8:E8"/>
    <mergeCell ref="D9:E9"/>
    <mergeCell ref="D1:E1"/>
    <mergeCell ref="L1:M1"/>
    <mergeCell ref="D2:E2"/>
    <mergeCell ref="L2:M2"/>
    <mergeCell ref="D3:E3"/>
    <mergeCell ref="L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9481</vt:lpstr>
      <vt:lpstr>9481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2015-06-05T18:19:34Z</dcterms:created>
  <dcterms:modified xsi:type="dcterms:W3CDTF">2021-03-25T16:00:37Z</dcterms:modified>
</cp:coreProperties>
</file>