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ac-my.sharepoint.com/personal/yavas_slac_stanford_edu/Documents/LCLS-II-HE/Optics_calculations/"/>
    </mc:Choice>
  </mc:AlternateContent>
  <xr:revisionPtr revIDLastSave="0" documentId="8_{4976C7F0-7988-4814-9384-74A348063F09}" xr6:coauthVersionLast="47" xr6:coauthVersionMax="47" xr10:uidLastSave="{00000000-0000-0000-0000-000000000000}"/>
  <bookViews>
    <workbookView xWindow="7460" yWindow="1000" windowWidth="27640" windowHeight="19520" firstSheet="4" activeTab="4" xr2:uid="{6FDFD292-6916-AD47-BD4D-5B8A402B5A12}"/>
  </bookViews>
  <sheets>
    <sheet name="SASE-HHLM-66meV" sheetId="1" r:id="rId1"/>
    <sheet name="SASE-HHLM-36meV" sheetId="2" r:id="rId2"/>
    <sheet name="HXRSS-HHLM-66meV" sheetId="3" r:id="rId3"/>
    <sheet name="HXRSS-HHLM-36meV" sheetId="4" r:id="rId4"/>
    <sheet name="Option-1" sheetId="7" r:id="rId5"/>
    <sheet name="Option-2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8" l="1"/>
  <c r="E19" i="8"/>
  <c r="F19" i="8"/>
  <c r="C19" i="8"/>
  <c r="D19" i="8" s="1"/>
  <c r="D14" i="7"/>
  <c r="C14" i="7"/>
  <c r="F14" i="7" s="1"/>
  <c r="E14" i="8"/>
  <c r="D14" i="8"/>
  <c r="F14" i="8"/>
  <c r="F15" i="8" s="1"/>
  <c r="C14" i="8"/>
  <c r="C15" i="8" s="1"/>
  <c r="F13" i="8"/>
  <c r="E12" i="8"/>
  <c r="F12" i="8"/>
  <c r="D15" i="8"/>
  <c r="E15" i="8"/>
  <c r="C16" i="8"/>
  <c r="C20" i="8"/>
  <c r="D27" i="8"/>
  <c r="G27" i="8" s="1"/>
  <c r="H27" i="8" s="1"/>
  <c r="G28" i="8"/>
  <c r="C29" i="8"/>
  <c r="D29" i="8"/>
  <c r="G29" i="8"/>
  <c r="G30" i="8" s="1"/>
  <c r="H29" i="8"/>
  <c r="C30" i="8"/>
  <c r="D30" i="8"/>
  <c r="H30" i="8"/>
  <c r="C31" i="8"/>
  <c r="C32" i="8"/>
  <c r="C33" i="8"/>
  <c r="D31" i="8" s="1"/>
  <c r="G7" i="8"/>
  <c r="D5" i="8"/>
  <c r="E5" i="8" s="1"/>
  <c r="B1" i="8"/>
  <c r="F13" i="7"/>
  <c r="E14" i="7"/>
  <c r="E12" i="7"/>
  <c r="F12" i="7"/>
  <c r="C31" i="7"/>
  <c r="G28" i="7"/>
  <c r="D27" i="7"/>
  <c r="G27" i="7" s="1"/>
  <c r="H27" i="7" s="1"/>
  <c r="C16" i="7"/>
  <c r="G7" i="7"/>
  <c r="E5" i="7"/>
  <c r="D6" i="7" s="1"/>
  <c r="D5" i="7"/>
  <c r="B1" i="7"/>
  <c r="C29" i="7" s="1"/>
  <c r="C16" i="4"/>
  <c r="F14" i="4"/>
  <c r="F15" i="4" s="1"/>
  <c r="E14" i="4"/>
  <c r="E15" i="4" s="1"/>
  <c r="D14" i="4"/>
  <c r="D15" i="4" s="1"/>
  <c r="C14" i="4"/>
  <c r="C15" i="4" s="1"/>
  <c r="C19" i="4" s="1"/>
  <c r="F13" i="4"/>
  <c r="F12" i="4"/>
  <c r="E12" i="4"/>
  <c r="E19" i="2"/>
  <c r="F19" i="2"/>
  <c r="D19" i="2"/>
  <c r="C19" i="2"/>
  <c r="C31" i="4"/>
  <c r="E28" i="4"/>
  <c r="D27" i="4"/>
  <c r="E27" i="4" s="1"/>
  <c r="F27" i="4" s="1"/>
  <c r="G7" i="4"/>
  <c r="D5" i="4"/>
  <c r="E5" i="4" s="1"/>
  <c r="B1" i="4"/>
  <c r="C16" i="3"/>
  <c r="G7" i="3"/>
  <c r="G7" i="1"/>
  <c r="G7" i="2"/>
  <c r="C31" i="3"/>
  <c r="G28" i="3"/>
  <c r="D27" i="3"/>
  <c r="G27" i="3" s="1"/>
  <c r="H27" i="3" s="1"/>
  <c r="D5" i="3"/>
  <c r="E5" i="3" s="1"/>
  <c r="B1" i="3"/>
  <c r="C7" i="3" s="1"/>
  <c r="D7" i="3" s="1"/>
  <c r="E7" i="3" s="1"/>
  <c r="F13" i="2"/>
  <c r="F12" i="2"/>
  <c r="E12" i="2"/>
  <c r="C31" i="2"/>
  <c r="E28" i="2"/>
  <c r="D27" i="2"/>
  <c r="E27" i="2" s="1"/>
  <c r="F27" i="2" s="1"/>
  <c r="C16" i="2"/>
  <c r="D5" i="2"/>
  <c r="E5" i="2" s="1"/>
  <c r="B1" i="2"/>
  <c r="E29" i="2" s="1"/>
  <c r="E30" i="2" s="1"/>
  <c r="C31" i="1"/>
  <c r="G28" i="1"/>
  <c r="D27" i="1"/>
  <c r="G27" i="1" s="1"/>
  <c r="H27" i="1" s="1"/>
  <c r="C16" i="1"/>
  <c r="B1" i="1"/>
  <c r="C7" i="1" s="1"/>
  <c r="D7" i="1" s="1"/>
  <c r="E7" i="1" s="1"/>
  <c r="D5" i="1"/>
  <c r="E5" i="1" s="1"/>
  <c r="F5" i="1" s="1"/>
  <c r="C20" i="1" s="1"/>
  <c r="C17" i="8" l="1"/>
  <c r="C34" i="8"/>
  <c r="D34" i="8" s="1"/>
  <c r="E34" i="8" s="1"/>
  <c r="F34" i="8" s="1"/>
  <c r="C21" i="8"/>
  <c r="C18" i="8"/>
  <c r="D16" i="8" s="1"/>
  <c r="D17" i="8" s="1"/>
  <c r="D32" i="8"/>
  <c r="D33" i="8"/>
  <c r="F5" i="8"/>
  <c r="E6" i="8"/>
  <c r="D6" i="8"/>
  <c r="C7" i="8"/>
  <c r="D7" i="8" s="1"/>
  <c r="E7" i="8" s="1"/>
  <c r="C30" i="7"/>
  <c r="C32" i="7"/>
  <c r="C33" i="7"/>
  <c r="D31" i="7" s="1"/>
  <c r="E15" i="7"/>
  <c r="D29" i="7"/>
  <c r="D30" i="7" s="1"/>
  <c r="C7" i="7"/>
  <c r="D7" i="7" s="1"/>
  <c r="E7" i="7" s="1"/>
  <c r="F15" i="7"/>
  <c r="G29" i="7"/>
  <c r="G30" i="7" s="1"/>
  <c r="F5" i="7"/>
  <c r="C20" i="7" s="1"/>
  <c r="C15" i="7"/>
  <c r="H29" i="7"/>
  <c r="H30" i="7" s="1"/>
  <c r="D15" i="7"/>
  <c r="C17" i="7"/>
  <c r="C18" i="4"/>
  <c r="D16" i="4" s="1"/>
  <c r="D19" i="4"/>
  <c r="E19" i="4" s="1"/>
  <c r="F19" i="4" s="1"/>
  <c r="C17" i="4"/>
  <c r="F5" i="4"/>
  <c r="C20" i="4" s="1"/>
  <c r="C22" i="4" s="1"/>
  <c r="D20" i="4" s="1"/>
  <c r="E6" i="4"/>
  <c r="D6" i="4"/>
  <c r="C29" i="4"/>
  <c r="C30" i="4" s="1"/>
  <c r="C33" i="4" s="1"/>
  <c r="D31" i="4" s="1"/>
  <c r="C32" i="4"/>
  <c r="C7" i="4"/>
  <c r="D7" i="4" s="1"/>
  <c r="E7" i="4" s="1"/>
  <c r="E29" i="4"/>
  <c r="E30" i="4" s="1"/>
  <c r="F29" i="4"/>
  <c r="F30" i="4" s="1"/>
  <c r="D29" i="4"/>
  <c r="D30" i="4" s="1"/>
  <c r="C14" i="2"/>
  <c r="C15" i="2" s="1"/>
  <c r="C18" i="2"/>
  <c r="D16" i="2" s="1"/>
  <c r="D14" i="2"/>
  <c r="F14" i="3"/>
  <c r="F15" i="3" s="1"/>
  <c r="E14" i="2"/>
  <c r="E15" i="2" s="1"/>
  <c r="G29" i="3"/>
  <c r="G30" i="3" s="1"/>
  <c r="C14" i="3"/>
  <c r="C15" i="3" s="1"/>
  <c r="C18" i="3" s="1"/>
  <c r="D16" i="3" s="1"/>
  <c r="H29" i="1"/>
  <c r="H30" i="1" s="1"/>
  <c r="D14" i="3"/>
  <c r="D15" i="3" s="1"/>
  <c r="E14" i="3"/>
  <c r="E15" i="3" s="1"/>
  <c r="F5" i="3"/>
  <c r="C20" i="3" s="1"/>
  <c r="H29" i="3"/>
  <c r="H30" i="3" s="1"/>
  <c r="D6" i="3"/>
  <c r="C29" i="3"/>
  <c r="C30" i="3" s="1"/>
  <c r="C33" i="3" s="1"/>
  <c r="D31" i="3" s="1"/>
  <c r="D29" i="3"/>
  <c r="D30" i="3" s="1"/>
  <c r="F5" i="2"/>
  <c r="C20" i="2" s="1"/>
  <c r="D17" i="2"/>
  <c r="D6" i="2"/>
  <c r="F14" i="2"/>
  <c r="F15" i="2" s="1"/>
  <c r="F29" i="2"/>
  <c r="F30" i="2" s="1"/>
  <c r="C17" i="2"/>
  <c r="C29" i="2"/>
  <c r="C30" i="2" s="1"/>
  <c r="C33" i="2" s="1"/>
  <c r="D31" i="2" s="1"/>
  <c r="C7" i="2"/>
  <c r="D7" i="2" s="1"/>
  <c r="E7" i="2" s="1"/>
  <c r="D15" i="2"/>
  <c r="D29" i="2"/>
  <c r="D30" i="2" s="1"/>
  <c r="D29" i="1"/>
  <c r="D30" i="1" s="1"/>
  <c r="G29" i="1"/>
  <c r="G30" i="1" s="1"/>
  <c r="C29" i="1"/>
  <c r="C30" i="1" s="1"/>
  <c r="C14" i="1"/>
  <c r="C17" i="1" s="1"/>
  <c r="E14" i="1"/>
  <c r="E15" i="1" s="1"/>
  <c r="F14" i="1"/>
  <c r="F15" i="1" s="1"/>
  <c r="D14" i="1"/>
  <c r="D15" i="1" s="1"/>
  <c r="E6" i="1"/>
  <c r="D6" i="1"/>
  <c r="D20" i="8" l="1"/>
  <c r="D22" i="8" s="1"/>
  <c r="E20" i="8" s="1"/>
  <c r="D18" i="8"/>
  <c r="E16" i="8" s="1"/>
  <c r="E18" i="8" s="1"/>
  <c r="F16" i="8" s="1"/>
  <c r="G34" i="8"/>
  <c r="H34" i="8" s="1"/>
  <c r="G31" i="8"/>
  <c r="E31" i="8"/>
  <c r="C18" i="7"/>
  <c r="D16" i="7" s="1"/>
  <c r="D18" i="7" s="1"/>
  <c r="E16" i="7" s="1"/>
  <c r="C19" i="7"/>
  <c r="D19" i="7" s="1"/>
  <c r="E19" i="7" s="1"/>
  <c r="F19" i="7" s="1"/>
  <c r="C22" i="7"/>
  <c r="D20" i="7" s="1"/>
  <c r="E6" i="7"/>
  <c r="D32" i="7"/>
  <c r="D33" i="7"/>
  <c r="C19" i="3"/>
  <c r="C17" i="3"/>
  <c r="C22" i="3"/>
  <c r="D20" i="3" s="1"/>
  <c r="D22" i="4"/>
  <c r="E20" i="4" s="1"/>
  <c r="C21" i="4"/>
  <c r="D18" i="4"/>
  <c r="E16" i="4" s="1"/>
  <c r="D17" i="4"/>
  <c r="F7" i="4"/>
  <c r="D33" i="4"/>
  <c r="E31" i="4" s="1"/>
  <c r="D32" i="4"/>
  <c r="D19" i="3"/>
  <c r="E19" i="3" s="1"/>
  <c r="F19" i="3" s="1"/>
  <c r="F7" i="3" s="1"/>
  <c r="C22" i="2"/>
  <c r="C21" i="2" s="1"/>
  <c r="D18" i="2"/>
  <c r="E16" i="2" s="1"/>
  <c r="C34" i="2"/>
  <c r="D34" i="2" s="1"/>
  <c r="E34" i="2" s="1"/>
  <c r="F34" i="2" s="1"/>
  <c r="C32" i="3"/>
  <c r="C32" i="1"/>
  <c r="D18" i="3"/>
  <c r="E16" i="3" s="1"/>
  <c r="D17" i="3"/>
  <c r="D33" i="3"/>
  <c r="D32" i="3"/>
  <c r="E6" i="3"/>
  <c r="D33" i="2"/>
  <c r="E31" i="2" s="1"/>
  <c r="D32" i="2"/>
  <c r="E18" i="2"/>
  <c r="F16" i="2" s="1"/>
  <c r="E17" i="2"/>
  <c r="C32" i="2"/>
  <c r="D20" i="2"/>
  <c r="E6" i="2"/>
  <c r="C33" i="1"/>
  <c r="D31" i="1" s="1"/>
  <c r="D33" i="1" s="1"/>
  <c r="C15" i="1"/>
  <c r="D17" i="7" l="1"/>
  <c r="D21" i="8"/>
  <c r="E17" i="8"/>
  <c r="E22" i="8"/>
  <c r="F20" i="8" s="1"/>
  <c r="E32" i="8"/>
  <c r="E33" i="8"/>
  <c r="F31" i="8" s="1"/>
  <c r="F17" i="8"/>
  <c r="F18" i="8"/>
  <c r="G33" i="8"/>
  <c r="H31" i="8" s="1"/>
  <c r="G32" i="8"/>
  <c r="F7" i="8"/>
  <c r="F7" i="7"/>
  <c r="C34" i="7"/>
  <c r="D34" i="7" s="1"/>
  <c r="D22" i="7"/>
  <c r="E20" i="7" s="1"/>
  <c r="G31" i="7"/>
  <c r="E31" i="7"/>
  <c r="E18" i="7"/>
  <c r="F16" i="7" s="1"/>
  <c r="E17" i="7"/>
  <c r="C21" i="7"/>
  <c r="D32" i="1"/>
  <c r="G31" i="3"/>
  <c r="G32" i="3" s="1"/>
  <c r="E31" i="3"/>
  <c r="C21" i="3"/>
  <c r="D22" i="3"/>
  <c r="E20" i="3" s="1"/>
  <c r="E18" i="4"/>
  <c r="F16" i="4" s="1"/>
  <c r="E17" i="4"/>
  <c r="E22" i="4"/>
  <c r="F20" i="4" s="1"/>
  <c r="D21" i="4"/>
  <c r="C34" i="4"/>
  <c r="D34" i="4" s="1"/>
  <c r="E34" i="4" s="1"/>
  <c r="F34" i="4" s="1"/>
  <c r="E33" i="4"/>
  <c r="F31" i="4" s="1"/>
  <c r="E32" i="4"/>
  <c r="C34" i="3"/>
  <c r="D34" i="3" s="1"/>
  <c r="D22" i="2"/>
  <c r="E20" i="2" s="1"/>
  <c r="F7" i="2"/>
  <c r="E18" i="3"/>
  <c r="F16" i="3" s="1"/>
  <c r="E17" i="3"/>
  <c r="G33" i="3"/>
  <c r="H31" i="3" s="1"/>
  <c r="F18" i="2"/>
  <c r="F17" i="2"/>
  <c r="E32" i="2"/>
  <c r="E33" i="2"/>
  <c r="F31" i="2" s="1"/>
  <c r="C19" i="1"/>
  <c r="C18" i="1"/>
  <c r="D16" i="1" s="1"/>
  <c r="H32" i="8" l="1"/>
  <c r="H33" i="8"/>
  <c r="F22" i="8"/>
  <c r="E21" i="8"/>
  <c r="F33" i="8"/>
  <c r="F32" i="8"/>
  <c r="E21" i="4"/>
  <c r="D21" i="3"/>
  <c r="F18" i="7"/>
  <c r="F17" i="7"/>
  <c r="E34" i="7"/>
  <c r="F34" i="7" s="1"/>
  <c r="G34" i="7"/>
  <c r="H34" i="7" s="1"/>
  <c r="E22" i="7"/>
  <c r="F20" i="7" s="1"/>
  <c r="E32" i="7"/>
  <c r="E33" i="7"/>
  <c r="F31" i="7" s="1"/>
  <c r="G33" i="7"/>
  <c r="H31" i="7" s="1"/>
  <c r="G32" i="7"/>
  <c r="D21" i="7"/>
  <c r="G31" i="1"/>
  <c r="E31" i="1"/>
  <c r="E33" i="1" s="1"/>
  <c r="G34" i="3"/>
  <c r="H34" i="3" s="1"/>
  <c r="E34" i="3"/>
  <c r="F34" i="3" s="1"/>
  <c r="E33" i="3"/>
  <c r="F31" i="3" s="1"/>
  <c r="E32" i="3"/>
  <c r="E22" i="3"/>
  <c r="F20" i="3" s="1"/>
  <c r="F22" i="3" s="1"/>
  <c r="C37" i="3" s="1"/>
  <c r="F18" i="4"/>
  <c r="F17" i="4"/>
  <c r="F22" i="4"/>
  <c r="F21" i="4"/>
  <c r="F33" i="4"/>
  <c r="F32" i="4"/>
  <c r="C22" i="1"/>
  <c r="C21" i="1" s="1"/>
  <c r="D19" i="1"/>
  <c r="F18" i="3"/>
  <c r="F17" i="3"/>
  <c r="H33" i="3"/>
  <c r="H32" i="3"/>
  <c r="F33" i="2"/>
  <c r="F32" i="2"/>
  <c r="D21" i="2"/>
  <c r="E22" i="2"/>
  <c r="F20" i="2" s="1"/>
  <c r="D17" i="1"/>
  <c r="D18" i="1"/>
  <c r="E16" i="1" s="1"/>
  <c r="C37" i="8" l="1"/>
  <c r="D35" i="8" s="1"/>
  <c r="C35" i="8"/>
  <c r="F21" i="8"/>
  <c r="E21" i="7"/>
  <c r="H32" i="7"/>
  <c r="H33" i="7"/>
  <c r="F22" i="7"/>
  <c r="C35" i="7" s="1"/>
  <c r="F33" i="7"/>
  <c r="F32" i="7"/>
  <c r="E32" i="1"/>
  <c r="F31" i="1"/>
  <c r="G32" i="1"/>
  <c r="G33" i="1"/>
  <c r="H31" i="1" s="1"/>
  <c r="F32" i="3"/>
  <c r="F33" i="3"/>
  <c r="F21" i="3"/>
  <c r="E21" i="3"/>
  <c r="E19" i="1"/>
  <c r="F19" i="1" s="1"/>
  <c r="D20" i="1"/>
  <c r="D22" i="1" s="1"/>
  <c r="E20" i="1" s="1"/>
  <c r="C35" i="3"/>
  <c r="E21" i="2"/>
  <c r="F22" i="2"/>
  <c r="C35" i="2" s="1"/>
  <c r="C37" i="2" s="1"/>
  <c r="E17" i="1"/>
  <c r="E18" i="1"/>
  <c r="F16" i="1" s="1"/>
  <c r="C36" i="8" l="1"/>
  <c r="D37" i="8"/>
  <c r="E35" i="8" s="1"/>
  <c r="E37" i="8" s="1"/>
  <c r="F35" i="8" s="1"/>
  <c r="C37" i="7"/>
  <c r="D35" i="7" s="1"/>
  <c r="F21" i="7"/>
  <c r="H32" i="1"/>
  <c r="H33" i="1"/>
  <c r="F33" i="1"/>
  <c r="F32" i="1"/>
  <c r="C37" i="4"/>
  <c r="D35" i="4" s="1"/>
  <c r="C35" i="4"/>
  <c r="C34" i="1"/>
  <c r="D34" i="1" s="1"/>
  <c r="F7" i="1"/>
  <c r="D35" i="3"/>
  <c r="F21" i="2"/>
  <c r="D35" i="2"/>
  <c r="F17" i="1"/>
  <c r="F18" i="1"/>
  <c r="E22" i="1"/>
  <c r="F20" i="1" s="1"/>
  <c r="D21" i="1"/>
  <c r="F37" i="8" l="1"/>
  <c r="G35" i="8" s="1"/>
  <c r="D36" i="8"/>
  <c r="C36" i="4"/>
  <c r="C36" i="7"/>
  <c r="D37" i="7"/>
  <c r="D36" i="7" s="1"/>
  <c r="E34" i="1"/>
  <c r="F34" i="1" s="1"/>
  <c r="G34" i="1"/>
  <c r="H34" i="1" s="1"/>
  <c r="D37" i="4"/>
  <c r="C36" i="3"/>
  <c r="D37" i="3"/>
  <c r="C36" i="2"/>
  <c r="D37" i="2"/>
  <c r="F22" i="1"/>
  <c r="E21" i="1"/>
  <c r="G37" i="8" l="1"/>
  <c r="H35" i="8" s="1"/>
  <c r="F36" i="8"/>
  <c r="D40" i="8"/>
  <c r="D41" i="8" s="1"/>
  <c r="E35" i="7"/>
  <c r="E37" i="7" s="1"/>
  <c r="F35" i="7" s="1"/>
  <c r="D40" i="7"/>
  <c r="D41" i="7" s="1"/>
  <c r="E35" i="3"/>
  <c r="E37" i="3" s="1"/>
  <c r="D40" i="3"/>
  <c r="D41" i="3" s="1"/>
  <c r="E35" i="4"/>
  <c r="D40" i="4"/>
  <c r="D41" i="4" s="1"/>
  <c r="D36" i="4"/>
  <c r="D36" i="3"/>
  <c r="D40" i="2"/>
  <c r="D41" i="2" s="1"/>
  <c r="E35" i="2"/>
  <c r="D36" i="2"/>
  <c r="F21" i="1"/>
  <c r="C35" i="1"/>
  <c r="C37" i="1" s="1"/>
  <c r="D35" i="1" s="1"/>
  <c r="G36" i="8" l="1"/>
  <c r="H37" i="8"/>
  <c r="H36" i="8" s="1"/>
  <c r="F37" i="7"/>
  <c r="G35" i="7" s="1"/>
  <c r="F35" i="3"/>
  <c r="E37" i="4"/>
  <c r="F35" i="4" s="1"/>
  <c r="E37" i="2"/>
  <c r="F35" i="2" s="1"/>
  <c r="D37" i="1"/>
  <c r="H15" i="8" l="1"/>
  <c r="G37" i="7"/>
  <c r="H35" i="7" s="1"/>
  <c r="F36" i="7"/>
  <c r="D40" i="1"/>
  <c r="D41" i="1" s="1"/>
  <c r="F40" i="1"/>
  <c r="F41" i="1" s="1"/>
  <c r="F37" i="3"/>
  <c r="G35" i="3" s="1"/>
  <c r="G37" i="3" s="1"/>
  <c r="H35" i="3" s="1"/>
  <c r="H37" i="3" s="1"/>
  <c r="H36" i="3" s="1"/>
  <c r="D36" i="1"/>
  <c r="E35" i="1"/>
  <c r="F37" i="4"/>
  <c r="F36" i="4" s="1"/>
  <c r="E36" i="4"/>
  <c r="E36" i="2"/>
  <c r="F37" i="2"/>
  <c r="F36" i="2" s="1"/>
  <c r="C36" i="1"/>
  <c r="F35" i="1" l="1"/>
  <c r="F37" i="1" s="1"/>
  <c r="G35" i="1" s="1"/>
  <c r="G37" i="1" s="1"/>
  <c r="E37" i="1"/>
  <c r="G36" i="7"/>
  <c r="H37" i="7"/>
  <c r="H36" i="7" s="1"/>
  <c r="G36" i="3"/>
  <c r="F36" i="3"/>
  <c r="H15" i="4"/>
  <c r="H15" i="2"/>
  <c r="H15" i="7" l="1"/>
  <c r="H15" i="3"/>
  <c r="F36" i="1"/>
  <c r="H35" i="1"/>
  <c r="H37" i="1" s="1"/>
  <c r="H36" i="1" s="1"/>
  <c r="G36" i="1" l="1"/>
  <c r="H15" i="1" s="1"/>
</calcChain>
</file>

<file path=xl/sharedStrings.xml><?xml version="1.0" encoding="utf-8"?>
<sst xmlns="http://schemas.openxmlformats.org/spreadsheetml/2006/main" count="344" uniqueCount="53">
  <si>
    <t>E (eV)</t>
  </si>
  <si>
    <t>SASE</t>
  </si>
  <si>
    <t>Source</t>
  </si>
  <si>
    <t>M1L3</t>
  </si>
  <si>
    <t>M2L3</t>
  </si>
  <si>
    <t>HHLM</t>
  </si>
  <si>
    <t>HRM</t>
  </si>
  <si>
    <t>Z-position (m)</t>
  </si>
  <si>
    <t>Beam size (mm) - FWHM</t>
  </si>
  <si>
    <t>Power-in(W)</t>
  </si>
  <si>
    <t>Power-abs(W)</t>
  </si>
  <si>
    <t>see below</t>
  </si>
  <si>
    <t>Bandwidth (eV)</t>
  </si>
  <si>
    <t>C1</t>
  </si>
  <si>
    <t>C2</t>
  </si>
  <si>
    <t>C3</t>
  </si>
  <si>
    <t>C4</t>
  </si>
  <si>
    <t>Reflection</t>
  </si>
  <si>
    <t>Si(220)</t>
  </si>
  <si>
    <t>Si(444)</t>
  </si>
  <si>
    <t>Asymmetry (deg)</t>
  </si>
  <si>
    <t>Bragg (deg)</t>
  </si>
  <si>
    <t>Power sanity check</t>
  </si>
  <si>
    <t>b (asym. param.)</t>
  </si>
  <si>
    <t>beam size in (mm)</t>
  </si>
  <si>
    <t>Footprint (mm)</t>
  </si>
  <si>
    <t>beam size out (mm)</t>
  </si>
  <si>
    <t>BW out (eV)</t>
  </si>
  <si>
    <t>Power-in (W)</t>
  </si>
  <si>
    <t>Power-abs (W)</t>
  </si>
  <si>
    <t>Power-out (W)</t>
  </si>
  <si>
    <t>4f-HRM</t>
  </si>
  <si>
    <t>DCM-1.1</t>
  </si>
  <si>
    <t>DCM-1.2</t>
  </si>
  <si>
    <t>FC1</t>
  </si>
  <si>
    <t>FC2</t>
  </si>
  <si>
    <t>DCM-2.1</t>
  </si>
  <si>
    <t>DCM-2.2</t>
  </si>
  <si>
    <t>Si(440)</t>
  </si>
  <si>
    <t>mrad</t>
  </si>
  <si>
    <t>target resolution (meV)</t>
  </si>
  <si>
    <t>broadest reasonable resolution</t>
  </si>
  <si>
    <t>power out (W)</t>
  </si>
  <si>
    <t>flux (1/s)</t>
  </si>
  <si>
    <t>highest resolution</t>
  </si>
  <si>
    <t>Si(800)</t>
  </si>
  <si>
    <t>Note: Same as Option-1, except the HHLM is narrow-band</t>
  </si>
  <si>
    <t>Self-seed</t>
  </si>
  <si>
    <t>self-seeded</t>
  </si>
  <si>
    <t>Note: Same layout as Option-1, except self-seeded beam</t>
  </si>
  <si>
    <t>Note: 15˚ asymmetry on the 4f, HHLM is pretty narrow-band (half compared to option-3)</t>
  </si>
  <si>
    <t>Si(111)</t>
  </si>
  <si>
    <t>Si(400)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</si>
</sst>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2" fontId="0" fillId="5" borderId="0" xfId="0" applyNumberFormat="1" applyFill="1"/>
    <xf numFmtId="0" fontId="0" fillId="6" borderId="0" xfId="0" applyFill="1" applyAlignment="1">
      <alignment horizontal="center"/>
    </xf>
    <xf numFmtId="0" fontId="0" fillId="6" borderId="0" xfId="0" applyFill="1"/>
    <xf numFmtId="2" fontId="0" fillId="6" borderId="0" xfId="0" applyNumberFormat="1" applyFill="1"/>
    <xf numFmtId="165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0" fontId="0" fillId="8" borderId="0" xfId="0" applyFill="1" applyAlignment="1">
      <alignment horizontal="center"/>
    </xf>
    <xf numFmtId="2" fontId="0" fillId="8" borderId="0" xfId="0" applyNumberFormat="1" applyFill="1"/>
    <xf numFmtId="165" fontId="0" fillId="8" borderId="0" xfId="0" applyNumberFormat="1" applyFill="1"/>
    <xf numFmtId="0" fontId="1" fillId="3" borderId="0" xfId="0" applyFont="1" applyFill="1"/>
    <xf numFmtId="165" fontId="0" fillId="3" borderId="0" xfId="0" applyNumberFormat="1" applyFill="1"/>
    <xf numFmtId="0" fontId="1" fillId="0" borderId="0" xfId="0" applyFont="1" applyAlignment="1">
      <alignment horizontal="center" vertical="center"/>
    </xf>
    <xf numFmtId="2" fontId="0" fillId="3" borderId="0" xfId="0" applyNumberFormat="1" applyFill="1"/>
    <xf numFmtId="164" fontId="0" fillId="8" borderId="0" xfId="0" applyNumberFormat="1" applyFill="1"/>
    <xf numFmtId="0" fontId="1" fillId="6" borderId="0" xfId="0" applyFont="1" applyFill="1"/>
    <xf numFmtId="2" fontId="1" fillId="6" borderId="0" xfId="0" applyNumberFormat="1" applyFont="1" applyFill="1"/>
    <xf numFmtId="165" fontId="1" fillId="6" borderId="0" xfId="0" applyNumberFormat="1" applyFont="1" applyFill="1"/>
    <xf numFmtId="0" fontId="1" fillId="8" borderId="0" xfId="0" applyFont="1" applyFill="1"/>
    <xf numFmtId="165" fontId="1" fillId="8" borderId="0" xfId="0" applyNumberFormat="1" applyFont="1" applyFill="1"/>
    <xf numFmtId="0" fontId="1" fillId="4" borderId="0" xfId="0" applyFont="1" applyFill="1"/>
    <xf numFmtId="2" fontId="0" fillId="0" borderId="0" xfId="0" applyNumberFormat="1"/>
    <xf numFmtId="0" fontId="1" fillId="0" borderId="0" xfId="0" applyFont="1"/>
    <xf numFmtId="2" fontId="1" fillId="8" borderId="0" xfId="0" applyNumberFormat="1" applyFont="1" applyFill="1"/>
    <xf numFmtId="0" fontId="0" fillId="8" borderId="1" xfId="0" applyFill="1" applyBorder="1" applyAlignment="1">
      <alignment horizontal="right"/>
    </xf>
    <xf numFmtId="0" fontId="0" fillId="8" borderId="2" xfId="0" applyFill="1" applyBorder="1" applyAlignment="1">
      <alignment horizontal="right"/>
    </xf>
    <xf numFmtId="2" fontId="0" fillId="7" borderId="3" xfId="0" applyNumberFormat="1" applyFill="1" applyBorder="1"/>
    <xf numFmtId="2" fontId="0" fillId="7" borderId="4" xfId="0" applyNumberFormat="1" applyFill="1" applyBorder="1"/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6E7F-A460-AD4D-A5A7-16FDBABB0388}">
  <dimension ref="A1:H43"/>
  <sheetViews>
    <sheetView topLeftCell="A2" zoomScaleNormal="100" workbookViewId="0">
      <selection activeCell="C6" sqref="C6"/>
    </sheetView>
  </sheetViews>
  <sheetFormatPr defaultColWidth="11" defaultRowHeight="15.95"/>
  <cols>
    <col min="1" max="1" width="17.375" customWidth="1"/>
    <col min="2" max="2" width="8.375" bestFit="1" customWidth="1"/>
    <col min="3" max="4" width="12.125" bestFit="1" customWidth="1"/>
  </cols>
  <sheetData>
    <row r="1" spans="1:8" ht="18.95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4" t="s">
        <v>11</v>
      </c>
      <c r="G6" s="44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6.6366999999999995E-2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2" t="s">
        <v>5</v>
      </c>
      <c r="D10" s="42"/>
      <c r="E10" s="42"/>
      <c r="F10" s="42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1" t="s">
        <v>18</v>
      </c>
      <c r="D12" s="41" t="s">
        <v>19</v>
      </c>
      <c r="E12" s="41" t="s">
        <v>19</v>
      </c>
      <c r="F12" s="41" t="s">
        <v>18</v>
      </c>
    </row>
    <row r="13" spans="1:8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v>-17</v>
      </c>
    </row>
    <row r="14" spans="1:8">
      <c r="A14" s="6" t="s">
        <v>21</v>
      </c>
      <c r="B14" s="6"/>
      <c r="C14" s="11">
        <f>DEGREES(ASIN(12398/$B$1/1.92/2))</f>
        <v>19.909687810699978</v>
      </c>
      <c r="D14" s="11">
        <f>DEGREES(ASIN(12398/$B$1/0.7839/2))</f>
        <v>56.519986703749602</v>
      </c>
      <c r="E14" s="11">
        <f>DEGREES(ASIN(12398/$B$1/0.7839/2))</f>
        <v>56.519986703749602</v>
      </c>
      <c r="F14" s="11">
        <f t="shared" ref="F14" si="0">DEGREES(ASIN(12398/$B$1/1.92/2))</f>
        <v>19.909687810699978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D6+E6+C21+D21+E21+F21+C36+D36+G36+H36+H37</f>
        <v>49.97763870541138</v>
      </c>
    </row>
    <row r="16" spans="1:8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8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17.730427729221869</v>
      </c>
      <c r="E17" s="14">
        <f t="shared" si="2"/>
        <v>17.730427729221869</v>
      </c>
      <c r="F17" s="14">
        <f t="shared" si="2"/>
        <v>24.624812898155728</v>
      </c>
    </row>
    <row r="18" spans="1:8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8">
      <c r="A19" s="13" t="s">
        <v>27</v>
      </c>
      <c r="B19" s="13"/>
      <c r="C19" s="14">
        <f>$B$1*0.000058/SQRT(C15)</f>
        <v>1.891429475294315</v>
      </c>
      <c r="D19" s="15">
        <f>MIN($B$1*0.000007/SQRT(D15),C19)</f>
        <v>6.6366999999999995E-2</v>
      </c>
      <c r="E19" s="15">
        <f>MIN($B$1*0.000007/SQRT(E15),D19)</f>
        <v>6.6366999999999995E-2</v>
      </c>
      <c r="F19" s="15">
        <f>MIN($B$1*0.000058/SQRT(F15),E19)</f>
        <v>6.6366999999999995E-2</v>
      </c>
    </row>
    <row r="20" spans="1:8">
      <c r="A20" s="6" t="s">
        <v>28</v>
      </c>
      <c r="B20" s="6"/>
      <c r="C20" s="11">
        <f>F5</f>
        <v>45.125</v>
      </c>
      <c r="D20" s="11">
        <f>C22</f>
        <v>8.5521798669995945</v>
      </c>
      <c r="E20" s="11">
        <f t="shared" ref="E20:F20" si="4">D22</f>
        <v>0.28507718749999994</v>
      </c>
      <c r="F20" s="11">
        <f t="shared" si="4"/>
        <v>0.27082332812499993</v>
      </c>
    </row>
    <row r="21" spans="1:8">
      <c r="A21" s="27" t="s">
        <v>29</v>
      </c>
      <c r="B21" s="27"/>
      <c r="C21" s="28">
        <f>C20-C22</f>
        <v>36.572820133000405</v>
      </c>
      <c r="D21" s="28">
        <f>D20-D22</f>
        <v>8.2671026794995939</v>
      </c>
      <c r="E21" s="29">
        <f t="shared" ref="E21:F21" si="5">E20-E22</f>
        <v>1.4253859375000011E-2</v>
      </c>
      <c r="F21" s="29">
        <f t="shared" si="5"/>
        <v>1.3541166406250027E-2</v>
      </c>
    </row>
    <row r="22" spans="1:8">
      <c r="A22" s="6" t="s">
        <v>30</v>
      </c>
      <c r="B22" s="6"/>
      <c r="C22" s="11">
        <f>0.95*C20*C19/E7</f>
        <v>8.5521798669995945</v>
      </c>
      <c r="D22" s="11">
        <f>0.95*D20*D19/C19</f>
        <v>0.28507718749999994</v>
      </c>
      <c r="E22" s="11">
        <f t="shared" ref="E22:F22" si="6">0.95*E20*E19/D19</f>
        <v>0.27082332812499993</v>
      </c>
      <c r="F22" s="11">
        <f t="shared" si="6"/>
        <v>0.2572821617187499</v>
      </c>
    </row>
    <row r="25" spans="1:8">
      <c r="A25" s="16"/>
      <c r="B25" s="16"/>
      <c r="C25" s="43" t="s">
        <v>31</v>
      </c>
      <c r="D25" s="43"/>
      <c r="E25" s="43"/>
      <c r="F25" s="43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40" t="s">
        <v>38</v>
      </c>
      <c r="D27" s="40" t="str">
        <f>C27</f>
        <v>Si(440)</v>
      </c>
      <c r="E27" s="40"/>
      <c r="F27" s="40"/>
      <c r="G27" s="40" t="str">
        <f>D27</f>
        <v>Si(440)</v>
      </c>
      <c r="H27" s="40" t="str">
        <f t="shared" ref="H27" si="7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8">DEGREES(ASIN(12398/$B$1/0.96/2))</f>
        <v>42.927866251322122</v>
      </c>
      <c r="E29" s="38">
        <v>2.65</v>
      </c>
      <c r="F29" s="39">
        <v>2.65</v>
      </c>
      <c r="G29" s="17">
        <f t="shared" si="8"/>
        <v>42.927866251322122</v>
      </c>
      <c r="H29" s="17">
        <f t="shared" si="8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" si="9">SIN(RADIANS(D29-D28))/SIN(RADIANS(D29+D28))</f>
        <v>1.809251476321005</v>
      </c>
      <c r="E30" s="20">
        <v>1</v>
      </c>
      <c r="F30" s="20">
        <v>1</v>
      </c>
      <c r="G30" s="20">
        <f t="shared" ref="G30" si="10">SIN(RADIANS(G29-G28))/SIN(RADIANS(G29+G28))</f>
        <v>0.55271476247925178</v>
      </c>
      <c r="H30" s="20">
        <f t="shared" ref="H30" si="11">SIN(RADIANS(H29-H28))/SIN(RADIANS(H29+H28))</f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" si="12">G31/SIN(RADIANS(G29-G28))</f>
        <v>1.4751346505384424</v>
      </c>
      <c r="H32" s="20">
        <f t="shared" ref="H32" si="13">H31/SIN(RADIANS(H29-H28))</f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4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4"/>
        <v>1.2500000000000002</v>
      </c>
      <c r="H33" s="17">
        <f t="shared" si="14"/>
        <v>1.2500000000000002</v>
      </c>
    </row>
    <row r="34" spans="1:8">
      <c r="A34" s="18" t="s">
        <v>27</v>
      </c>
      <c r="B34" s="18"/>
      <c r="C34" s="21">
        <f>MIN($B$1*0.0000093/SQRT(C30),F19)</f>
        <v>6.6366999999999995E-2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0.2572821617187499</v>
      </c>
      <c r="D35" s="17">
        <f>C37</f>
        <v>0.24441805363281238</v>
      </c>
      <c r="E35" s="17">
        <f>D37</f>
        <v>0.2293466111653415</v>
      </c>
      <c r="F35" s="17">
        <f>E37</f>
        <v>0.2178792806070744</v>
      </c>
      <c r="G35" s="17">
        <f>F37</f>
        <v>0.20698531657672067</v>
      </c>
      <c r="H35" s="17">
        <f t="shared" ref="H35" si="15">G37</f>
        <v>0.19663605074788462</v>
      </c>
    </row>
    <row r="36" spans="1:8">
      <c r="A36" s="30" t="s">
        <v>29</v>
      </c>
      <c r="B36" s="30"/>
      <c r="C36" s="31">
        <f>C35-C37</f>
        <v>1.286410808593752E-2</v>
      </c>
      <c r="D36" s="31">
        <f>D35-D37</f>
        <v>1.5071442467470886E-2</v>
      </c>
      <c r="E36" s="31">
        <v>0.28000000000000003</v>
      </c>
      <c r="F36" s="31">
        <f t="shared" ref="F36" si="16">F35-F37</f>
        <v>1.0893964030353726E-2</v>
      </c>
      <c r="G36" s="31">
        <f t="shared" ref="G36" si="17">G35-G37</f>
        <v>1.0349265828836052E-2</v>
      </c>
      <c r="H36" s="31">
        <f t="shared" ref="H36" si="18">H35-H37</f>
        <v>9.8318025373942408E-3</v>
      </c>
    </row>
    <row r="37" spans="1:8">
      <c r="A37" s="16" t="s">
        <v>30</v>
      </c>
      <c r="B37" s="16"/>
      <c r="C37" s="17">
        <f>0.95*C35*C34/F19</f>
        <v>0.24441805363281238</v>
      </c>
      <c r="D37" s="17">
        <f>0.95*D35*D34/C34</f>
        <v>0.2293466111653415</v>
      </c>
      <c r="E37" s="17">
        <f>0.95*E35*E34/D34</f>
        <v>0.2178792806070744</v>
      </c>
      <c r="F37" s="17">
        <f>0.95*F35*F34/E34</f>
        <v>0.20698531657672067</v>
      </c>
      <c r="G37" s="17">
        <f>0.95*G35*G34/D34</f>
        <v>0.19663605074788462</v>
      </c>
      <c r="H37" s="17">
        <f t="shared" ref="H37" si="19">0.95*H35*H34/G34</f>
        <v>0.18680424821049038</v>
      </c>
    </row>
    <row r="39" spans="1:8">
      <c r="C39" s="9" t="s">
        <v>40</v>
      </c>
      <c r="D39">
        <v>4</v>
      </c>
      <c r="F39">
        <v>15</v>
      </c>
      <c r="G39" t="s">
        <v>41</v>
      </c>
    </row>
    <row r="40" spans="1:8">
      <c r="C40" s="9" t="s">
        <v>42</v>
      </c>
      <c r="D40" s="7">
        <f>0.95^2*D37*D39/1000/D34</f>
        <v>1.2630248691875932E-2</v>
      </c>
      <c r="F40" s="7">
        <f>0.95^2*D37*F39/1000/D34</f>
        <v>4.7363432594534745E-2</v>
      </c>
    </row>
    <row r="41" spans="1:8">
      <c r="C41" s="9" t="s">
        <v>43</v>
      </c>
      <c r="D41" s="8">
        <f>D40/1.6E-19/$B$1</f>
        <v>8326026191775.6123</v>
      </c>
      <c r="F41" s="8">
        <f>F40/1.6E-19/$B$1</f>
        <v>31222598219158.547</v>
      </c>
    </row>
    <row r="43" spans="1:8">
      <c r="C43" s="9" t="s">
        <v>44</v>
      </c>
      <c r="D43">
        <v>2.25</v>
      </c>
    </row>
  </sheetData>
  <mergeCells count="3">
    <mergeCell ref="C10:F10"/>
    <mergeCell ref="C25:F25"/>
    <mergeCell ref="F6:G6"/>
  </mergeCells>
  <pageMargins left="0.7" right="0.7" top="0.75" bottom="0.75" header="0.3" footer="0.3"/>
  <ignoredErrors>
    <ignoredError sqref="D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76EE2-5EC2-7644-A9C5-0D32CC02BD67}">
  <dimension ref="A1:H41"/>
  <sheetViews>
    <sheetView topLeftCell="A11" workbookViewId="0">
      <selection activeCell="A25" sqref="A25"/>
    </sheetView>
  </sheetViews>
  <sheetFormatPr defaultColWidth="11" defaultRowHeight="15.95"/>
  <cols>
    <col min="1" max="1" width="17.875" customWidth="1"/>
  </cols>
  <sheetData>
    <row r="1" spans="1:8" ht="18.95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100</v>
      </c>
      <c r="D5" s="3">
        <f>C5</f>
        <v>100</v>
      </c>
      <c r="E5" s="3">
        <f>D5*0.95</f>
        <v>95</v>
      </c>
      <c r="F5" s="3">
        <f>E5*0.95</f>
        <v>90.25</v>
      </c>
      <c r="G5" s="3"/>
    </row>
    <row r="6" spans="1:8">
      <c r="A6" s="4" t="s">
        <v>10</v>
      </c>
      <c r="B6" s="4"/>
      <c r="C6" s="4"/>
      <c r="D6" s="4">
        <f>D5-E5</f>
        <v>5</v>
      </c>
      <c r="E6" s="4">
        <f>E5-F5</f>
        <v>4.75</v>
      </c>
      <c r="F6" s="44" t="s">
        <v>11</v>
      </c>
      <c r="G6" s="44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5">
        <f>F19</f>
        <v>3.6027799999999999E-2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5" t="s">
        <v>5</v>
      </c>
      <c r="D10" s="45"/>
      <c r="E10" s="45"/>
      <c r="F10" s="45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6" t="s">
        <v>18</v>
      </c>
      <c r="D12" s="6" t="s">
        <v>45</v>
      </c>
      <c r="E12" s="6" t="str">
        <f>D12</f>
        <v>Si(800)</v>
      </c>
      <c r="F12" s="6" t="str">
        <f>C12</f>
        <v>Si(220)</v>
      </c>
    </row>
    <row r="13" spans="1:8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f>-C13</f>
        <v>-17</v>
      </c>
    </row>
    <row r="14" spans="1:8">
      <c r="A14" s="6" t="s">
        <v>21</v>
      </c>
      <c r="B14" s="6"/>
      <c r="C14" s="11">
        <f>DEGREES(ASIN(12398/$B$1/1.92/2))</f>
        <v>19.909687810699978</v>
      </c>
      <c r="D14" s="11">
        <f>DEGREES(ASIN(12398/$B$1/0.6789/2))</f>
        <v>74.38209572911866</v>
      </c>
      <c r="E14" s="11">
        <f>DEGREES(ASIN(12398/$B$1/0.6789/2))</f>
        <v>74.38209572911866</v>
      </c>
      <c r="F14" s="11">
        <f t="shared" ref="F14" si="0">DEGREES(ASIN(12398/$B$1/1.92/2))</f>
        <v>19.909687810699978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D6+E6+C21+D21+E21+F21+C36+D36+E36+F36+F37</f>
        <v>100.00000000000001</v>
      </c>
    </row>
    <row r="16" spans="1:8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6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15.355513949953727</v>
      </c>
      <c r="E17" s="14">
        <f t="shared" si="2"/>
        <v>15.355513949953727</v>
      </c>
      <c r="F17" s="14">
        <f t="shared" si="2"/>
        <v>24.624812898155728</v>
      </c>
    </row>
    <row r="18" spans="1:6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6">
      <c r="A19" s="13" t="s">
        <v>27</v>
      </c>
      <c r="B19" s="13"/>
      <c r="C19" s="14">
        <f>MIN($B$1*0.000058/SQRT(C15),E7)</f>
        <v>1.891429475294315</v>
      </c>
      <c r="D19" s="15">
        <f>MIN($B$1*0.0000038/SQRT(D15),C19)</f>
        <v>3.6027799999999999E-2</v>
      </c>
      <c r="E19" s="15">
        <f>MIN($B$1*0.0000038/SQRT(E15),D19)</f>
        <v>3.6027799999999999E-2</v>
      </c>
      <c r="F19" s="15">
        <f>MIN($B$1*0.000058/SQRT(F15),E19)</f>
        <v>3.6027799999999999E-2</v>
      </c>
    </row>
    <row r="20" spans="1:6">
      <c r="A20" s="6" t="s">
        <v>28</v>
      </c>
      <c r="B20" s="6"/>
      <c r="C20" s="11">
        <f>F5</f>
        <v>90.25</v>
      </c>
      <c r="D20" s="11">
        <f>C22</f>
        <v>17.104359733999189</v>
      </c>
      <c r="E20" s="11">
        <f t="shared" ref="E20:F20" si="4">D22</f>
        <v>0.30951237499999995</v>
      </c>
      <c r="F20" s="11">
        <f t="shared" si="4"/>
        <v>0.29403675624999992</v>
      </c>
    </row>
    <row r="21" spans="1:6">
      <c r="A21" s="13" t="s">
        <v>29</v>
      </c>
      <c r="B21" s="13"/>
      <c r="C21" s="14">
        <f>C20-C22</f>
        <v>73.145640266000811</v>
      </c>
      <c r="D21" s="14">
        <f>D20-D22</f>
        <v>16.794847358999188</v>
      </c>
      <c r="E21" s="15">
        <f t="shared" ref="E21:F21" si="5">E20-E22</f>
        <v>1.5475618750000031E-2</v>
      </c>
      <c r="F21" s="15">
        <f t="shared" si="5"/>
        <v>1.4701837812500007E-2</v>
      </c>
    </row>
    <row r="22" spans="1:6">
      <c r="A22" s="6" t="s">
        <v>30</v>
      </c>
      <c r="B22" s="6"/>
      <c r="C22" s="11">
        <f>0.95*C20*C19/E7</f>
        <v>17.104359733999189</v>
      </c>
      <c r="D22" s="11">
        <f>0.95*D20*D19/C19</f>
        <v>0.30951237499999995</v>
      </c>
      <c r="E22" s="11">
        <f t="shared" ref="E22:F22" si="6">0.95*E20*E19/D19</f>
        <v>0.29403675624999992</v>
      </c>
      <c r="F22" s="11">
        <f t="shared" si="6"/>
        <v>0.27933491843749991</v>
      </c>
    </row>
    <row r="24" spans="1:6">
      <c r="A24" t="s">
        <v>46</v>
      </c>
    </row>
    <row r="25" spans="1:6">
      <c r="A25" s="16"/>
      <c r="B25" s="16"/>
      <c r="C25" s="43" t="s">
        <v>31</v>
      </c>
      <c r="D25" s="43"/>
      <c r="E25" s="43"/>
      <c r="F25" s="43"/>
    </row>
    <row r="26" spans="1:6">
      <c r="A26" s="18"/>
      <c r="B26" s="18"/>
      <c r="C26" s="19" t="s">
        <v>32</v>
      </c>
      <c r="D26" s="19" t="s">
        <v>33</v>
      </c>
      <c r="E26" s="19" t="s">
        <v>36</v>
      </c>
      <c r="F26" s="19" t="s">
        <v>37</v>
      </c>
    </row>
    <row r="27" spans="1:6">
      <c r="A27" s="16" t="s">
        <v>17</v>
      </c>
      <c r="B27" s="16"/>
      <c r="C27" s="16" t="s">
        <v>38</v>
      </c>
      <c r="D27" s="16" t="str">
        <f>C27</f>
        <v>Si(440)</v>
      </c>
      <c r="E27" s="16" t="str">
        <f t="shared" ref="E27:F27" si="7">D27</f>
        <v>Si(440)</v>
      </c>
      <c r="F27" s="16" t="str">
        <f t="shared" si="7"/>
        <v>Si(440)</v>
      </c>
    </row>
    <row r="28" spans="1:6">
      <c r="A28" s="18" t="s">
        <v>20</v>
      </c>
      <c r="B28" s="18"/>
      <c r="C28" s="18">
        <v>0</v>
      </c>
      <c r="D28" s="18">
        <v>-15</v>
      </c>
      <c r="E28" s="18">
        <f>-D28</f>
        <v>15</v>
      </c>
      <c r="F28" s="18">
        <v>0</v>
      </c>
    </row>
    <row r="29" spans="1:6">
      <c r="A29" s="16" t="s">
        <v>21</v>
      </c>
      <c r="B29" s="16"/>
      <c r="C29" s="17">
        <f>DEGREES(ASIN(12398/$B$1/0.96/2))</f>
        <v>42.927866251322122</v>
      </c>
      <c r="D29" s="17">
        <f t="shared" ref="D29:F29" si="8">DEGREES(ASIN(12398/$B$1/0.96/2))</f>
        <v>42.927866251322122</v>
      </c>
      <c r="E29" s="17">
        <f t="shared" si="8"/>
        <v>42.927866251322122</v>
      </c>
      <c r="F29" s="17">
        <f t="shared" si="8"/>
        <v>42.927866251322122</v>
      </c>
    </row>
    <row r="30" spans="1:6">
      <c r="A30" s="18" t="s">
        <v>23</v>
      </c>
      <c r="B30" s="18"/>
      <c r="C30" s="20">
        <f>SIN(RADIANS(C29-C28))/SIN(RADIANS(C29+C28))</f>
        <v>1</v>
      </c>
      <c r="D30" s="20">
        <f t="shared" ref="D30:F30" si="9">SIN(RADIANS(D29-D28))/SIN(RADIANS(D29+D28))</f>
        <v>1.809251476321005</v>
      </c>
      <c r="E30" s="20">
        <f t="shared" si="9"/>
        <v>0.55271476247925178</v>
      </c>
      <c r="F30" s="20">
        <f t="shared" si="9"/>
        <v>1</v>
      </c>
    </row>
    <row r="31" spans="1:6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1.2500000000000002</v>
      </c>
    </row>
    <row r="32" spans="1:6">
      <c r="A32" s="18" t="s">
        <v>25</v>
      </c>
      <c r="B32" s="18"/>
      <c r="C32" s="20">
        <f>C31/SIN(RADIANS(C29-C28))</f>
        <v>1.8353282787546379</v>
      </c>
      <c r="D32" s="20">
        <f t="shared" ref="D32:F32" si="10">D31/SIN(RADIANS(D29-D28))</f>
        <v>1.4751346505384422</v>
      </c>
      <c r="E32" s="20">
        <f t="shared" si="10"/>
        <v>1.4751346505384424</v>
      </c>
      <c r="F32" s="20">
        <f t="shared" si="10"/>
        <v>1.8353282787546381</v>
      </c>
    </row>
    <row r="33" spans="1:6">
      <c r="A33" s="16" t="s">
        <v>26</v>
      </c>
      <c r="B33" s="16"/>
      <c r="C33" s="17">
        <f>C31/C30</f>
        <v>1.25</v>
      </c>
      <c r="D33" s="17">
        <f t="shared" ref="D33:F33" si="11">D31/D30</f>
        <v>0.6908934530990648</v>
      </c>
      <c r="E33" s="17">
        <f t="shared" si="11"/>
        <v>1.2500000000000002</v>
      </c>
      <c r="F33" s="17">
        <f t="shared" si="11"/>
        <v>1.2500000000000002</v>
      </c>
    </row>
    <row r="34" spans="1:6">
      <c r="A34" s="18" t="s">
        <v>27</v>
      </c>
      <c r="B34" s="18"/>
      <c r="C34" s="20">
        <f>MIN($B$1*0.0000093/SQRT(C30),F19)</f>
        <v>3.6027799999999999E-2</v>
      </c>
      <c r="D34" s="20">
        <f>MIN($B$1*0.0000093/SQRT(D30),C34)</f>
        <v>3.6027799999999999E-2</v>
      </c>
      <c r="E34" s="20">
        <f>MIN($B$1*0.0000093/SQRT(E30),D34)</f>
        <v>3.6027799999999999E-2</v>
      </c>
      <c r="F34" s="20">
        <f>MIN($B$1*0.0000093/SQRT(F30),E34)</f>
        <v>3.6027799999999999E-2</v>
      </c>
    </row>
    <row r="35" spans="1:6">
      <c r="A35" s="16" t="s">
        <v>28</v>
      </c>
      <c r="B35" s="16"/>
      <c r="C35" s="17">
        <f>F22</f>
        <v>0.27933491843749991</v>
      </c>
      <c r="D35" s="17">
        <f>C37</f>
        <v>0.26536817251562489</v>
      </c>
      <c r="E35" s="17">
        <f t="shared" ref="E35:F35" si="12">D37</f>
        <v>0.25209976388984362</v>
      </c>
      <c r="F35" s="17">
        <f t="shared" si="12"/>
        <v>0.23949477569535141</v>
      </c>
    </row>
    <row r="36" spans="1:6">
      <c r="A36" s="18" t="s">
        <v>29</v>
      </c>
      <c r="B36" s="18"/>
      <c r="C36" s="21">
        <f>C35-C37</f>
        <v>1.3966745921875023E-2</v>
      </c>
      <c r="D36" s="26">
        <f>D35-D37</f>
        <v>1.3268408625781269E-2</v>
      </c>
      <c r="E36" s="21">
        <f t="shared" ref="E36:F36" si="13">E35-E37</f>
        <v>1.2604988194492212E-2</v>
      </c>
      <c r="F36" s="21">
        <f t="shared" si="13"/>
        <v>1.1974738784767569E-2</v>
      </c>
    </row>
    <row r="37" spans="1:6">
      <c r="A37" s="16" t="s">
        <v>30</v>
      </c>
      <c r="B37" s="16"/>
      <c r="C37" s="17">
        <f>0.95*C35*C34/F19</f>
        <v>0.26536817251562489</v>
      </c>
      <c r="D37" s="17">
        <f>0.95*D35*D34/C34</f>
        <v>0.25209976388984362</v>
      </c>
      <c r="E37" s="17">
        <f t="shared" ref="E37:F37" si="14">0.95*E35*E34/D34</f>
        <v>0.23949477569535141</v>
      </c>
      <c r="F37" s="17">
        <f t="shared" si="14"/>
        <v>0.22752003691058384</v>
      </c>
    </row>
    <row r="39" spans="1:6">
      <c r="C39" s="9" t="s">
        <v>40</v>
      </c>
      <c r="D39">
        <v>4</v>
      </c>
    </row>
    <row r="40" spans="1:6">
      <c r="C40" s="9" t="s">
        <v>42</v>
      </c>
      <c r="D40" s="7">
        <f>0.95^2*D37*D39/1000/D34</f>
        <v>2.5260497383751867E-2</v>
      </c>
    </row>
    <row r="41" spans="1:6">
      <c r="C41" s="9" t="s">
        <v>43</v>
      </c>
      <c r="D41" s="8">
        <f>D40/1.6E-19/B1</f>
        <v>16652052383551.227</v>
      </c>
    </row>
  </sheetData>
  <mergeCells count="3">
    <mergeCell ref="C10:F10"/>
    <mergeCell ref="C25:F25"/>
    <mergeCell ref="F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23A0-050A-CC41-A2E3-B9B041ACA338}">
  <dimension ref="A1:H41"/>
  <sheetViews>
    <sheetView workbookViewId="0">
      <selection activeCell="C6" sqref="C6"/>
    </sheetView>
  </sheetViews>
  <sheetFormatPr defaultColWidth="11" defaultRowHeight="15.95"/>
  <cols>
    <col min="1" max="1" width="17.875" customWidth="1"/>
  </cols>
  <sheetData>
    <row r="1" spans="1:8" ht="18.95">
      <c r="A1" s="1" t="s">
        <v>0</v>
      </c>
      <c r="B1" s="1">
        <f>9481</f>
        <v>9481</v>
      </c>
      <c r="C1" s="10" t="s">
        <v>47</v>
      </c>
    </row>
    <row r="2" spans="1:8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s="34" customFormat="1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4" t="s">
        <v>11</v>
      </c>
      <c r="G6" s="44"/>
    </row>
    <row r="7" spans="1:8">
      <c r="A7" s="3" t="s">
        <v>12</v>
      </c>
      <c r="B7" s="22" t="s">
        <v>48</v>
      </c>
      <c r="C7" s="23">
        <f>B1*B8</f>
        <v>0.151696</v>
      </c>
      <c r="D7" s="23">
        <f>C7</f>
        <v>0.151696</v>
      </c>
      <c r="E7" s="23">
        <f>D7</f>
        <v>0.151696</v>
      </c>
      <c r="F7" s="25">
        <f>F19</f>
        <v>6.6366999999999995E-2</v>
      </c>
      <c r="G7" s="3">
        <f>D39/1000</f>
        <v>4.0000000000000001E-3</v>
      </c>
    </row>
    <row r="8" spans="1:8">
      <c r="B8" s="8">
        <v>1.5999999999999999E-5</v>
      </c>
    </row>
    <row r="10" spans="1:8">
      <c r="A10" s="6"/>
      <c r="B10" s="6"/>
      <c r="C10" s="45" t="s">
        <v>5</v>
      </c>
      <c r="D10" s="45"/>
      <c r="E10" s="45"/>
      <c r="F10" s="45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6" t="s">
        <v>18</v>
      </c>
      <c r="D12" s="6" t="s">
        <v>19</v>
      </c>
      <c r="E12" s="6" t="s">
        <v>19</v>
      </c>
      <c r="F12" s="6" t="s">
        <v>18</v>
      </c>
    </row>
    <row r="13" spans="1:8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v>-17</v>
      </c>
    </row>
    <row r="14" spans="1:8">
      <c r="A14" s="6" t="s">
        <v>21</v>
      </c>
      <c r="B14" s="6"/>
      <c r="C14" s="11">
        <f>DEGREES(ASIN(12398/$B$1/1.92/2))</f>
        <v>19.909687810699978</v>
      </c>
      <c r="D14" s="11">
        <f>DEGREES(ASIN(12398/$B$1/0.7839/2))</f>
        <v>56.519986703749602</v>
      </c>
      <c r="E14" s="11">
        <f>DEGREES(ASIN(12398/$B$1/0.7839/2))</f>
        <v>56.519986703749602</v>
      </c>
      <c r="F14" s="11">
        <f t="shared" ref="F14" si="0">DEGREES(ASIN(12398/$B$1/1.92/2))</f>
        <v>19.909687810699978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D6+E6+C21+D21+E21+F21+C36+D36+E36+F36+G36+H36+H37</f>
        <v>50</v>
      </c>
    </row>
    <row r="16" spans="1:8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8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17.730427729221869</v>
      </c>
      <c r="E17" s="14">
        <f t="shared" si="2"/>
        <v>17.730427729221869</v>
      </c>
      <c r="F17" s="14">
        <f t="shared" si="2"/>
        <v>24.624812898155728</v>
      </c>
    </row>
    <row r="18" spans="1:8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8">
      <c r="A19" s="13" t="s">
        <v>27</v>
      </c>
      <c r="B19" s="13"/>
      <c r="C19" s="14">
        <f>MIN($B$1*0.000058/SQRT(C15),E7)</f>
        <v>0.151696</v>
      </c>
      <c r="D19" s="15">
        <f>MIN($B$1*0.000007/SQRT(D15),C19)</f>
        <v>6.6366999999999995E-2</v>
      </c>
      <c r="E19" s="15">
        <f>MIN($B$1*0.000007/SQRT(E15),D19)</f>
        <v>6.6366999999999995E-2</v>
      </c>
      <c r="F19" s="15">
        <f>MIN($B$1*0.000058/SQRT(F15),E19)</f>
        <v>6.6366999999999995E-2</v>
      </c>
    </row>
    <row r="20" spans="1:8">
      <c r="A20" s="6" t="s">
        <v>28</v>
      </c>
      <c r="B20" s="6"/>
      <c r="C20" s="11">
        <f>F5</f>
        <v>45.125</v>
      </c>
      <c r="D20" s="11">
        <f>C22</f>
        <v>42.868749999999999</v>
      </c>
      <c r="E20" s="11">
        <f t="shared" ref="E20:F20" si="4">D22</f>
        <v>17.817324218749999</v>
      </c>
      <c r="F20" s="11">
        <f t="shared" si="4"/>
        <v>16.926458007812499</v>
      </c>
    </row>
    <row r="21" spans="1:8" s="34" customFormat="1">
      <c r="A21" s="27" t="s">
        <v>29</v>
      </c>
      <c r="B21" s="27"/>
      <c r="C21" s="28">
        <f>C20-C22</f>
        <v>2.2562500000000014</v>
      </c>
      <c r="D21" s="28">
        <f>D20-D22</f>
        <v>25.05142578125</v>
      </c>
      <c r="E21" s="28">
        <f t="shared" ref="E21:F21" si="5">E20-E22</f>
        <v>0.8908662109374994</v>
      </c>
      <c r="F21" s="28">
        <f t="shared" si="5"/>
        <v>0.84632290039062497</v>
      </c>
    </row>
    <row r="22" spans="1:8">
      <c r="A22" s="6" t="s">
        <v>30</v>
      </c>
      <c r="B22" s="6"/>
      <c r="C22" s="11">
        <f>0.95*C20*C19/E7</f>
        <v>42.868749999999999</v>
      </c>
      <c r="D22" s="11">
        <f>0.95*D20*D19/C19</f>
        <v>17.817324218749999</v>
      </c>
      <c r="E22" s="11">
        <f t="shared" ref="E22:F22" si="6">0.95*E20*E19/D19</f>
        <v>16.926458007812499</v>
      </c>
      <c r="F22" s="11">
        <f t="shared" si="6"/>
        <v>16.080135107421874</v>
      </c>
    </row>
    <row r="24" spans="1:8">
      <c r="A24" t="s">
        <v>49</v>
      </c>
    </row>
    <row r="25" spans="1:8">
      <c r="A25" s="16"/>
      <c r="B25" s="16"/>
      <c r="C25" s="43" t="s">
        <v>31</v>
      </c>
      <c r="D25" s="43"/>
      <c r="E25" s="43"/>
      <c r="F25" s="43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16" t="s">
        <v>38</v>
      </c>
      <c r="D27" s="16" t="str">
        <f>C27</f>
        <v>Si(440)</v>
      </c>
      <c r="E27" s="40"/>
      <c r="F27" s="40"/>
      <c r="G27" s="16" t="str">
        <f>D27</f>
        <v>Si(440)</v>
      </c>
      <c r="H27" s="16" t="str">
        <f t="shared" ref="H27" si="7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8">DEGREES(ASIN(12398/$B$1/0.96/2))</f>
        <v>42.927866251322122</v>
      </c>
      <c r="E29" s="38">
        <v>2.65</v>
      </c>
      <c r="F29" s="39">
        <v>2.65</v>
      </c>
      <c r="G29" s="17">
        <f t="shared" si="8"/>
        <v>42.927866251322122</v>
      </c>
      <c r="H29" s="17">
        <f t="shared" si="8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:H30" si="9">SIN(RADIANS(D29-D28))/SIN(RADIANS(D29+D28))</f>
        <v>1.809251476321005</v>
      </c>
      <c r="E30" s="20">
        <v>1</v>
      </c>
      <c r="F30" s="20">
        <v>1</v>
      </c>
      <c r="G30" s="20">
        <f t="shared" si="9"/>
        <v>0.55271476247925178</v>
      </c>
      <c r="H30" s="20">
        <f t="shared" si="9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 t="shared" ref="D32:H32" si="10"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si="10"/>
        <v>1.4751346505384424</v>
      </c>
      <c r="H32" s="20">
        <f t="shared" si="10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>
      <c r="A34" s="18" t="s">
        <v>27</v>
      </c>
      <c r="B34" s="18"/>
      <c r="C34" s="21">
        <f>MIN($B$1*0.0000093/SQRT(C30),F19)</f>
        <v>6.6366999999999995E-2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16.080135107421874</v>
      </c>
      <c r="D35" s="17">
        <f>C37</f>
        <v>15.27612835205078</v>
      </c>
      <c r="E35" s="17">
        <f>D37</f>
        <v>14.334163197833849</v>
      </c>
      <c r="F35" s="17">
        <f>E37</f>
        <v>10.834163197833849</v>
      </c>
      <c r="G35" s="17">
        <f>F37</f>
        <v>10.292455037942156</v>
      </c>
      <c r="H35" s="17">
        <f t="shared" ref="H35" si="12">G37</f>
        <v>9.7778322860450473</v>
      </c>
    </row>
    <row r="36" spans="1:8" s="34" customFormat="1">
      <c r="A36" s="30" t="s">
        <v>29</v>
      </c>
      <c r="B36" s="30"/>
      <c r="C36" s="35">
        <f>C35-C37</f>
        <v>0.80400675537109478</v>
      </c>
      <c r="D36" s="31">
        <f>D35-D37</f>
        <v>0.9419651542169305</v>
      </c>
      <c r="E36" s="35">
        <v>3.5</v>
      </c>
      <c r="F36" s="35">
        <f t="shared" ref="F36" si="13">F35-F37</f>
        <v>0.54170815989169263</v>
      </c>
      <c r="G36" s="31">
        <f t="shared" ref="G36:H36" si="14">G35-G37</f>
        <v>0.51462275189710915</v>
      </c>
      <c r="H36" s="31">
        <f t="shared" si="14"/>
        <v>0.48889161430225236</v>
      </c>
    </row>
    <row r="37" spans="1:8">
      <c r="A37" s="16" t="s">
        <v>30</v>
      </c>
      <c r="B37" s="16"/>
      <c r="C37" s="17">
        <f>0.95*F22*C34/F19</f>
        <v>15.27612835205078</v>
      </c>
      <c r="D37" s="17">
        <f>0.95*D35*D34/C34</f>
        <v>14.334163197833849</v>
      </c>
      <c r="E37" s="17">
        <f>E35-E36</f>
        <v>10.834163197833849</v>
      </c>
      <c r="F37" s="17">
        <f>0.95*F35*F34/E34</f>
        <v>10.292455037942156</v>
      </c>
      <c r="G37" s="17">
        <f>0.95*G35*G34/D34</f>
        <v>9.7778322860450473</v>
      </c>
      <c r="H37" s="17">
        <f t="shared" ref="H37" si="15">0.95*H35*H34/G34</f>
        <v>9.2889406717427949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0.78939054324224611</v>
      </c>
    </row>
    <row r="41" spans="1:8">
      <c r="C41" s="9" t="s">
        <v>43</v>
      </c>
      <c r="D41" s="8">
        <f>D40/1.6E-19/B1</f>
        <v>520376636985976.06</v>
      </c>
    </row>
  </sheetData>
  <mergeCells count="3">
    <mergeCell ref="C10:F10"/>
    <mergeCell ref="C25:F2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EDB5-2C9C-6F4D-AB9B-B9A30F9D1EF0}">
  <dimension ref="A1:H41"/>
  <sheetViews>
    <sheetView workbookViewId="0">
      <selection activeCell="C6" sqref="C6"/>
    </sheetView>
  </sheetViews>
  <sheetFormatPr defaultColWidth="11" defaultRowHeight="15.95"/>
  <cols>
    <col min="1" max="1" width="17.875" customWidth="1"/>
  </cols>
  <sheetData>
    <row r="1" spans="1:8" ht="18.95">
      <c r="A1" s="1" t="s">
        <v>0</v>
      </c>
      <c r="B1" s="1">
        <f>9481</f>
        <v>9481</v>
      </c>
      <c r="C1" s="10" t="s">
        <v>47</v>
      </c>
    </row>
    <row r="2" spans="1:8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s="34" customFormat="1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4" t="s">
        <v>11</v>
      </c>
      <c r="G6" s="44"/>
    </row>
    <row r="7" spans="1:8">
      <c r="A7" s="3" t="s">
        <v>12</v>
      </c>
      <c r="B7" s="22" t="s">
        <v>48</v>
      </c>
      <c r="C7" s="23">
        <f>B1*B8</f>
        <v>0.151696</v>
      </c>
      <c r="D7" s="23">
        <f>C7</f>
        <v>0.151696</v>
      </c>
      <c r="E7" s="23">
        <f>D7</f>
        <v>0.151696</v>
      </c>
      <c r="F7" s="25">
        <f>F19</f>
        <v>3.6027799999999999E-2</v>
      </c>
      <c r="G7" s="3">
        <f>D39/1000</f>
        <v>4.0000000000000001E-3</v>
      </c>
    </row>
    <row r="8" spans="1:8">
      <c r="B8" s="8">
        <v>1.5999999999999999E-5</v>
      </c>
    </row>
    <row r="10" spans="1:8">
      <c r="A10" s="6"/>
      <c r="B10" s="6"/>
      <c r="C10" s="45" t="s">
        <v>5</v>
      </c>
      <c r="D10" s="45"/>
      <c r="E10" s="45"/>
      <c r="F10" s="45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6" t="s">
        <v>18</v>
      </c>
      <c r="D12" s="6" t="s">
        <v>45</v>
      </c>
      <c r="E12" s="6" t="str">
        <f>D12</f>
        <v>Si(800)</v>
      </c>
      <c r="F12" s="6" t="str">
        <f>C12</f>
        <v>Si(220)</v>
      </c>
    </row>
    <row r="13" spans="1:8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f>-C13</f>
        <v>-17</v>
      </c>
    </row>
    <row r="14" spans="1:8">
      <c r="A14" s="6" t="s">
        <v>21</v>
      </c>
      <c r="B14" s="6"/>
      <c r="C14" s="11">
        <f>DEGREES(ASIN(12398/$B$1/1.92/2))</f>
        <v>19.909687810699978</v>
      </c>
      <c r="D14" s="11">
        <f>DEGREES(ASIN(12398/$B$1/0.6789/2))</f>
        <v>74.38209572911866</v>
      </c>
      <c r="E14" s="11">
        <f>DEGREES(ASIN(12398/$B$1/0.6789/2))</f>
        <v>74.38209572911866</v>
      </c>
      <c r="F14" s="11">
        <f t="shared" ref="F14" si="0">DEGREES(ASIN(12398/$B$1/1.92/2))</f>
        <v>19.909687810699978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D6+E6+C21+D21+E21+F21+C36+D36+E36+F36+F37</f>
        <v>50</v>
      </c>
    </row>
    <row r="16" spans="1:8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6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15.355513949953727</v>
      </c>
      <c r="E17" s="14">
        <f t="shared" si="2"/>
        <v>15.355513949953727</v>
      </c>
      <c r="F17" s="14">
        <f t="shared" si="2"/>
        <v>24.624812898155728</v>
      </c>
    </row>
    <row r="18" spans="1:6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6">
      <c r="A19" s="13" t="s">
        <v>27</v>
      </c>
      <c r="B19" s="13"/>
      <c r="C19" s="14">
        <f>MIN($B$1*0.000058/SQRT(C15),E7)</f>
        <v>0.151696</v>
      </c>
      <c r="D19" s="15">
        <f>MIN($B$1*0.0000038/SQRT(D15),C19)</f>
        <v>3.6027799999999999E-2</v>
      </c>
      <c r="E19" s="15">
        <f>MIN($B$1*0.0000038/SQRT(E15),D19)</f>
        <v>3.6027799999999999E-2</v>
      </c>
      <c r="F19" s="15">
        <f>MIN($B$1*0.000058/SQRT(F15),E19)</f>
        <v>3.6027799999999999E-2</v>
      </c>
    </row>
    <row r="20" spans="1:6">
      <c r="A20" s="6" t="s">
        <v>28</v>
      </c>
      <c r="B20" s="6"/>
      <c r="C20" s="11">
        <f>F5</f>
        <v>45.125</v>
      </c>
      <c r="D20" s="11">
        <f>C22</f>
        <v>42.868749999999999</v>
      </c>
      <c r="E20" s="11">
        <f t="shared" ref="E20:F20" si="4">D22</f>
        <v>9.6722617187499971</v>
      </c>
      <c r="F20" s="11">
        <f t="shared" si="4"/>
        <v>9.1886486328124963</v>
      </c>
    </row>
    <row r="21" spans="1:6" s="34" customFormat="1">
      <c r="A21" s="13" t="s">
        <v>29</v>
      </c>
      <c r="B21" s="13"/>
      <c r="C21" s="14">
        <f>C20-C22</f>
        <v>2.2562500000000014</v>
      </c>
      <c r="D21" s="14">
        <f>D20-D22</f>
        <v>33.196488281249998</v>
      </c>
      <c r="E21" s="15">
        <f t="shared" ref="E21:F21" si="5">E20-E22</f>
        <v>0.48361308593750074</v>
      </c>
      <c r="F21" s="15">
        <f t="shared" si="5"/>
        <v>0.45943243164062508</v>
      </c>
    </row>
    <row r="22" spans="1:6">
      <c r="A22" s="6" t="s">
        <v>30</v>
      </c>
      <c r="B22" s="6"/>
      <c r="C22" s="11">
        <f>0.95*C20*C19/E7</f>
        <v>42.868749999999999</v>
      </c>
      <c r="D22" s="11">
        <f>0.95*D20*D19/C19</f>
        <v>9.6722617187499971</v>
      </c>
      <c r="E22" s="11">
        <f t="shared" ref="E22:F22" si="6">0.95*E20*E19/D19</f>
        <v>9.1886486328124963</v>
      </c>
      <c r="F22" s="11">
        <f t="shared" si="6"/>
        <v>8.7292162011718712</v>
      </c>
    </row>
    <row r="24" spans="1:6">
      <c r="A24" t="s">
        <v>50</v>
      </c>
    </row>
    <row r="25" spans="1:6">
      <c r="A25" s="16"/>
      <c r="B25" s="16"/>
      <c r="C25" s="43" t="s">
        <v>31</v>
      </c>
      <c r="D25" s="43"/>
      <c r="E25" s="43"/>
      <c r="F25" s="43"/>
    </row>
    <row r="26" spans="1:6">
      <c r="A26" s="18"/>
      <c r="B26" s="18"/>
      <c r="C26" s="19" t="s">
        <v>32</v>
      </c>
      <c r="D26" s="19" t="s">
        <v>33</v>
      </c>
      <c r="E26" s="19" t="s">
        <v>36</v>
      </c>
      <c r="F26" s="19" t="s">
        <v>37</v>
      </c>
    </row>
    <row r="27" spans="1:6">
      <c r="A27" s="16" t="s">
        <v>17</v>
      </c>
      <c r="B27" s="16"/>
      <c r="C27" s="16" t="s">
        <v>38</v>
      </c>
      <c r="D27" s="16" t="str">
        <f>C27</f>
        <v>Si(440)</v>
      </c>
      <c r="E27" s="16" t="str">
        <f t="shared" ref="E27:F27" si="7">D27</f>
        <v>Si(440)</v>
      </c>
      <c r="F27" s="16" t="str">
        <f t="shared" si="7"/>
        <v>Si(440)</v>
      </c>
    </row>
    <row r="28" spans="1:6">
      <c r="A28" s="18" t="s">
        <v>20</v>
      </c>
      <c r="B28" s="18"/>
      <c r="C28" s="18">
        <v>0</v>
      </c>
      <c r="D28" s="18">
        <v>-15</v>
      </c>
      <c r="E28" s="18">
        <f>-D28</f>
        <v>15</v>
      </c>
      <c r="F28" s="18">
        <v>0</v>
      </c>
    </row>
    <row r="29" spans="1:6">
      <c r="A29" s="16" t="s">
        <v>21</v>
      </c>
      <c r="B29" s="16"/>
      <c r="C29" s="17">
        <f>DEGREES(ASIN(12398/$B$1/0.96/2))</f>
        <v>42.927866251322122</v>
      </c>
      <c r="D29" s="17">
        <f t="shared" ref="D29:F29" si="8">DEGREES(ASIN(12398/$B$1/0.96/2))</f>
        <v>42.927866251322122</v>
      </c>
      <c r="E29" s="17">
        <f t="shared" si="8"/>
        <v>42.927866251322122</v>
      </c>
      <c r="F29" s="17">
        <f t="shared" si="8"/>
        <v>42.927866251322122</v>
      </c>
    </row>
    <row r="30" spans="1:6">
      <c r="A30" s="18" t="s">
        <v>23</v>
      </c>
      <c r="B30" s="18"/>
      <c r="C30" s="20">
        <f>SIN(RADIANS(C29-C28))/SIN(RADIANS(C29+C28))</f>
        <v>1</v>
      </c>
      <c r="D30" s="20">
        <f t="shared" ref="D30:F30" si="9">SIN(RADIANS(D29-D28))/SIN(RADIANS(D29+D28))</f>
        <v>1.809251476321005</v>
      </c>
      <c r="E30" s="20">
        <f t="shared" si="9"/>
        <v>0.55271476247925178</v>
      </c>
      <c r="F30" s="20">
        <f t="shared" si="9"/>
        <v>1</v>
      </c>
    </row>
    <row r="31" spans="1:6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1.2500000000000002</v>
      </c>
    </row>
    <row r="32" spans="1:6">
      <c r="A32" s="18" t="s">
        <v>25</v>
      </c>
      <c r="B32" s="18"/>
      <c r="C32" s="20">
        <f>C31/SIN(RADIANS(C29-C28))</f>
        <v>1.8353282787546379</v>
      </c>
      <c r="D32" s="20">
        <f t="shared" ref="D32:F32" si="10">D31/SIN(RADIANS(D29-D28))</f>
        <v>1.4751346505384422</v>
      </c>
      <c r="E32" s="20">
        <f t="shared" si="10"/>
        <v>1.4751346505384424</v>
      </c>
      <c r="F32" s="20">
        <f t="shared" si="10"/>
        <v>1.8353282787546381</v>
      </c>
    </row>
    <row r="33" spans="1:6">
      <c r="A33" s="16" t="s">
        <v>26</v>
      </c>
      <c r="B33" s="16"/>
      <c r="C33" s="17">
        <f>C31/C30</f>
        <v>1.25</v>
      </c>
      <c r="D33" s="17">
        <f t="shared" ref="D33:F33" si="11">D31/D30</f>
        <v>0.6908934530990648</v>
      </c>
      <c r="E33" s="17">
        <f t="shared" si="11"/>
        <v>1.2500000000000002</v>
      </c>
      <c r="F33" s="17">
        <f t="shared" si="11"/>
        <v>1.2500000000000002</v>
      </c>
    </row>
    <row r="34" spans="1:6">
      <c r="A34" s="18" t="s">
        <v>27</v>
      </c>
      <c r="B34" s="18"/>
      <c r="C34" s="21">
        <f>MIN($B$1*0.0000093/SQRT(C30),F19)</f>
        <v>3.6027799999999999E-2</v>
      </c>
      <c r="D34" s="21">
        <f>MIN($B$1*0.0000093/SQRT(D30),C34)</f>
        <v>3.6027799999999999E-2</v>
      </c>
      <c r="E34" s="21">
        <f>MIN($B$1*0.0000093/SQRT(E30),D34)</f>
        <v>3.6027799999999999E-2</v>
      </c>
      <c r="F34" s="21">
        <f>MIN($B$1*0.0000093/SQRT(F30),E34)</f>
        <v>3.6027799999999999E-2</v>
      </c>
    </row>
    <row r="35" spans="1:6">
      <c r="A35" s="16" t="s">
        <v>28</v>
      </c>
      <c r="B35" s="16"/>
      <c r="C35" s="17">
        <f>F22</f>
        <v>8.7292162011718712</v>
      </c>
      <c r="D35" s="17">
        <f>C37</f>
        <v>8.2927553911132765</v>
      </c>
      <c r="E35" s="17">
        <f t="shared" ref="E35:F35" si="12">D37</f>
        <v>7.8781176215576121</v>
      </c>
      <c r="F35" s="17">
        <f t="shared" si="12"/>
        <v>7.484211740479731</v>
      </c>
    </row>
    <row r="36" spans="1:6" s="34" customFormat="1">
      <c r="A36" s="30" t="s">
        <v>29</v>
      </c>
      <c r="B36" s="30"/>
      <c r="C36" s="35">
        <f>C35-C37</f>
        <v>0.43646081005859472</v>
      </c>
      <c r="D36" s="31">
        <f>D35-D37</f>
        <v>0.41463776955566445</v>
      </c>
      <c r="E36" s="31">
        <f t="shared" ref="E36:F36" si="13">E35-E37</f>
        <v>0.39390588107788105</v>
      </c>
      <c r="F36" s="31">
        <f t="shared" si="13"/>
        <v>0.37421058702398557</v>
      </c>
    </row>
    <row r="37" spans="1:6">
      <c r="A37" s="16" t="s">
        <v>30</v>
      </c>
      <c r="B37" s="16"/>
      <c r="C37" s="17">
        <f>0.95*F22*C34/F19</f>
        <v>8.2927553911132765</v>
      </c>
      <c r="D37" s="17">
        <f>0.95*D35*D34/C34</f>
        <v>7.8781176215576121</v>
      </c>
      <c r="E37" s="17">
        <f t="shared" ref="E37:F37" si="14">0.95*E35*E34/D34</f>
        <v>7.484211740479731</v>
      </c>
      <c r="F37" s="17">
        <f t="shared" si="14"/>
        <v>7.1100011534557455</v>
      </c>
    </row>
    <row r="39" spans="1:6">
      <c r="C39" s="9" t="s">
        <v>40</v>
      </c>
      <c r="D39">
        <v>4</v>
      </c>
    </row>
    <row r="40" spans="1:6">
      <c r="C40" s="9" t="s">
        <v>42</v>
      </c>
      <c r="D40" s="7">
        <f>0.95^2*D37*D39/1000/D34</f>
        <v>0.78939054324224578</v>
      </c>
    </row>
    <row r="41" spans="1:6">
      <c r="C41" s="9" t="s">
        <v>43</v>
      </c>
      <c r="D41" s="8">
        <f>D40/1.6E-19/B1</f>
        <v>520376636985975.81</v>
      </c>
    </row>
  </sheetData>
  <mergeCells count="3">
    <mergeCell ref="F6:G6"/>
    <mergeCell ref="C10:F10"/>
    <mergeCell ref="C25:F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0ADF-97D8-5A4B-A19E-7120C7F8BD4E}">
  <dimension ref="A1:H43"/>
  <sheetViews>
    <sheetView tabSelected="1" topLeftCell="A2" zoomScaleNormal="100" workbookViewId="0">
      <selection activeCell="J30" sqref="J30"/>
    </sheetView>
  </sheetViews>
  <sheetFormatPr defaultColWidth="11" defaultRowHeight="15.95"/>
  <cols>
    <col min="1" max="1" width="17.375" customWidth="1"/>
    <col min="2" max="2" width="8.375" bestFit="1" customWidth="1"/>
    <col min="3" max="4" width="12.125" bestFit="1" customWidth="1"/>
  </cols>
  <sheetData>
    <row r="1" spans="1:8" ht="18.95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4" t="s">
        <v>11</v>
      </c>
      <c r="G6" s="44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0.227544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2" t="s">
        <v>5</v>
      </c>
      <c r="D10" s="42"/>
      <c r="E10" s="42"/>
      <c r="F10" s="42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1" t="s">
        <v>51</v>
      </c>
      <c r="D12" s="41" t="s">
        <v>52</v>
      </c>
      <c r="E12" s="41" t="str">
        <f>D12</f>
        <v>Si(400)</v>
      </c>
      <c r="F12" s="41" t="str">
        <f>C12</f>
        <v>Si(111)</v>
      </c>
    </row>
    <row r="13" spans="1:8">
      <c r="A13" s="13" t="s">
        <v>20</v>
      </c>
      <c r="B13" s="13"/>
      <c r="C13" s="13">
        <v>9</v>
      </c>
      <c r="D13" s="13">
        <v>0</v>
      </c>
      <c r="E13" s="13">
        <v>0</v>
      </c>
      <c r="F13" s="13">
        <f>-C13</f>
        <v>-9</v>
      </c>
    </row>
    <row r="14" spans="1:8">
      <c r="A14" s="6" t="s">
        <v>21</v>
      </c>
      <c r="B14" s="6"/>
      <c r="C14" s="11">
        <f>DEGREES(ASIN(12398/$B$1/3.1355/2))</f>
        <v>12.035999336837406</v>
      </c>
      <c r="D14" s="11">
        <f>DEGREES(ASIN(12398/$B$1/1.3577/2))</f>
        <v>28.788299401473669</v>
      </c>
      <c r="E14" s="11">
        <f>D14</f>
        <v>28.788299401473669</v>
      </c>
      <c r="F14" s="11">
        <f>C14</f>
        <v>12.035999336837406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0.14754905862645509</v>
      </c>
      <c r="D15" s="14">
        <f t="shared" ref="D15:F15" si="0">SIN(RADIANS(D14-D13))/SIN(RADIANS(D14+D13))</f>
        <v>1</v>
      </c>
      <c r="E15" s="14">
        <f t="shared" si="0"/>
        <v>1</v>
      </c>
      <c r="F15" s="14">
        <f t="shared" si="0"/>
        <v>6.7774068456218739</v>
      </c>
      <c r="H15" s="33">
        <f>D6+E6+C21+D21+E21+F21+C36+D36+G36+H36+H37</f>
        <v>49.97763870541138</v>
      </c>
    </row>
    <row r="16" spans="1:8">
      <c r="A16" s="6" t="s">
        <v>24</v>
      </c>
      <c r="B16" s="6"/>
      <c r="C16" s="11">
        <f>F4</f>
        <v>1.25</v>
      </c>
      <c r="D16" s="11">
        <f>C18</f>
        <v>8.4717585570273428</v>
      </c>
      <c r="E16" s="11">
        <f>D18</f>
        <v>8.4717585570273428</v>
      </c>
      <c r="F16" s="11">
        <f>E18</f>
        <v>8.4717585570273428</v>
      </c>
    </row>
    <row r="17" spans="1:8">
      <c r="A17" s="13" t="s">
        <v>25</v>
      </c>
      <c r="B17" s="13"/>
      <c r="C17" s="14">
        <f>C16/SIN(RADIANS(C14-C13))</f>
        <v>23.601207524361531</v>
      </c>
      <c r="D17" s="14">
        <f t="shared" ref="D17:F17" si="1">D16/SIN(RADIANS(D14-D13))</f>
        <v>17.59178457929627</v>
      </c>
      <c r="E17" s="14">
        <f t="shared" si="1"/>
        <v>17.59178457929627</v>
      </c>
      <c r="F17" s="14">
        <f t="shared" si="1"/>
        <v>23.601207524361531</v>
      </c>
    </row>
    <row r="18" spans="1:8">
      <c r="A18" s="6" t="s">
        <v>26</v>
      </c>
      <c r="B18" s="6"/>
      <c r="C18" s="11">
        <f>C16/C15</f>
        <v>8.4717585570273428</v>
      </c>
      <c r="D18" s="11">
        <f t="shared" ref="D18:F18" si="2">D16/D15</f>
        <v>8.4717585570273428</v>
      </c>
      <c r="E18" s="11">
        <f t="shared" si="2"/>
        <v>8.4717585570273428</v>
      </c>
      <c r="F18" s="11">
        <f t="shared" si="2"/>
        <v>1.25</v>
      </c>
    </row>
    <row r="19" spans="1:8">
      <c r="A19" s="13" t="s">
        <v>27</v>
      </c>
      <c r="B19" s="13"/>
      <c r="C19" s="14">
        <f>$B$1*0.00011/SQRT(C15)</f>
        <v>2.7150548657695133</v>
      </c>
      <c r="D19" s="15">
        <f>MIN($B$1*0.000024/SQRT(D15),C19)</f>
        <v>0.227544</v>
      </c>
      <c r="E19" s="15">
        <f>MIN($B$1*0.000024/SQRT(E15),D19)</f>
        <v>0.227544</v>
      </c>
      <c r="F19" s="15">
        <f>MIN($B$1*0.00011/SQRT(F15),E19)</f>
        <v>0.227544</v>
      </c>
    </row>
    <row r="20" spans="1:8">
      <c r="A20" s="6" t="s">
        <v>28</v>
      </c>
      <c r="B20" s="6"/>
      <c r="C20" s="11">
        <f>F5</f>
        <v>45.125</v>
      </c>
      <c r="D20" s="11">
        <f>C22</f>
        <v>12.276237556898726</v>
      </c>
      <c r="E20" s="11">
        <f t="shared" ref="E20:F20" si="3">D22</f>
        <v>0.97740749999999998</v>
      </c>
      <c r="F20" s="11">
        <f t="shared" si="3"/>
        <v>0.92853712499999996</v>
      </c>
    </row>
    <row r="21" spans="1:8">
      <c r="A21" s="27" t="s">
        <v>29</v>
      </c>
      <c r="B21" s="27"/>
      <c r="C21" s="28">
        <f>C20-C22</f>
        <v>32.848762443101272</v>
      </c>
      <c r="D21" s="28">
        <f>D20-D22</f>
        <v>11.298830056898726</v>
      </c>
      <c r="E21" s="29">
        <f t="shared" ref="E21:F21" si="4">E20-E22</f>
        <v>4.8870375000000021E-2</v>
      </c>
      <c r="F21" s="29">
        <f t="shared" si="4"/>
        <v>4.6426856250000093E-2</v>
      </c>
    </row>
    <row r="22" spans="1:8">
      <c r="A22" s="6" t="s">
        <v>30</v>
      </c>
      <c r="B22" s="6"/>
      <c r="C22" s="11">
        <f>0.95*C20*C19/E7</f>
        <v>12.276237556898726</v>
      </c>
      <c r="D22" s="11">
        <f>0.95*D20*D19/C19</f>
        <v>0.97740749999999998</v>
      </c>
      <c r="E22" s="11">
        <f t="shared" ref="E22:F22" si="5">0.95*E20*E19/D19</f>
        <v>0.92853712499999996</v>
      </c>
      <c r="F22" s="11">
        <f t="shared" si="5"/>
        <v>0.88211026874999987</v>
      </c>
    </row>
    <row r="25" spans="1:8">
      <c r="A25" s="16"/>
      <c r="B25" s="16"/>
      <c r="C25" s="43" t="s">
        <v>31</v>
      </c>
      <c r="D25" s="43"/>
      <c r="E25" s="43"/>
      <c r="F25" s="43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40" t="s">
        <v>38</v>
      </c>
      <c r="D27" s="40" t="str">
        <f>C27</f>
        <v>Si(440)</v>
      </c>
      <c r="E27" s="40"/>
      <c r="F27" s="40"/>
      <c r="G27" s="40" t="str">
        <f>D27</f>
        <v>Si(440)</v>
      </c>
      <c r="H27" s="40" t="str">
        <f t="shared" ref="H27" si="6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" si="8">SIN(RADIANS(D29-D28))/SIN(RADIANS(D29+D28))</f>
        <v>1.809251476321005</v>
      </c>
      <c r="E30" s="20">
        <v>1</v>
      </c>
      <c r="F30" s="20">
        <v>1</v>
      </c>
      <c r="G30" s="20">
        <f t="shared" ref="G30:H30" si="9">SIN(RADIANS(G29-G28))/SIN(RADIANS(G29+G28))</f>
        <v>0.55271476247925178</v>
      </c>
      <c r="H30" s="20">
        <f t="shared" si="9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:H32" si="10">G31/SIN(RADIANS(G29-G28))</f>
        <v>1.4751346505384424</v>
      </c>
      <c r="H32" s="20">
        <f t="shared" si="10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>
      <c r="A34" s="18" t="s">
        <v>27</v>
      </c>
      <c r="B34" s="18"/>
      <c r="C34" s="21">
        <f>MIN($B$1*0.0000093/SQRT(C30),F19)</f>
        <v>8.817330000000001E-2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0.88211026874999987</v>
      </c>
      <c r="D35" s="17">
        <f>C37</f>
        <v>0.3247268426835937</v>
      </c>
      <c r="E35" s="17">
        <f>D37</f>
        <v>0.22934661116534155</v>
      </c>
      <c r="F35" s="17">
        <f>E37</f>
        <v>0.21787928060707445</v>
      </c>
      <c r="G35" s="17">
        <f>F37</f>
        <v>0.20698531657672073</v>
      </c>
      <c r="H35" s="17">
        <f t="shared" ref="H35" si="12">G37</f>
        <v>0.19663605074788468</v>
      </c>
    </row>
    <row r="36" spans="1:8">
      <c r="A36" s="30" t="s">
        <v>29</v>
      </c>
      <c r="B36" s="30"/>
      <c r="C36" s="31">
        <f>C35-C37</f>
        <v>0.55738342606640612</v>
      </c>
      <c r="D36" s="31">
        <f>D35-D37</f>
        <v>9.5380231518252145E-2</v>
      </c>
      <c r="E36" s="31">
        <v>0.28000000000000003</v>
      </c>
      <c r="F36" s="31">
        <f t="shared" ref="F36:H36" si="13">F35-F37</f>
        <v>1.0893964030353726E-2</v>
      </c>
      <c r="G36" s="31">
        <f t="shared" si="13"/>
        <v>1.0349265828836052E-2</v>
      </c>
      <c r="H36" s="31">
        <f t="shared" si="13"/>
        <v>9.8318025373942408E-3</v>
      </c>
    </row>
    <row r="37" spans="1:8">
      <c r="A37" s="16" t="s">
        <v>30</v>
      </c>
      <c r="B37" s="16"/>
      <c r="C37" s="17">
        <f>0.95*C35*C34/F19</f>
        <v>0.3247268426835937</v>
      </c>
      <c r="D37" s="17">
        <f>0.95*D35*D34/C34</f>
        <v>0.22934661116534155</v>
      </c>
      <c r="E37" s="17">
        <f>0.95*E35*E34/D34</f>
        <v>0.21787928060707445</v>
      </c>
      <c r="F37" s="17">
        <f>0.95*F35*F34/E34</f>
        <v>0.20698531657672073</v>
      </c>
      <c r="G37" s="17">
        <f>0.95*G35*G34/D34</f>
        <v>0.19663605074788468</v>
      </c>
      <c r="H37" s="17">
        <f t="shared" ref="H37" si="14">0.95*H35*H34/G34</f>
        <v>0.18680424821049044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1.2630248691875935E-2</v>
      </c>
      <c r="F40" s="7"/>
    </row>
    <row r="41" spans="1:8">
      <c r="C41" s="9" t="s">
        <v>43</v>
      </c>
      <c r="D41" s="8">
        <f>D40/1.6E-19/$B$1</f>
        <v>8326026191775.6133</v>
      </c>
      <c r="F41" s="8"/>
    </row>
    <row r="43" spans="1:8">
      <c r="C43" s="9" t="s">
        <v>44</v>
      </c>
      <c r="D43">
        <v>2.25</v>
      </c>
    </row>
  </sheetData>
  <mergeCells count="3">
    <mergeCell ref="F6:G6"/>
    <mergeCell ref="C10:F10"/>
    <mergeCell ref="C25:F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94C3-D1A6-A346-85F9-7B792F32ABD0}">
  <dimension ref="A1:H41"/>
  <sheetViews>
    <sheetView topLeftCell="A8" workbookViewId="0">
      <selection activeCell="A24" sqref="A24"/>
    </sheetView>
  </sheetViews>
  <sheetFormatPr defaultColWidth="11" defaultRowHeight="15.95"/>
  <cols>
    <col min="1" max="1" width="17.875" customWidth="1"/>
  </cols>
  <sheetData>
    <row r="1" spans="1:8" ht="18.95">
      <c r="A1" s="1" t="s">
        <v>0</v>
      </c>
      <c r="B1" s="1">
        <f>9481</f>
        <v>9481</v>
      </c>
      <c r="C1" s="10" t="s">
        <v>47</v>
      </c>
    </row>
    <row r="2" spans="1:8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s="34" customFormat="1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4" t="s">
        <v>11</v>
      </c>
      <c r="G6" s="44"/>
    </row>
    <row r="7" spans="1:8">
      <c r="A7" s="3" t="s">
        <v>12</v>
      </c>
      <c r="B7" s="22" t="s">
        <v>48</v>
      </c>
      <c r="C7" s="23">
        <f>B1*B8</f>
        <v>0.151696</v>
      </c>
      <c r="D7" s="23">
        <f>C7</f>
        <v>0.151696</v>
      </c>
      <c r="E7" s="23">
        <f>D7</f>
        <v>0.151696</v>
      </c>
      <c r="F7" s="25">
        <f>F19</f>
        <v>0.227544</v>
      </c>
      <c r="G7" s="3">
        <f>D39/1000</f>
        <v>4.0000000000000001E-3</v>
      </c>
    </row>
    <row r="8" spans="1:8">
      <c r="B8" s="8">
        <v>1.5999999999999999E-5</v>
      </c>
    </row>
    <row r="10" spans="1:8">
      <c r="A10" s="6"/>
      <c r="B10" s="6"/>
      <c r="C10" s="45" t="s">
        <v>5</v>
      </c>
      <c r="D10" s="45"/>
      <c r="E10" s="45"/>
      <c r="F10" s="45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6" t="s">
        <v>51</v>
      </c>
      <c r="D12" s="6" t="s">
        <v>52</v>
      </c>
      <c r="E12" s="6" t="str">
        <f>D12</f>
        <v>Si(400)</v>
      </c>
      <c r="F12" s="6" t="str">
        <f>C12</f>
        <v>Si(111)</v>
      </c>
    </row>
    <row r="13" spans="1:8">
      <c r="A13" s="13" t="s">
        <v>20</v>
      </c>
      <c r="B13" s="13"/>
      <c r="C13" s="13">
        <v>0</v>
      </c>
      <c r="D13" s="13">
        <v>0</v>
      </c>
      <c r="E13" s="13">
        <v>0</v>
      </c>
      <c r="F13" s="13">
        <f>-C13</f>
        <v>0</v>
      </c>
    </row>
    <row r="14" spans="1:8">
      <c r="A14" s="6" t="s">
        <v>21</v>
      </c>
      <c r="B14" s="6"/>
      <c r="C14" s="11">
        <f>DEGREES(ASIN(12398/$B$1/3.1355/2))</f>
        <v>12.035999336837406</v>
      </c>
      <c r="D14" s="11">
        <f>DEGREES(ASIN(12398/$B$1/1.3577/2))</f>
        <v>28.788299401473669</v>
      </c>
      <c r="E14" s="11">
        <f>D14</f>
        <v>28.788299401473669</v>
      </c>
      <c r="F14" s="11">
        <f>C14</f>
        <v>12.035999336837406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1</v>
      </c>
      <c r="D15" s="14">
        <f t="shared" ref="D15:F15" si="0">SIN(RADIANS(D14-D13))/SIN(RADIANS(D14+D13))</f>
        <v>1</v>
      </c>
      <c r="E15" s="14">
        <f t="shared" si="0"/>
        <v>1</v>
      </c>
      <c r="F15" s="14">
        <f t="shared" si="0"/>
        <v>1</v>
      </c>
      <c r="H15" s="33">
        <f>D6+E6+C21+D21+E21+F21+C36+D36+E36+F36+G36+H36+H37</f>
        <v>50</v>
      </c>
    </row>
    <row r="16" spans="1:8">
      <c r="A16" s="6" t="s">
        <v>24</v>
      </c>
      <c r="B16" s="6"/>
      <c r="C16" s="11">
        <f>F4</f>
        <v>1.25</v>
      </c>
      <c r="D16" s="11">
        <f>C18</f>
        <v>1.25</v>
      </c>
      <c r="E16" s="11">
        <f>D18</f>
        <v>1.25</v>
      </c>
      <c r="F16" s="11">
        <f>E18</f>
        <v>1.25</v>
      </c>
    </row>
    <row r="17" spans="1:8">
      <c r="A17" s="13" t="s">
        <v>25</v>
      </c>
      <c r="B17" s="13"/>
      <c r="C17" s="14">
        <f>C16/SIN(RADIANS(C14-C13))</f>
        <v>5.9944498104532995</v>
      </c>
      <c r="D17" s="14">
        <f t="shared" ref="D17:F17" si="1">D16/SIN(RADIANS(D14-D13))</f>
        <v>2.595651254234554</v>
      </c>
      <c r="E17" s="14">
        <f t="shared" si="1"/>
        <v>2.595651254234554</v>
      </c>
      <c r="F17" s="14">
        <f t="shared" si="1"/>
        <v>5.9944498104532995</v>
      </c>
    </row>
    <row r="18" spans="1:8">
      <c r="A18" s="6" t="s">
        <v>26</v>
      </c>
      <c r="B18" s="6"/>
      <c r="C18" s="11">
        <f>C16/C15</f>
        <v>1.25</v>
      </c>
      <c r="D18" s="11">
        <f t="shared" ref="D18:F18" si="2">D16/D15</f>
        <v>1.25</v>
      </c>
      <c r="E18" s="11">
        <f t="shared" si="2"/>
        <v>1.25</v>
      </c>
      <c r="F18" s="11">
        <f t="shared" si="2"/>
        <v>1.25</v>
      </c>
    </row>
    <row r="19" spans="1:8">
      <c r="A19" s="13" t="s">
        <v>27</v>
      </c>
      <c r="B19" s="13"/>
      <c r="C19" s="14">
        <f>$B$1*0.00011/SQRT(C15)</f>
        <v>1.04291</v>
      </c>
      <c r="D19" s="15">
        <f>MIN($B$1*0.000024/SQRT(D15),C19)</f>
        <v>0.227544</v>
      </c>
      <c r="E19" s="15">
        <f>MIN($B$1*0.000024/SQRT(E15),D19)</f>
        <v>0.227544</v>
      </c>
      <c r="F19" s="15">
        <f>MIN($B$1*0.00011/SQRT(F15),E19)</f>
        <v>0.227544</v>
      </c>
    </row>
    <row r="20" spans="1:8">
      <c r="A20" s="6" t="s">
        <v>28</v>
      </c>
      <c r="B20" s="6"/>
      <c r="C20" s="11">
        <f>F5</f>
        <v>45.125</v>
      </c>
      <c r="D20" s="11">
        <f>C22</f>
        <v>42.868749999999999</v>
      </c>
      <c r="E20" s="11">
        <f t="shared" ref="E20:F20" si="3">D22</f>
        <v>8.8855227272727273</v>
      </c>
      <c r="F20" s="11">
        <f t="shared" si="3"/>
        <v>8.4412465909090901</v>
      </c>
    </row>
    <row r="21" spans="1:8" s="34" customFormat="1">
      <c r="A21" s="27" t="s">
        <v>29</v>
      </c>
      <c r="B21" s="27"/>
      <c r="C21" s="28">
        <f>C20-C22</f>
        <v>2.2562500000000014</v>
      </c>
      <c r="D21" s="28">
        <f>D20-D22</f>
        <v>33.98322727272727</v>
      </c>
      <c r="E21" s="28">
        <f t="shared" ref="E21:F21" si="4">E20-E22</f>
        <v>0.44427613636363716</v>
      </c>
      <c r="F21" s="28">
        <f t="shared" si="4"/>
        <v>0.42206232954545442</v>
      </c>
    </row>
    <row r="22" spans="1:8">
      <c r="A22" s="6" t="s">
        <v>30</v>
      </c>
      <c r="B22" s="6"/>
      <c r="C22" s="11">
        <f>MIN(0.95*C20*C19/E7, 0.95*C20)</f>
        <v>42.868749999999999</v>
      </c>
      <c r="D22" s="11">
        <f>0.95*D20*D19/C19</f>
        <v>8.8855227272727273</v>
      </c>
      <c r="E22" s="11">
        <f t="shared" ref="E22:F22" si="5">0.95*E20*E19/D19</f>
        <v>8.4412465909090901</v>
      </c>
      <c r="F22" s="11">
        <f t="shared" si="5"/>
        <v>8.0191842613636357</v>
      </c>
    </row>
    <row r="25" spans="1:8">
      <c r="A25" s="16"/>
      <c r="B25" s="16"/>
      <c r="C25" s="43" t="s">
        <v>31</v>
      </c>
      <c r="D25" s="43"/>
      <c r="E25" s="43"/>
      <c r="F25" s="43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16" t="s">
        <v>38</v>
      </c>
      <c r="D27" s="16" t="str">
        <f>C27</f>
        <v>Si(440)</v>
      </c>
      <c r="E27" s="40"/>
      <c r="F27" s="40"/>
      <c r="G27" s="16" t="str">
        <f>D27</f>
        <v>Si(440)</v>
      </c>
      <c r="H27" s="16" t="str">
        <f t="shared" ref="H27" si="6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:H30" si="8">SIN(RADIANS(D29-D28))/SIN(RADIANS(D29+D28))</f>
        <v>1.809251476321005</v>
      </c>
      <c r="E30" s="20">
        <v>1</v>
      </c>
      <c r="F30" s="20">
        <v>1</v>
      </c>
      <c r="G30" s="20">
        <f t="shared" si="8"/>
        <v>0.55271476247925178</v>
      </c>
      <c r="H30" s="20">
        <f t="shared" si="8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 t="shared" ref="D32:H32" si="9"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si="9"/>
        <v>1.4751346505384424</v>
      </c>
      <c r="H32" s="20">
        <f t="shared" si="9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0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0"/>
        <v>1.2500000000000002</v>
      </c>
      <c r="H33" s="17">
        <f t="shared" si="10"/>
        <v>1.2500000000000002</v>
      </c>
    </row>
    <row r="34" spans="1:8">
      <c r="A34" s="18" t="s">
        <v>27</v>
      </c>
      <c r="B34" s="18"/>
      <c r="C34" s="21">
        <f>MIN($B$1*0.0000093/SQRT(C30),F19)</f>
        <v>8.817330000000001E-2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8.0191842613636357</v>
      </c>
      <c r="D35" s="17">
        <f>C37</f>
        <v>2.9520622062144888</v>
      </c>
      <c r="E35" s="17">
        <f>D37</f>
        <v>2.0849691924121965</v>
      </c>
      <c r="F35" s="17">
        <f>E37</f>
        <v>-1.4150308075878035</v>
      </c>
      <c r="G35" s="17">
        <f>F37</f>
        <v>-1.3442792672084134</v>
      </c>
      <c r="H35" s="17">
        <f t="shared" ref="H35" si="11">G37</f>
        <v>-1.2770653038479927</v>
      </c>
    </row>
    <row r="36" spans="1:8" s="34" customFormat="1">
      <c r="A36" s="30" t="s">
        <v>29</v>
      </c>
      <c r="B36" s="30"/>
      <c r="C36" s="35">
        <f>C35-C37</f>
        <v>5.0671220551491469</v>
      </c>
      <c r="D36" s="31">
        <f>D35-D37</f>
        <v>0.86709301380229231</v>
      </c>
      <c r="E36" s="35">
        <v>3.5</v>
      </c>
      <c r="F36" s="35">
        <f t="shared" ref="F36:H36" si="12">F35-F37</f>
        <v>-7.0751540379390132E-2</v>
      </c>
      <c r="G36" s="31">
        <f t="shared" si="12"/>
        <v>-6.7213963360420736E-2</v>
      </c>
      <c r="H36" s="31">
        <f t="shared" si="12"/>
        <v>-6.3853265192399755E-2</v>
      </c>
    </row>
    <row r="37" spans="1:8">
      <c r="A37" s="16" t="s">
        <v>30</v>
      </c>
      <c r="B37" s="16"/>
      <c r="C37" s="17">
        <f>0.95*F22*C34/F19</f>
        <v>2.9520622062144888</v>
      </c>
      <c r="D37" s="17">
        <f>0.95*D35*D34/C34</f>
        <v>2.0849691924121965</v>
      </c>
      <c r="E37" s="17">
        <f>E35-E36</f>
        <v>-1.4150308075878035</v>
      </c>
      <c r="F37" s="17">
        <f>0.95*F35*F34/E34</f>
        <v>-1.3442792672084134</v>
      </c>
      <c r="G37" s="17">
        <f>0.95*G35*G34/D34</f>
        <v>-1.2770653038479927</v>
      </c>
      <c r="H37" s="17">
        <f t="shared" ref="H37" si="13">0.95*H35*H34/G34</f>
        <v>-1.2132120386555929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0.11482044265341762</v>
      </c>
    </row>
    <row r="41" spans="1:8">
      <c r="C41" s="9" t="s">
        <v>43</v>
      </c>
      <c r="D41" s="8">
        <f>D40/1.6E-19/B1</f>
        <v>75691147197960.156</v>
      </c>
    </row>
  </sheetData>
  <mergeCells count="3">
    <mergeCell ref="F6:G6"/>
    <mergeCell ref="C10:F10"/>
    <mergeCell ref="C25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Yavas, Hasan</dc:creator>
  <cp:keywords/>
  <dc:description/>
  <cp:lastModifiedBy>Hasan Yavas</cp:lastModifiedBy>
  <cp:revision/>
  <dcterms:created xsi:type="dcterms:W3CDTF">2021-05-12T18:04:16Z</dcterms:created>
  <dcterms:modified xsi:type="dcterms:W3CDTF">2021-06-25T08:05:45Z</dcterms:modified>
  <cp:category/>
  <cp:contentStatus/>
</cp:coreProperties>
</file>