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nanw0\GoogleDrive\SLAC\SLAC-Diling\11. 21 Winter\DXS optics\"/>
    </mc:Choice>
  </mc:AlternateContent>
  <xr:revisionPtr revIDLastSave="0" documentId="13_ncr:1_{5FA39B5B-5D9D-4A0C-9BE1-11A9A0167A5A}" xr6:coauthVersionLast="46" xr6:coauthVersionMax="46" xr10:uidLastSave="{00000000-0000-0000-0000-000000000000}"/>
  <bookViews>
    <workbookView xWindow="-120" yWindow="285" windowWidth="29040" windowHeight="15465" activeTab="1" xr2:uid="{00000000-000D-0000-FFFF-FFFF00000000}"/>
  </bookViews>
  <sheets>
    <sheet name="HHLM" sheetId="10" r:id="rId1"/>
    <sheet name="HRM" sheetId="8" r:id="rId2"/>
    <sheet name="HHLM_HRM" sheetId="3" r:id="rId3"/>
    <sheet name="efficiency" sheetId="6" r:id="rId4"/>
    <sheet name="job list" sheetId="5" r:id="rId5"/>
    <sheet name="parameter scans" sheetId="7" r:id="rId6"/>
    <sheet name="Sheet4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8" l="1"/>
  <c r="O17" i="3"/>
  <c r="N22" i="3"/>
  <c r="B5" i="8"/>
  <c r="B18" i="8" s="1"/>
  <c r="D18" i="8" s="1"/>
  <c r="B4" i="8"/>
  <c r="C2" i="7"/>
  <c r="E2" i="7" s="1"/>
  <c r="P23" i="3"/>
  <c r="R2" i="3"/>
  <c r="J2" i="3"/>
  <c r="B27" i="3"/>
  <c r="B26" i="3"/>
  <c r="H23" i="3"/>
  <c r="J23" i="3" s="1"/>
  <c r="L23" i="3" s="1"/>
  <c r="N23" i="3" s="1"/>
  <c r="B23" i="3"/>
  <c r="D23" i="3" s="1"/>
  <c r="F23" i="3" s="1"/>
  <c r="B22" i="3"/>
  <c r="D22" i="3" s="1"/>
  <c r="D21" i="3"/>
  <c r="F21" i="3" s="1"/>
  <c r="H21" i="3" s="1"/>
  <c r="J21" i="3" s="1"/>
  <c r="I18" i="3"/>
  <c r="H18" i="3"/>
  <c r="J18" i="3" s="1"/>
  <c r="F18" i="3"/>
  <c r="G18" i="3" s="1"/>
  <c r="D18" i="3"/>
  <c r="E18" i="3" s="1"/>
  <c r="B18" i="3"/>
  <c r="C18" i="3" s="1"/>
  <c r="C17" i="3"/>
  <c r="J21" i="10"/>
  <c r="H21" i="10"/>
  <c r="F21" i="10"/>
  <c r="D21" i="10"/>
  <c r="R26" i="3"/>
  <c r="B27" i="10"/>
  <c r="B26" i="10"/>
  <c r="J26" i="8"/>
  <c r="B27" i="8"/>
  <c r="B26" i="8"/>
  <c r="F5" i="10"/>
  <c r="I3" i="10" s="1"/>
  <c r="F4" i="10"/>
  <c r="J2" i="10" s="1"/>
  <c r="H23" i="10"/>
  <c r="J23" i="10" s="1"/>
  <c r="B23" i="10"/>
  <c r="D23" i="10" s="1"/>
  <c r="F23" i="10" s="1"/>
  <c r="B22" i="10"/>
  <c r="B18" i="10"/>
  <c r="C17" i="10"/>
  <c r="B17" i="10"/>
  <c r="B8" i="10"/>
  <c r="C19" i="10" s="1"/>
  <c r="E19" i="10" s="1"/>
  <c r="C17" i="8"/>
  <c r="E17" i="8" s="1"/>
  <c r="D23" i="8"/>
  <c r="H23" i="8"/>
  <c r="J23" i="8" s="1"/>
  <c r="L23" i="8" s="1"/>
  <c r="N23" i="8" s="1"/>
  <c r="P23" i="8" s="1"/>
  <c r="B23" i="8"/>
  <c r="B22" i="8"/>
  <c r="B17" i="8" s="1"/>
  <c r="B8" i="8"/>
  <c r="B9" i="8" s="1"/>
  <c r="B10" i="8" s="1"/>
  <c r="F5" i="8"/>
  <c r="F4" i="8"/>
  <c r="I2" i="8" s="1"/>
  <c r="D4" i="5"/>
  <c r="D2" i="5"/>
  <c r="I4" i="5"/>
  <c r="I6" i="5"/>
  <c r="I7" i="5"/>
  <c r="I8" i="5"/>
  <c r="I10" i="5"/>
  <c r="I11" i="5"/>
  <c r="I2" i="5"/>
  <c r="C5" i="7"/>
  <c r="E5" i="7" s="1"/>
  <c r="D4" i="7"/>
  <c r="D5" i="7"/>
  <c r="D3" i="7"/>
  <c r="B5" i="6"/>
  <c r="H5" i="6" s="1"/>
  <c r="B3" i="6"/>
  <c r="B2" i="6"/>
  <c r="B8" i="3"/>
  <c r="C19" i="3" s="1"/>
  <c r="E19" i="3" s="1"/>
  <c r="G19" i="3" s="1"/>
  <c r="N5" i="3"/>
  <c r="Q3" i="3" s="1"/>
  <c r="F5" i="3"/>
  <c r="I3" i="3" s="1"/>
  <c r="N4" i="3"/>
  <c r="Q2" i="3" s="1"/>
  <c r="F4" i="3"/>
  <c r="I2" i="3" s="1"/>
  <c r="I3" i="8" l="1"/>
  <c r="D22" i="8"/>
  <c r="C4" i="7"/>
  <c r="E4" i="7" s="1"/>
  <c r="B17" i="3"/>
  <c r="R23" i="3"/>
  <c r="C3" i="7"/>
  <c r="E3" i="7" s="1"/>
  <c r="F22" i="3"/>
  <c r="D17" i="3"/>
  <c r="L18" i="3"/>
  <c r="N18" i="3" s="1"/>
  <c r="O18" i="3" s="1"/>
  <c r="K18" i="3"/>
  <c r="E17" i="3"/>
  <c r="G17" i="3" s="1"/>
  <c r="I19" i="3"/>
  <c r="M18" i="3"/>
  <c r="G19" i="10"/>
  <c r="C18" i="10"/>
  <c r="I2" i="10"/>
  <c r="D22" i="10" s="1"/>
  <c r="B9" i="10"/>
  <c r="D18" i="10"/>
  <c r="D17" i="8"/>
  <c r="J2" i="8"/>
  <c r="B20" i="8"/>
  <c r="C20" i="8"/>
  <c r="F23" i="8"/>
  <c r="C18" i="8"/>
  <c r="C19" i="8"/>
  <c r="E19" i="8" s="1"/>
  <c r="B9" i="3"/>
  <c r="B20" i="3" s="1"/>
  <c r="D20" i="3" s="1"/>
  <c r="H20" i="3" l="1"/>
  <c r="T23" i="3"/>
  <c r="F20" i="3"/>
  <c r="K19" i="3"/>
  <c r="I17" i="3"/>
  <c r="F17" i="3"/>
  <c r="P18" i="3"/>
  <c r="R18" i="3" s="1"/>
  <c r="H22" i="3"/>
  <c r="Q18" i="3"/>
  <c r="F22" i="10"/>
  <c r="H22" i="10" s="1"/>
  <c r="H17" i="10" s="1"/>
  <c r="D17" i="10"/>
  <c r="E17" i="10"/>
  <c r="G17" i="10" s="1"/>
  <c r="I17" i="10" s="1"/>
  <c r="K17" i="10" s="1"/>
  <c r="G19" i="8"/>
  <c r="I19" i="10"/>
  <c r="F18" i="10"/>
  <c r="E18" i="10"/>
  <c r="B20" i="10"/>
  <c r="B10" i="10"/>
  <c r="C20" i="10" s="1"/>
  <c r="F17" i="10"/>
  <c r="B14" i="8"/>
  <c r="B24" i="8" s="1"/>
  <c r="D24" i="8" s="1"/>
  <c r="B10" i="3"/>
  <c r="C20" i="3" s="1"/>
  <c r="V23" i="3" l="1"/>
  <c r="J22" i="3"/>
  <c r="J20" i="3"/>
  <c r="H17" i="3"/>
  <c r="K17" i="3"/>
  <c r="B14" i="3"/>
  <c r="B24" i="3" s="1"/>
  <c r="T18" i="3"/>
  <c r="S18" i="3"/>
  <c r="M19" i="3"/>
  <c r="D19" i="8"/>
  <c r="I19" i="8"/>
  <c r="K19" i="10"/>
  <c r="B14" i="10"/>
  <c r="J22" i="10"/>
  <c r="J17" i="10" s="1"/>
  <c r="G18" i="10"/>
  <c r="H18" i="10"/>
  <c r="D25" i="8"/>
  <c r="B7" i="8"/>
  <c r="I4" i="8" s="1"/>
  <c r="B25" i="8"/>
  <c r="X23" i="3" l="1"/>
  <c r="B25" i="3"/>
  <c r="L22" i="3"/>
  <c r="J17" i="3"/>
  <c r="M17" i="3"/>
  <c r="B7" i="3"/>
  <c r="O19" i="3"/>
  <c r="L20" i="3"/>
  <c r="V18" i="3"/>
  <c r="U18" i="3"/>
  <c r="B28" i="8"/>
  <c r="B29" i="8"/>
  <c r="D29" i="8"/>
  <c r="D28" i="8"/>
  <c r="K19" i="8"/>
  <c r="I18" i="10"/>
  <c r="J18" i="10"/>
  <c r="B24" i="10"/>
  <c r="B7" i="10"/>
  <c r="B19" i="8"/>
  <c r="J4" i="8"/>
  <c r="F24" i="8"/>
  <c r="F19" i="8" s="1"/>
  <c r="P22" i="3" l="1"/>
  <c r="R22" i="3" s="1"/>
  <c r="T22" i="3" s="1"/>
  <c r="V22" i="3" s="1"/>
  <c r="X22" i="3" s="1"/>
  <c r="B29" i="3"/>
  <c r="B28" i="3"/>
  <c r="R4" i="3"/>
  <c r="B19" i="3"/>
  <c r="J4" i="3"/>
  <c r="L17" i="3"/>
  <c r="I4" i="3"/>
  <c r="D24" i="3" s="1"/>
  <c r="Q4" i="3"/>
  <c r="Q19" i="3"/>
  <c r="N20" i="3"/>
  <c r="W18" i="3"/>
  <c r="X18" i="3"/>
  <c r="Y18" i="3" s="1"/>
  <c r="I4" i="10"/>
  <c r="D24" i="10" s="1"/>
  <c r="B19" i="10"/>
  <c r="M19" i="8"/>
  <c r="J4" i="10"/>
  <c r="B25" i="10"/>
  <c r="K18" i="10"/>
  <c r="H22" i="8"/>
  <c r="G17" i="8"/>
  <c r="B31" i="8"/>
  <c r="F18" i="8"/>
  <c r="E18" i="8"/>
  <c r="B31" i="3" l="1"/>
  <c r="D25" i="3"/>
  <c r="F24" i="3"/>
  <c r="D19" i="3"/>
  <c r="E20" i="3" s="1"/>
  <c r="Q17" i="3"/>
  <c r="N17" i="3"/>
  <c r="P20" i="3"/>
  <c r="S19" i="3"/>
  <c r="B29" i="10"/>
  <c r="B28" i="10"/>
  <c r="F24" i="10"/>
  <c r="F19" i="10" s="1"/>
  <c r="D19" i="10"/>
  <c r="E20" i="10" s="1"/>
  <c r="O19" i="8"/>
  <c r="D25" i="10"/>
  <c r="I17" i="8"/>
  <c r="H17" i="8" s="1"/>
  <c r="F17" i="8"/>
  <c r="J22" i="8"/>
  <c r="H18" i="8"/>
  <c r="G18" i="8"/>
  <c r="H24" i="3" l="1"/>
  <c r="F25" i="3"/>
  <c r="F19" i="3"/>
  <c r="G20" i="3" s="1"/>
  <c r="D28" i="3"/>
  <c r="D29" i="3"/>
  <c r="S17" i="3"/>
  <c r="R17" i="3" s="1"/>
  <c r="P17" i="3"/>
  <c r="U17" i="3"/>
  <c r="R20" i="3"/>
  <c r="U19" i="3"/>
  <c r="D29" i="10"/>
  <c r="D28" i="10"/>
  <c r="Q19" i="8"/>
  <c r="H24" i="10"/>
  <c r="H19" i="10" s="1"/>
  <c r="F25" i="10"/>
  <c r="B31" i="10"/>
  <c r="D20" i="10"/>
  <c r="M17" i="8"/>
  <c r="O17" i="8" s="1"/>
  <c r="K17" i="8"/>
  <c r="J17" i="8" s="1"/>
  <c r="J18" i="8"/>
  <c r="I18" i="8"/>
  <c r="L22" i="8"/>
  <c r="L17" i="8" s="1"/>
  <c r="D31" i="3" l="1"/>
  <c r="F28" i="3"/>
  <c r="F29" i="3"/>
  <c r="J24" i="3"/>
  <c r="L24" i="3" s="1"/>
  <c r="N24" i="3" s="1"/>
  <c r="H19" i="3"/>
  <c r="I20" i="3" s="1"/>
  <c r="H25" i="3"/>
  <c r="W17" i="3"/>
  <c r="V17" i="3" s="1"/>
  <c r="X17" i="3" s="1"/>
  <c r="Y17" i="3" s="1"/>
  <c r="T17" i="3"/>
  <c r="D31" i="10"/>
  <c r="W19" i="3"/>
  <c r="T20" i="3"/>
  <c r="F28" i="10"/>
  <c r="F29" i="10"/>
  <c r="J24" i="10"/>
  <c r="J19" i="10" s="1"/>
  <c r="H25" i="10"/>
  <c r="F20" i="10"/>
  <c r="G20" i="10"/>
  <c r="L18" i="8"/>
  <c r="K18" i="8"/>
  <c r="N22" i="8"/>
  <c r="N17" i="8" s="1"/>
  <c r="F31" i="3" l="1"/>
  <c r="H29" i="3"/>
  <c r="H28" i="3"/>
  <c r="J19" i="3"/>
  <c r="K20" i="3" s="1"/>
  <c r="J25" i="3"/>
  <c r="Y19" i="3"/>
  <c r="V20" i="3"/>
  <c r="L25" i="3"/>
  <c r="L19" i="3"/>
  <c r="M20" i="3" s="1"/>
  <c r="H28" i="10"/>
  <c r="H29" i="10"/>
  <c r="F31" i="10"/>
  <c r="H20" i="10"/>
  <c r="I20" i="10"/>
  <c r="J25" i="10"/>
  <c r="P22" i="8"/>
  <c r="H24" i="8"/>
  <c r="H19" i="8" s="1"/>
  <c r="F25" i="8"/>
  <c r="D20" i="8"/>
  <c r="E20" i="8"/>
  <c r="N18" i="8"/>
  <c r="M18" i="8"/>
  <c r="H31" i="3" l="1"/>
  <c r="J29" i="3"/>
  <c r="J28" i="3"/>
  <c r="X20" i="3"/>
  <c r="L28" i="3"/>
  <c r="L29" i="3"/>
  <c r="P24" i="3"/>
  <c r="P25" i="3" s="1"/>
  <c r="N25" i="3"/>
  <c r="N19" i="3"/>
  <c r="O20" i="3" s="1"/>
  <c r="J28" i="10"/>
  <c r="J29" i="10"/>
  <c r="F28" i="8"/>
  <c r="F29" i="8"/>
  <c r="H31" i="10"/>
  <c r="J20" i="10"/>
  <c r="K20" i="10"/>
  <c r="J24" i="8"/>
  <c r="J19" i="8" s="1"/>
  <c r="H25" i="8"/>
  <c r="F20" i="8"/>
  <c r="G20" i="8"/>
  <c r="P17" i="8"/>
  <c r="Q17" i="8" s="1"/>
  <c r="P18" i="8"/>
  <c r="Q18" i="8" s="1"/>
  <c r="O18" i="8"/>
  <c r="D31" i="8"/>
  <c r="J31" i="3" l="1"/>
  <c r="L31" i="3"/>
  <c r="R24" i="3"/>
  <c r="R25" i="3" s="1"/>
  <c r="P19" i="3"/>
  <c r="Q20" i="3" s="1"/>
  <c r="N29" i="3"/>
  <c r="N28" i="3"/>
  <c r="H29" i="8"/>
  <c r="H28" i="8"/>
  <c r="J31" i="10"/>
  <c r="I8" i="10"/>
  <c r="F31" i="8"/>
  <c r="H20" i="8"/>
  <c r="I20" i="8"/>
  <c r="L24" i="8"/>
  <c r="L19" i="8" s="1"/>
  <c r="J25" i="8"/>
  <c r="N31" i="3" l="1"/>
  <c r="P29" i="3"/>
  <c r="P28" i="3"/>
  <c r="T24" i="3"/>
  <c r="T25" i="3" s="1"/>
  <c r="R19" i="3"/>
  <c r="S20" i="3" s="1"/>
  <c r="J29" i="8"/>
  <c r="J28" i="8"/>
  <c r="N24" i="8"/>
  <c r="P24" i="8" s="1"/>
  <c r="L25" i="8"/>
  <c r="J20" i="8"/>
  <c r="K20" i="8"/>
  <c r="N19" i="8" l="1"/>
  <c r="R29" i="3"/>
  <c r="R28" i="3"/>
  <c r="P31" i="3" s="1"/>
  <c r="V24" i="3"/>
  <c r="V25" i="3" s="1"/>
  <c r="T19" i="3"/>
  <c r="U20" i="3" s="1"/>
  <c r="L28" i="8"/>
  <c r="J31" i="8" s="1"/>
  <c r="L29" i="8"/>
  <c r="H31" i="8"/>
  <c r="F11" i="10"/>
  <c r="F9" i="10"/>
  <c r="F10" i="10" s="1"/>
  <c r="N25" i="8"/>
  <c r="L20" i="8"/>
  <c r="M20" i="8"/>
  <c r="T28" i="3" l="1"/>
  <c r="T29" i="3"/>
  <c r="X24" i="3"/>
  <c r="X25" i="3" s="1"/>
  <c r="I8" i="3" s="1"/>
  <c r="V19" i="3"/>
  <c r="W20" i="3" s="1"/>
  <c r="N28" i="8"/>
  <c r="N29" i="8"/>
  <c r="P25" i="8"/>
  <c r="I8" i="8" s="1"/>
  <c r="P19" i="8"/>
  <c r="L31" i="8"/>
  <c r="N20" i="8"/>
  <c r="O20" i="8"/>
  <c r="T31" i="3" l="1"/>
  <c r="R31" i="3"/>
  <c r="V28" i="3"/>
  <c r="V29" i="3"/>
  <c r="X19" i="3"/>
  <c r="Y20" i="3" s="1"/>
  <c r="P28" i="8"/>
  <c r="F9" i="8" s="1"/>
  <c r="P29" i="8"/>
  <c r="N31" i="8"/>
  <c r="P20" i="8"/>
  <c r="Q20" i="8"/>
  <c r="V31" i="3" l="1"/>
  <c r="X28" i="3"/>
  <c r="F9" i="3" s="1"/>
  <c r="X29" i="3"/>
  <c r="P31" i="8"/>
  <c r="F11" i="8" s="1"/>
  <c r="F10" i="8" l="1"/>
  <c r="X31" i="3"/>
  <c r="F11" i="3" s="1"/>
  <c r="F10" i="3" l="1"/>
</calcChain>
</file>

<file path=xl/sharedStrings.xml><?xml version="1.0" encoding="utf-8"?>
<sst xmlns="http://schemas.openxmlformats.org/spreadsheetml/2006/main" count="193" uniqueCount="91">
  <si>
    <t>T (fs)</t>
    <phoneticPr fontId="1" type="noConversion"/>
  </si>
  <si>
    <t>E (eV)</t>
    <phoneticPr fontId="1" type="noConversion"/>
  </si>
  <si>
    <t>X range, res (um)</t>
  </si>
  <si>
    <t>Y range, res (um)</t>
  </si>
  <si>
    <t>T range, res (fs)</t>
  </si>
  <si>
    <t>E range, res (meV)</t>
  </si>
  <si>
    <t>Nx</t>
  </si>
  <si>
    <t>Ny</t>
  </si>
  <si>
    <t>Nz</t>
  </si>
  <si>
    <t>X range (m)</t>
    <phoneticPr fontId="1" type="noConversion"/>
  </si>
  <si>
    <t>Y range (m)</t>
    <phoneticPr fontId="1" type="noConversion"/>
  </si>
  <si>
    <t>T range (fs)</t>
    <phoneticPr fontId="1" type="noConversion"/>
  </si>
  <si>
    <t>T res (fs)</t>
    <phoneticPr fontId="1" type="noConversion"/>
  </si>
  <si>
    <t>E range (eV)</t>
    <phoneticPr fontId="1" type="noConversion"/>
  </si>
  <si>
    <t>E res (eV)</t>
    <phoneticPr fontId="1" type="noConversion"/>
  </si>
  <si>
    <t>Nx</t>
    <phoneticPr fontId="1" type="noConversion"/>
  </si>
  <si>
    <t>Ny</t>
    <phoneticPr fontId="1" type="noConversion"/>
  </si>
  <si>
    <t>Nz</t>
    <phoneticPr fontId="1" type="noConversion"/>
  </si>
  <si>
    <t>x_scaling</t>
    <phoneticPr fontId="1" type="noConversion"/>
  </si>
  <si>
    <t>z_scaling</t>
    <phoneticPr fontId="1" type="noConversion"/>
  </si>
  <si>
    <t>Unit Time (s)</t>
    <phoneticPr fontId="1" type="noConversion"/>
  </si>
  <si>
    <t>b factor 1</t>
    <phoneticPr fontId="1" type="noConversion"/>
  </si>
  <si>
    <t>stretch factor 1</t>
    <phoneticPr fontId="1" type="noConversion"/>
  </si>
  <si>
    <t>Si 220</t>
    <phoneticPr fontId="1" type="noConversion"/>
  </si>
  <si>
    <t>Si 440</t>
    <phoneticPr fontId="1" type="noConversion"/>
  </si>
  <si>
    <t>asymmetry angle</t>
    <phoneticPr fontId="1" type="noConversion"/>
  </si>
  <si>
    <t>Bragg angle</t>
    <phoneticPr fontId="1" type="noConversion"/>
  </si>
  <si>
    <t>Estimated time</t>
    <phoneticPr fontId="1" type="noConversion"/>
  </si>
  <si>
    <t>incident (CRL0)</t>
    <phoneticPr fontId="1" type="noConversion"/>
  </si>
  <si>
    <t>HRM1</t>
    <phoneticPr fontId="1" type="noConversion"/>
  </si>
  <si>
    <t>HRM2</t>
    <phoneticPr fontId="1" type="noConversion"/>
  </si>
  <si>
    <t>CRL1</t>
    <phoneticPr fontId="1" type="noConversion"/>
  </si>
  <si>
    <t>Slit</t>
    <phoneticPr fontId="1" type="noConversion"/>
  </si>
  <si>
    <t>CRL2</t>
    <phoneticPr fontId="1" type="noConversion"/>
  </si>
  <si>
    <t>HRM3</t>
    <phoneticPr fontId="1" type="noConversion"/>
  </si>
  <si>
    <t>HRM4</t>
    <phoneticPr fontId="1" type="noConversion"/>
  </si>
  <si>
    <t>t_stretching (fs)</t>
    <phoneticPr fontId="1" type="noConversion"/>
  </si>
  <si>
    <t>pts</t>
    <phoneticPr fontId="1" type="noConversion"/>
  </si>
  <si>
    <t>Pulse duration (fs)</t>
  </si>
  <si>
    <t>Pulse duration (fs)</t>
    <phoneticPr fontId="1" type="noConversion"/>
  </si>
  <si>
    <t>speed up</t>
    <phoneticPr fontId="1" type="noConversion"/>
  </si>
  <si>
    <t>job ID</t>
    <phoneticPr fontId="1" type="noConversion"/>
  </si>
  <si>
    <t>bandwidth (meV)</t>
    <phoneticPr fontId="1" type="noConversion"/>
  </si>
  <si>
    <t>Local time (s)</t>
    <phoneticPr fontId="1" type="noConversion"/>
  </si>
  <si>
    <t>NERSC time (s)</t>
    <phoneticPr fontId="1" type="noConversion"/>
  </si>
  <si>
    <t>Memory (GB)</t>
    <phoneticPr fontId="1" type="noConversion"/>
  </si>
  <si>
    <t>prop time</t>
    <phoneticPr fontId="1" type="noConversion"/>
  </si>
  <si>
    <t>plot time</t>
    <phoneticPr fontId="1" type="noConversion"/>
  </si>
  <si>
    <t>Propagation</t>
    <phoneticPr fontId="1" type="noConversion"/>
  </si>
  <si>
    <t>Plot</t>
    <phoneticPr fontId="1" type="noConversion"/>
  </si>
  <si>
    <t>if plot</t>
    <phoneticPr fontId="1" type="noConversion"/>
  </si>
  <si>
    <t>Total time</t>
    <phoneticPr fontId="1" type="noConversion"/>
  </si>
  <si>
    <t>Propagation time</t>
    <phoneticPr fontId="1" type="noConversion"/>
  </si>
  <si>
    <t>Plot time</t>
    <phoneticPr fontId="1" type="noConversion"/>
  </si>
  <si>
    <t>description</t>
    <phoneticPr fontId="1" type="noConversion"/>
  </si>
  <si>
    <t>20fs C2 no resize</t>
    <phoneticPr fontId="1" type="noConversion"/>
  </si>
  <si>
    <t>20fs C2 range x10, open</t>
    <phoneticPr fontId="1" type="noConversion"/>
  </si>
  <si>
    <t>20fs C2 range x 10, close</t>
    <phoneticPr fontId="1" type="noConversion"/>
  </si>
  <si>
    <t>sacct -u nanw0321 --format=JobID,JobName,MaxRSS,Elapsed</t>
    <phoneticPr fontId="1" type="noConversion"/>
  </si>
  <si>
    <t>400fs C2 x10 exp, close</t>
    <phoneticPr fontId="1" type="noConversion"/>
  </si>
  <si>
    <t>400fs C2 x10 exp, open</t>
    <phoneticPr fontId="1" type="noConversion"/>
  </si>
  <si>
    <t>Memory usage (GB)</t>
    <phoneticPr fontId="1" type="noConversion"/>
  </si>
  <si>
    <t>parameter</t>
    <phoneticPr fontId="1" type="noConversion"/>
  </si>
  <si>
    <t>crystal-lens distance</t>
    <phoneticPr fontId="1" type="noConversion"/>
  </si>
  <si>
    <t>pulse duration (fs)</t>
    <phoneticPr fontId="1" type="noConversion"/>
  </si>
  <si>
    <t>number of points</t>
    <phoneticPr fontId="1" type="noConversion"/>
  </si>
  <si>
    <t>crystal alignment</t>
    <phoneticPr fontId="1" type="noConversion"/>
  </si>
  <si>
    <t>crystal asymmetry error</t>
    <phoneticPr fontId="1" type="noConversion"/>
  </si>
  <si>
    <t>incident photon energy</t>
    <phoneticPr fontId="1" type="noConversion"/>
  </si>
  <si>
    <t>total time</t>
    <phoneticPr fontId="1" type="noConversion"/>
  </si>
  <si>
    <t>time per point</t>
    <phoneticPr fontId="1" type="noConversion"/>
  </si>
  <si>
    <t>400fs C2 range x 10, 256y close</t>
    <phoneticPr fontId="1" type="noConversion"/>
  </si>
  <si>
    <t>400fs C2 range x 10, 256y open</t>
    <phoneticPr fontId="1" type="noConversion"/>
  </si>
  <si>
    <t>Memory (KB)</t>
    <phoneticPr fontId="1" type="noConversion"/>
  </si>
  <si>
    <t>sacct -j 41225182 --format=JobID,JobName,MaxRSS,Elapsed</t>
    <phoneticPr fontId="1" type="noConversion"/>
  </si>
  <si>
    <t>job status</t>
    <phoneticPr fontId="1" type="noConversion"/>
  </si>
  <si>
    <t>Beam size</t>
    <phoneticPr fontId="1" type="noConversion"/>
  </si>
  <si>
    <t>HHLM1</t>
    <phoneticPr fontId="1" type="noConversion"/>
  </si>
  <si>
    <t>HHLM2</t>
    <phoneticPr fontId="1" type="noConversion"/>
  </si>
  <si>
    <t>HHLM3</t>
    <phoneticPr fontId="1" type="noConversion"/>
  </si>
  <si>
    <t>HHLM4</t>
    <phoneticPr fontId="1" type="noConversion"/>
  </si>
  <si>
    <t>Beam size (um)</t>
    <phoneticPr fontId="1" type="noConversion"/>
  </si>
  <si>
    <t>Total (s)</t>
    <phoneticPr fontId="1" type="noConversion"/>
  </si>
  <si>
    <t>HHLM (s)</t>
    <phoneticPr fontId="1" type="noConversion"/>
  </si>
  <si>
    <t>HRM (s)</t>
    <phoneticPr fontId="1" type="noConversion"/>
  </si>
  <si>
    <t>Ram (GB)</t>
    <phoneticPr fontId="1" type="noConversion"/>
  </si>
  <si>
    <t>Local (s)</t>
    <phoneticPr fontId="1" type="noConversion"/>
  </si>
  <si>
    <t>HHLM+HRM</t>
    <phoneticPr fontId="1" type="noConversion"/>
  </si>
  <si>
    <t>HRM</t>
    <phoneticPr fontId="1" type="noConversion"/>
  </si>
  <si>
    <t>HHLM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</si>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</sst>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[$-F400]h:mm:ss\ AM/PM"/>
    <numFmt numFmtId="179" formatCode="0.00_ "/>
    <numFmt numFmtId="180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76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46" fontId="0" fillId="0" borderId="0" xfId="0" applyNumberFormat="1"/>
    <xf numFmtId="176" fontId="0" fillId="0" borderId="0" xfId="0" applyNumberFormat="1" applyAlignment="1">
      <alignment horizontal="center"/>
    </xf>
    <xf numFmtId="179" fontId="0" fillId="0" borderId="0" xfId="0" applyNumberFormat="1"/>
    <xf numFmtId="21" fontId="0" fillId="0" borderId="0" xfId="0" applyNumberFormat="1"/>
    <xf numFmtId="180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2467-9A32-4D0C-9EF6-BA646B0CE237}">
  <dimension ref="A1:S33"/>
  <sheetViews>
    <sheetView workbookViewId="0">
      <selection activeCell="B4" sqref="B4"/>
    </sheetView>
  </sheetViews>
  <sheetFormatPr defaultRowHeight="14.25" x14ac:dyDescent="0.2"/>
  <cols>
    <col min="1" max="1" width="16.875" bestFit="1" customWidth="1"/>
    <col min="2" max="2" width="8.875" bestFit="1" customWidth="1"/>
    <col min="3" max="3" width="7.375" bestFit="1" customWidth="1"/>
    <col min="4" max="4" width="9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10.5" bestFit="1" customWidth="1"/>
    <col min="14" max="14" width="9.375" bestFit="1" customWidth="1"/>
    <col min="16" max="16" width="13.375" customWidth="1"/>
  </cols>
  <sheetData>
    <row r="1" spans="1:12" x14ac:dyDescent="0.2">
      <c r="A1" t="s">
        <v>89</v>
      </c>
      <c r="D1" s="16" t="s">
        <v>23</v>
      </c>
      <c r="E1" s="16"/>
    </row>
    <row r="2" spans="1:12" x14ac:dyDescent="0.2">
      <c r="A2" t="s">
        <v>1</v>
      </c>
      <c r="B2">
        <v>9481</v>
      </c>
      <c r="D2" s="16" t="s">
        <v>26</v>
      </c>
      <c r="E2" s="16"/>
      <c r="F2">
        <v>19.909876918386299</v>
      </c>
      <c r="H2" t="s">
        <v>18</v>
      </c>
      <c r="I2" s="2">
        <f>MAX(ROUND(1/F4,0),ROUND(F4,0))</f>
        <v>12</v>
      </c>
      <c r="J2">
        <f>MAX(F4,1/F4)</f>
        <v>11.830135875287004</v>
      </c>
    </row>
    <row r="3" spans="1:12" x14ac:dyDescent="0.2">
      <c r="A3" t="s">
        <v>0</v>
      </c>
      <c r="B3">
        <v>20</v>
      </c>
      <c r="D3" s="16" t="s">
        <v>25</v>
      </c>
      <c r="E3" s="16"/>
      <c r="F3">
        <v>17</v>
      </c>
      <c r="H3" t="s">
        <v>36</v>
      </c>
      <c r="I3" s="2">
        <f>$B4*F5/300000000*1000000000000000</f>
        <v>52300.882458116022</v>
      </c>
    </row>
    <row r="4" spans="1:12" x14ac:dyDescent="0.2">
      <c r="A4" t="s">
        <v>9</v>
      </c>
      <c r="B4" s="1">
        <v>4.0000000000000001E-3</v>
      </c>
      <c r="D4" s="16" t="s">
        <v>21</v>
      </c>
      <c r="E4" s="16"/>
      <c r="F4">
        <f>SIN(RADIANS(F2+F3))/SIN(RADIANS(F2-F3))</f>
        <v>11.830135875287004</v>
      </c>
      <c r="H4" t="s">
        <v>19</v>
      </c>
      <c r="I4" s="2">
        <f>MAX(ROUND(I3/$B7,0),1)</f>
        <v>13</v>
      </c>
      <c r="J4">
        <f>I3/$B7</f>
        <v>13.075220614529005</v>
      </c>
    </row>
    <row r="5" spans="1:12" x14ac:dyDescent="0.2">
      <c r="A5" t="s">
        <v>10</v>
      </c>
      <c r="B5" s="1">
        <v>4.0000000000000001E-3</v>
      </c>
      <c r="D5" s="16" t="s">
        <v>22</v>
      </c>
      <c r="E5" s="16"/>
      <c r="F5">
        <f>ABS((COS(RADIANS(F2-F3))-COS(RADIANS(F2+F3)))/SIN(RADIANS(F2-F3)))</f>
        <v>3.9225661843587014</v>
      </c>
    </row>
    <row r="6" spans="1:12" x14ac:dyDescent="0.2">
      <c r="L6" s="2"/>
    </row>
    <row r="7" spans="1:12" x14ac:dyDescent="0.2">
      <c r="A7" t="s">
        <v>11</v>
      </c>
      <c r="B7">
        <f>B8*B14</f>
        <v>4000</v>
      </c>
    </row>
    <row r="8" spans="1:12" x14ac:dyDescent="0.2">
      <c r="A8" t="s">
        <v>12</v>
      </c>
      <c r="B8">
        <f>B3/10</f>
        <v>2</v>
      </c>
      <c r="D8" s="16" t="s">
        <v>20</v>
      </c>
      <c r="E8" s="16"/>
      <c r="F8" s="1">
        <v>5.9999999999999997E-7</v>
      </c>
      <c r="H8" t="s">
        <v>45</v>
      </c>
      <c r="I8" s="9">
        <f>22122874/1024/1024/3072/8/26000*MAX(25:25)</f>
        <v>42.196033477783196</v>
      </c>
    </row>
    <row r="9" spans="1:12" x14ac:dyDescent="0.2">
      <c r="A9" t="s">
        <v>13</v>
      </c>
      <c r="B9">
        <f>4/B8</f>
        <v>2</v>
      </c>
      <c r="D9" s="16" t="s">
        <v>52</v>
      </c>
      <c r="E9" s="16"/>
      <c r="F9" s="7">
        <f>SUM(28:28)/86400</f>
        <v>6.0394444444444445E-3</v>
      </c>
    </row>
    <row r="10" spans="1:12" x14ac:dyDescent="0.2">
      <c r="A10" t="s">
        <v>14</v>
      </c>
      <c r="B10">
        <f>MIN(B9/400,0.001)</f>
        <v>1E-3</v>
      </c>
      <c r="D10" s="16" t="s">
        <v>53</v>
      </c>
      <c r="E10" s="16"/>
      <c r="F10" s="7">
        <f>SUM(31:31)-F9</f>
        <v>4.7264062499999995E-2</v>
      </c>
    </row>
    <row r="11" spans="1:12" x14ac:dyDescent="0.2">
      <c r="D11" s="16" t="s">
        <v>51</v>
      </c>
      <c r="E11" s="16"/>
      <c r="F11" s="10">
        <f>SUM(31:31)</f>
        <v>5.330350694444444E-2</v>
      </c>
    </row>
    <row r="12" spans="1:12" x14ac:dyDescent="0.2">
      <c r="A12" s="12" t="s">
        <v>15</v>
      </c>
      <c r="B12">
        <v>512</v>
      </c>
      <c r="H12" s="12"/>
      <c r="I12" s="12"/>
      <c r="J12" s="3"/>
    </row>
    <row r="13" spans="1:12" x14ac:dyDescent="0.2">
      <c r="A13" s="12" t="s">
        <v>16</v>
      </c>
      <c r="B13">
        <v>8</v>
      </c>
    </row>
    <row r="14" spans="1:12" x14ac:dyDescent="0.2">
      <c r="A14" s="12" t="s">
        <v>17</v>
      </c>
      <c r="B14">
        <f>B9/B10</f>
        <v>2000</v>
      </c>
    </row>
    <row r="16" spans="1:12" x14ac:dyDescent="0.2">
      <c r="A16" t="s">
        <v>89</v>
      </c>
      <c r="B16" s="16" t="s">
        <v>28</v>
      </c>
      <c r="C16" s="16"/>
      <c r="D16" s="16" t="s">
        <v>77</v>
      </c>
      <c r="E16" s="16"/>
      <c r="F16" s="16" t="s">
        <v>78</v>
      </c>
      <c r="G16" s="16"/>
      <c r="H16" s="16" t="s">
        <v>79</v>
      </c>
      <c r="I16" s="16"/>
      <c r="J16" s="16" t="s">
        <v>80</v>
      </c>
      <c r="K16" s="16"/>
    </row>
    <row r="17" spans="1:19" x14ac:dyDescent="0.2">
      <c r="A17" s="12" t="s">
        <v>2</v>
      </c>
      <c r="B17" s="2">
        <f>B22*C17</f>
        <v>4008.96</v>
      </c>
      <c r="C17" s="2">
        <f>7.83</f>
        <v>7.83</v>
      </c>
      <c r="D17" s="2">
        <f>D22*E17</f>
        <v>47426.541518590588</v>
      </c>
      <c r="E17" s="2">
        <f>C17*F4/I2</f>
        <v>7.7191636586247698</v>
      </c>
      <c r="F17" s="2">
        <f>G17*F22</f>
        <v>47426.541518590588</v>
      </c>
      <c r="G17" s="2">
        <f>E17</f>
        <v>7.7191636586247698</v>
      </c>
      <c r="H17" s="2">
        <f>I17*H22</f>
        <v>47426.541518590588</v>
      </c>
      <c r="I17" s="2">
        <f>G17</f>
        <v>7.7191636586247698</v>
      </c>
      <c r="J17" s="2">
        <f>K17*J22</f>
        <v>4008.96</v>
      </c>
      <c r="K17" s="2">
        <f>I17/F4</f>
        <v>0.65249999999999997</v>
      </c>
    </row>
    <row r="18" spans="1:19" x14ac:dyDescent="0.2">
      <c r="A18" s="12" t="s">
        <v>3</v>
      </c>
      <c r="B18" s="2">
        <f>B5*1000000</f>
        <v>4000</v>
      </c>
      <c r="C18" s="2">
        <f>B18/B23</f>
        <v>500</v>
      </c>
      <c r="D18" s="2">
        <f>B18</f>
        <v>4000</v>
      </c>
      <c r="E18" s="2">
        <f>D18/D23</f>
        <v>500</v>
      </c>
      <c r="F18" s="2">
        <f t="shared" ref="F18" si="0">D18</f>
        <v>4000</v>
      </c>
      <c r="G18" s="2">
        <f>F18/F23</f>
        <v>500</v>
      </c>
      <c r="H18" s="2">
        <f t="shared" ref="H18" si="1">F18</f>
        <v>4000</v>
      </c>
      <c r="I18" s="2">
        <f>H18/H23</f>
        <v>500</v>
      </c>
      <c r="J18" s="2">
        <f t="shared" ref="J18" si="2">H18</f>
        <v>4000</v>
      </c>
      <c r="K18" s="2">
        <f>J18/J23</f>
        <v>500</v>
      </c>
    </row>
    <row r="19" spans="1:19" x14ac:dyDescent="0.2">
      <c r="A19" s="12" t="s">
        <v>4</v>
      </c>
      <c r="B19" s="2">
        <f>B7</f>
        <v>4000</v>
      </c>
      <c r="C19" s="2">
        <f>B8</f>
        <v>2</v>
      </c>
      <c r="D19" s="2">
        <f>E19*D24</f>
        <v>52000</v>
      </c>
      <c r="E19" s="2">
        <f>C19</f>
        <v>2</v>
      </c>
      <c r="F19" s="2">
        <f>G19*F24</f>
        <v>52000</v>
      </c>
      <c r="G19" s="2">
        <f>E19</f>
        <v>2</v>
      </c>
      <c r="H19" s="2">
        <f>I19*H24</f>
        <v>52000</v>
      </c>
      <c r="I19" s="2">
        <f>G19</f>
        <v>2</v>
      </c>
      <c r="J19" s="2">
        <f>K19*J24</f>
        <v>52000</v>
      </c>
      <c r="K19" s="2">
        <f>I19</f>
        <v>2</v>
      </c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12" t="s">
        <v>5</v>
      </c>
      <c r="B20" s="2">
        <f>B9*1000</f>
        <v>2000</v>
      </c>
      <c r="C20" s="2">
        <f>B10*1000</f>
        <v>1</v>
      </c>
      <c r="D20" s="2">
        <f>$B20*$C19/E19</f>
        <v>2000</v>
      </c>
      <c r="E20" s="2">
        <f>$B19*$C20/D19</f>
        <v>7.6923076923076927E-2</v>
      </c>
      <c r="F20" s="2">
        <f>$B20*$C19/G19</f>
        <v>2000</v>
      </c>
      <c r="G20" s="2">
        <f>$B19*$C20/F19</f>
        <v>7.6923076923076927E-2</v>
      </c>
      <c r="H20" s="2">
        <f t="shared" ref="H20" si="3">$B20*$C19/I19</f>
        <v>2000</v>
      </c>
      <c r="I20" s="2">
        <f t="shared" ref="I20" si="4">$B19*$C20/H19</f>
        <v>7.6923076923076927E-2</v>
      </c>
      <c r="J20" s="2">
        <f t="shared" ref="J20" si="5">$B20*$C19/K19</f>
        <v>2000</v>
      </c>
      <c r="K20" s="2">
        <f t="shared" ref="K20" si="6">$B19*$C20/J19</f>
        <v>7.6923076923076927E-2</v>
      </c>
    </row>
    <row r="21" spans="1:19" x14ac:dyDescent="0.2">
      <c r="A21" s="12" t="s">
        <v>81</v>
      </c>
      <c r="B21" s="17">
        <v>722.7</v>
      </c>
      <c r="C21" s="17"/>
      <c r="D21" s="17">
        <f>B21*J2</f>
        <v>8549.6391970699187</v>
      </c>
      <c r="E21" s="17"/>
      <c r="F21" s="17">
        <f>D21</f>
        <v>8549.6391970699187</v>
      </c>
      <c r="G21" s="17"/>
      <c r="H21" s="17">
        <f>F21</f>
        <v>8549.6391970699187</v>
      </c>
      <c r="I21" s="17"/>
      <c r="J21" s="17">
        <f>H21/J2</f>
        <v>722.7</v>
      </c>
      <c r="K21" s="17"/>
    </row>
    <row r="22" spans="1:19" x14ac:dyDescent="0.2">
      <c r="A22" s="12" t="s">
        <v>6</v>
      </c>
      <c r="B22" s="18">
        <f>B12</f>
        <v>512</v>
      </c>
      <c r="C22" s="18"/>
      <c r="D22" s="18">
        <f>B22*I2</f>
        <v>6144</v>
      </c>
      <c r="E22" s="18"/>
      <c r="F22" s="18">
        <f>D22</f>
        <v>6144</v>
      </c>
      <c r="G22" s="18"/>
      <c r="H22" s="18">
        <f>F22</f>
        <v>6144</v>
      </c>
      <c r="I22" s="18"/>
      <c r="J22" s="18">
        <f t="shared" ref="J22:J24" si="7">H22</f>
        <v>6144</v>
      </c>
      <c r="K22" s="18"/>
    </row>
    <row r="23" spans="1:19" x14ac:dyDescent="0.2">
      <c r="A23" s="12" t="s">
        <v>7</v>
      </c>
      <c r="B23" s="18">
        <f>B13</f>
        <v>8</v>
      </c>
      <c r="C23" s="18"/>
      <c r="D23" s="18">
        <f t="shared" ref="D23" si="8">B23</f>
        <v>8</v>
      </c>
      <c r="E23" s="18"/>
      <c r="F23" s="18">
        <f t="shared" ref="F23" si="9">D23</f>
        <v>8</v>
      </c>
      <c r="G23" s="18"/>
      <c r="H23" s="18">
        <f>B13</f>
        <v>8</v>
      </c>
      <c r="I23" s="18"/>
      <c r="J23" s="18">
        <f t="shared" si="7"/>
        <v>8</v>
      </c>
      <c r="K23" s="18"/>
    </row>
    <row r="24" spans="1:19" x14ac:dyDescent="0.2">
      <c r="A24" s="12" t="s">
        <v>8</v>
      </c>
      <c r="B24" s="18">
        <f>B14</f>
        <v>2000</v>
      </c>
      <c r="C24" s="18"/>
      <c r="D24" s="18">
        <f>B24*I4</f>
        <v>26000</v>
      </c>
      <c r="E24" s="18"/>
      <c r="F24" s="18">
        <f>D24</f>
        <v>26000</v>
      </c>
      <c r="G24" s="18"/>
      <c r="H24" s="18">
        <f t="shared" ref="H24" si="10">F24</f>
        <v>26000</v>
      </c>
      <c r="I24" s="18"/>
      <c r="J24" s="18">
        <f t="shared" si="7"/>
        <v>26000</v>
      </c>
      <c r="K24" s="18"/>
    </row>
    <row r="25" spans="1:19" x14ac:dyDescent="0.2">
      <c r="A25" s="12" t="s">
        <v>37</v>
      </c>
      <c r="B25" s="19">
        <f>B22*B23*B24</f>
        <v>8192000</v>
      </c>
      <c r="C25" s="19"/>
      <c r="D25" s="19">
        <f>D22*D23*D24</f>
        <v>1277952000</v>
      </c>
      <c r="E25" s="19"/>
      <c r="F25" s="19">
        <f t="shared" ref="F25" si="11">F22*F23*F24</f>
        <v>1277952000</v>
      </c>
      <c r="G25" s="19"/>
      <c r="H25" s="19">
        <f t="shared" ref="H25" si="12">H22*H23*H24</f>
        <v>1277952000</v>
      </c>
      <c r="I25" s="19"/>
      <c r="J25" s="19">
        <f t="shared" ref="J25" si="13">J22*J23*J24</f>
        <v>1277952000</v>
      </c>
      <c r="K25" s="19"/>
    </row>
    <row r="26" spans="1:19" hidden="1" x14ac:dyDescent="0.2">
      <c r="A26" s="15" t="s">
        <v>46</v>
      </c>
      <c r="B26" s="20">
        <f>0.191+9.964+1.804+1.666</f>
        <v>13.625000000000002</v>
      </c>
      <c r="C26" s="20"/>
      <c r="D26" s="20">
        <v>25.887</v>
      </c>
      <c r="E26" s="20"/>
      <c r="F26" s="20">
        <v>21.568000000000001</v>
      </c>
      <c r="G26" s="20"/>
      <c r="H26" s="20">
        <v>21.541</v>
      </c>
      <c r="I26" s="20"/>
      <c r="J26" s="20">
        <v>9.1859999999999999</v>
      </c>
      <c r="K26" s="20"/>
    </row>
    <row r="27" spans="1:19" hidden="1" x14ac:dyDescent="0.2">
      <c r="A27" s="15" t="s">
        <v>47</v>
      </c>
      <c r="B27" s="20">
        <f>19.37+17.15</f>
        <v>36.519999999999996</v>
      </c>
      <c r="C27" s="20"/>
      <c r="D27" s="20">
        <v>146.75</v>
      </c>
      <c r="E27" s="20"/>
      <c r="F27" s="20">
        <v>180.85</v>
      </c>
      <c r="G27" s="20"/>
      <c r="H27" s="20">
        <v>166.69</v>
      </c>
      <c r="I27" s="20"/>
      <c r="J27" s="20">
        <v>128.34</v>
      </c>
      <c r="K27" s="20"/>
    </row>
    <row r="28" spans="1:19" x14ac:dyDescent="0.2">
      <c r="A28" s="12" t="s">
        <v>48</v>
      </c>
      <c r="B28" s="17">
        <f>B26/512/8/2000*B$25</f>
        <v>13.625000000000002</v>
      </c>
      <c r="C28" s="17"/>
      <c r="D28" s="17">
        <f>D26/6144/8/4000*D$25</f>
        <v>168.2655</v>
      </c>
      <c r="E28" s="17"/>
      <c r="F28" s="17">
        <f t="shared" ref="F28" si="14">F26/6144/8/4000*F$25</f>
        <v>140.19200000000001</v>
      </c>
      <c r="G28" s="17"/>
      <c r="H28" s="17">
        <f t="shared" ref="H28" si="15">H26/6144/8/4000*H$25</f>
        <v>140.01650000000001</v>
      </c>
      <c r="I28" s="17"/>
      <c r="J28" s="17">
        <f t="shared" ref="J28" si="16">J26/6144/8/4000*J$25</f>
        <v>59.708999999999996</v>
      </c>
      <c r="K28" s="17"/>
    </row>
    <row r="29" spans="1:19" x14ac:dyDescent="0.2">
      <c r="A29" s="12" t="s">
        <v>49</v>
      </c>
      <c r="B29" s="17">
        <f>B27/512/8/2000*B$25</f>
        <v>36.519999999999996</v>
      </c>
      <c r="C29" s="17"/>
      <c r="D29" s="17">
        <f>D27/6144/8/4000*D$25</f>
        <v>953.875</v>
      </c>
      <c r="E29" s="17"/>
      <c r="F29" s="17">
        <f t="shared" ref="F29" si="17">F27/6144/8/4000*F$25</f>
        <v>1175.5250000000001</v>
      </c>
      <c r="G29" s="17"/>
      <c r="H29" s="17">
        <f t="shared" ref="H29" si="18">H27/6144/8/4000*H$25</f>
        <v>1083.4849999999999</v>
      </c>
      <c r="I29" s="17"/>
      <c r="J29" s="17">
        <f t="shared" ref="J29" si="19">J27/6144/8/4000*J$25</f>
        <v>834.20999999999992</v>
      </c>
      <c r="K29" s="17"/>
    </row>
    <row r="30" spans="1:19" x14ac:dyDescent="0.2">
      <c r="A30" s="12" t="s">
        <v>50</v>
      </c>
      <c r="B30" s="18">
        <v>1</v>
      </c>
      <c r="C30" s="18"/>
      <c r="D30" s="18">
        <v>1</v>
      </c>
      <c r="E30" s="18"/>
      <c r="F30" s="18">
        <v>1</v>
      </c>
      <c r="G30" s="18"/>
      <c r="H30" s="18">
        <v>1</v>
      </c>
      <c r="I30" s="18"/>
      <c r="J30" s="18">
        <v>1</v>
      </c>
      <c r="K30" s="18"/>
    </row>
    <row r="31" spans="1:19" x14ac:dyDescent="0.2">
      <c r="A31" s="12" t="s">
        <v>27</v>
      </c>
      <c r="B31" s="21">
        <f>(B28+B29*B30)/86400</f>
        <v>5.8038194444444435E-4</v>
      </c>
      <c r="C31" s="21"/>
      <c r="D31" s="21">
        <f t="shared" ref="D31:F31" si="20">(D28+D29*D30)/86400</f>
        <v>1.2987737268518517E-2</v>
      </c>
      <c r="E31" s="21"/>
      <c r="F31" s="21">
        <f t="shared" si="20"/>
        <v>1.5228206018518519E-2</v>
      </c>
      <c r="G31" s="21"/>
      <c r="H31" s="21">
        <f t="shared" ref="H31" si="21">(H28+H29*H30)/86400</f>
        <v>1.4160896990740739E-2</v>
      </c>
      <c r="I31" s="21"/>
      <c r="J31" s="21">
        <f t="shared" ref="J31" si="22">(J28+J29*J30)/86400</f>
        <v>1.034628472222222E-2</v>
      </c>
      <c r="K31" s="21"/>
    </row>
    <row r="32" spans="1:19" x14ac:dyDescent="0.2">
      <c r="E32" s="6"/>
    </row>
    <row r="33" spans="4:4" x14ac:dyDescent="0.2">
      <c r="D33" t="s">
        <v>90</v>
      </c>
    </row>
  </sheetData>
  <mergeCells count="69">
    <mergeCell ref="B31:C31"/>
    <mergeCell ref="D31:E31"/>
    <mergeCell ref="F31:G31"/>
    <mergeCell ref="H31:I31"/>
    <mergeCell ref="J31:K31"/>
    <mergeCell ref="B30:C30"/>
    <mergeCell ref="D30:E30"/>
    <mergeCell ref="F30:G30"/>
    <mergeCell ref="H30:I30"/>
    <mergeCell ref="J30:K30"/>
    <mergeCell ref="B29:C29"/>
    <mergeCell ref="D29:E29"/>
    <mergeCell ref="F29:G29"/>
    <mergeCell ref="H29:I29"/>
    <mergeCell ref="J29:K29"/>
    <mergeCell ref="B28:C28"/>
    <mergeCell ref="D28:E28"/>
    <mergeCell ref="F28:G28"/>
    <mergeCell ref="H28:I28"/>
    <mergeCell ref="J28:K28"/>
    <mergeCell ref="B27:C27"/>
    <mergeCell ref="D27:E27"/>
    <mergeCell ref="F27:G27"/>
    <mergeCell ref="H27:I27"/>
    <mergeCell ref="J27:K27"/>
    <mergeCell ref="B26:C26"/>
    <mergeCell ref="D26:E26"/>
    <mergeCell ref="F26:G26"/>
    <mergeCell ref="H26:I26"/>
    <mergeCell ref="J26:K26"/>
    <mergeCell ref="B25:C25"/>
    <mergeCell ref="D25:E25"/>
    <mergeCell ref="F25:G25"/>
    <mergeCell ref="H25:I25"/>
    <mergeCell ref="J25:K25"/>
    <mergeCell ref="B24:C24"/>
    <mergeCell ref="D24:E24"/>
    <mergeCell ref="F24:G24"/>
    <mergeCell ref="H24:I24"/>
    <mergeCell ref="J24:K24"/>
    <mergeCell ref="B23:C23"/>
    <mergeCell ref="D23:E23"/>
    <mergeCell ref="F23:G23"/>
    <mergeCell ref="H23:I23"/>
    <mergeCell ref="J23:K23"/>
    <mergeCell ref="B22:C22"/>
    <mergeCell ref="D22:E22"/>
    <mergeCell ref="F22:G22"/>
    <mergeCell ref="H22:I22"/>
    <mergeCell ref="J22:K22"/>
    <mergeCell ref="B21:C21"/>
    <mergeCell ref="D21:E21"/>
    <mergeCell ref="F21:G21"/>
    <mergeCell ref="H21:I21"/>
    <mergeCell ref="J21:K21"/>
    <mergeCell ref="H16:I16"/>
    <mergeCell ref="J16:K16"/>
    <mergeCell ref="D9:E9"/>
    <mergeCell ref="D10:E10"/>
    <mergeCell ref="D11:E11"/>
    <mergeCell ref="B16:C16"/>
    <mergeCell ref="D16:E16"/>
    <mergeCell ref="F16:G16"/>
    <mergeCell ref="D1:E1"/>
    <mergeCell ref="D2:E2"/>
    <mergeCell ref="D3:E3"/>
    <mergeCell ref="D4:E4"/>
    <mergeCell ref="D5:E5"/>
    <mergeCell ref="D8:E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F995-0054-48A7-B092-0C0EFEBE5F19}">
  <dimension ref="A1:S32"/>
  <sheetViews>
    <sheetView tabSelected="1" workbookViewId="0">
      <selection activeCell="I12" sqref="I12"/>
    </sheetView>
  </sheetViews>
  <sheetFormatPr defaultRowHeight="14.25" x14ac:dyDescent="0.2"/>
  <cols>
    <col min="1" max="1" width="16.875" bestFit="1" customWidth="1"/>
    <col min="2" max="2" width="8.875" bestFit="1" customWidth="1"/>
    <col min="3" max="3" width="7.375" bestFit="1" customWidth="1"/>
    <col min="4" max="4" width="8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9.375" bestFit="1" customWidth="1"/>
    <col min="13" max="13" width="7.375" bestFit="1" customWidth="1"/>
    <col min="14" max="14" width="10.375" bestFit="1" customWidth="1"/>
    <col min="15" max="15" width="7.375" bestFit="1" customWidth="1"/>
    <col min="16" max="16" width="10.375" bestFit="1" customWidth="1"/>
    <col min="17" max="17" width="7.375" bestFit="1" customWidth="1"/>
  </cols>
  <sheetData>
    <row r="1" spans="1:19" x14ac:dyDescent="0.2">
      <c r="A1" t="s">
        <v>88</v>
      </c>
      <c r="D1" s="16" t="s">
        <v>24</v>
      </c>
      <c r="E1" s="16"/>
    </row>
    <row r="2" spans="1:19" x14ac:dyDescent="0.2">
      <c r="A2" t="s">
        <v>1</v>
      </c>
      <c r="B2">
        <v>9481</v>
      </c>
      <c r="D2" s="16" t="s">
        <v>26</v>
      </c>
      <c r="E2" s="16"/>
      <c r="F2">
        <v>42.926477759350803</v>
      </c>
      <c r="H2" t="s">
        <v>18</v>
      </c>
      <c r="I2" s="2">
        <f>MAX(ROUND(1/F4,0),ROUND(F4,0))</f>
        <v>4</v>
      </c>
      <c r="J2">
        <f>MAX(F4,1/F4)</f>
        <v>4.1056885587164285</v>
      </c>
    </row>
    <row r="3" spans="1:19" x14ac:dyDescent="0.2">
      <c r="A3" t="s">
        <v>0</v>
      </c>
      <c r="B3">
        <v>20</v>
      </c>
      <c r="D3" s="16" t="s">
        <v>25</v>
      </c>
      <c r="E3" s="16"/>
      <c r="F3">
        <v>-29.5</v>
      </c>
      <c r="H3" t="s">
        <v>36</v>
      </c>
      <c r="I3" s="2">
        <f>$B4*F5/300000000*1000000000000000</f>
        <v>11726.249077408484</v>
      </c>
    </row>
    <row r="4" spans="1:19" x14ac:dyDescent="0.2">
      <c r="A4" t="s">
        <v>9</v>
      </c>
      <c r="B4" s="1">
        <f>0.005</f>
        <v>5.0000000000000001E-3</v>
      </c>
      <c r="D4" s="16" t="s">
        <v>21</v>
      </c>
      <c r="E4" s="16"/>
      <c r="F4">
        <f>SIN(RADIANS(F2+F3))/SIN(RADIANS(F2-F3))</f>
        <v>0.24356450463759297</v>
      </c>
      <c r="H4" t="s">
        <v>19</v>
      </c>
      <c r="I4" s="2">
        <f>MAX(ROUND(2*I3/$B7,0),1)</f>
        <v>6</v>
      </c>
      <c r="J4">
        <f>I3/$B7</f>
        <v>2.9315622693521211</v>
      </c>
    </row>
    <row r="5" spans="1:19" x14ac:dyDescent="0.2">
      <c r="A5" t="s">
        <v>10</v>
      </c>
      <c r="B5" s="1">
        <f>0.005</f>
        <v>5.0000000000000001E-3</v>
      </c>
      <c r="D5" s="16" t="s">
        <v>22</v>
      </c>
      <c r="E5" s="16"/>
      <c r="F5">
        <f>ABS((COS(RADIANS(F2-F3))-COS(RADIANS(F2+F3)))/SIN(RADIANS(F2-F3)))</f>
        <v>0.70357494464450898</v>
      </c>
    </row>
    <row r="6" spans="1:19" x14ac:dyDescent="0.2">
      <c r="L6" s="2"/>
    </row>
    <row r="7" spans="1:19" x14ac:dyDescent="0.2">
      <c r="A7" t="s">
        <v>11</v>
      </c>
      <c r="B7">
        <f>B8*B14</f>
        <v>4000</v>
      </c>
    </row>
    <row r="8" spans="1:19" x14ac:dyDescent="0.2">
      <c r="A8" t="s">
        <v>12</v>
      </c>
      <c r="B8">
        <f>B3/10</f>
        <v>2</v>
      </c>
      <c r="D8" s="16" t="s">
        <v>20</v>
      </c>
      <c r="E8" s="16"/>
      <c r="F8" s="1">
        <v>5.9999999999999997E-7</v>
      </c>
      <c r="H8" t="s">
        <v>45</v>
      </c>
      <c r="I8" s="9">
        <f>22122874/1024/1024/3072/8/26000*MAX(25:25)</f>
        <v>51.933579664963936</v>
      </c>
    </row>
    <row r="9" spans="1:19" x14ac:dyDescent="0.2">
      <c r="A9" t="s">
        <v>13</v>
      </c>
      <c r="B9">
        <f>4/B8</f>
        <v>2</v>
      </c>
      <c r="D9" s="16" t="s">
        <v>52</v>
      </c>
      <c r="E9" s="16"/>
      <c r="F9" s="7">
        <f>SUM(28:28)/86400</f>
        <v>8.6631365740740748E-3</v>
      </c>
    </row>
    <row r="10" spans="1:19" x14ac:dyDescent="0.2">
      <c r="A10" t="s">
        <v>14</v>
      </c>
      <c r="B10">
        <f>MIN(B9/800,0.001)</f>
        <v>1E-3</v>
      </c>
      <c r="D10" s="16" t="s">
        <v>53</v>
      </c>
      <c r="E10" s="16"/>
      <c r="F10" s="7">
        <f>SUM(31:31)-F9</f>
        <v>8.0615740740740738E-2</v>
      </c>
    </row>
    <row r="11" spans="1:19" x14ac:dyDescent="0.2">
      <c r="D11" s="16" t="s">
        <v>51</v>
      </c>
      <c r="E11" s="16"/>
      <c r="F11" s="10">
        <f>SUM(31:31)</f>
        <v>8.927887731481482E-2</v>
      </c>
    </row>
    <row r="12" spans="1:19" x14ac:dyDescent="0.2">
      <c r="A12" s="12" t="s">
        <v>15</v>
      </c>
      <c r="B12">
        <v>1024</v>
      </c>
      <c r="H12" s="12"/>
      <c r="I12" s="12"/>
      <c r="J12" s="3"/>
    </row>
    <row r="13" spans="1:19" x14ac:dyDescent="0.2">
      <c r="A13" s="12" t="s">
        <v>16</v>
      </c>
      <c r="B13">
        <v>8</v>
      </c>
    </row>
    <row r="14" spans="1:19" x14ac:dyDescent="0.2">
      <c r="A14" s="12" t="s">
        <v>17</v>
      </c>
      <c r="B14">
        <f>B9/B10</f>
        <v>2000</v>
      </c>
    </row>
    <row r="16" spans="1:19" x14ac:dyDescent="0.2">
      <c r="A16" t="s">
        <v>88</v>
      </c>
      <c r="B16" s="16" t="s">
        <v>28</v>
      </c>
      <c r="C16" s="16"/>
      <c r="D16" s="16" t="s">
        <v>29</v>
      </c>
      <c r="E16" s="16"/>
      <c r="F16" s="16" t="s">
        <v>30</v>
      </c>
      <c r="G16" s="16"/>
      <c r="H16" s="16" t="s">
        <v>31</v>
      </c>
      <c r="I16" s="16"/>
      <c r="J16" s="16" t="s">
        <v>32</v>
      </c>
      <c r="K16" s="16"/>
      <c r="L16" s="16" t="s">
        <v>33</v>
      </c>
      <c r="M16" s="16"/>
      <c r="N16" s="16" t="s">
        <v>34</v>
      </c>
      <c r="O16" s="16"/>
      <c r="P16" s="16" t="s">
        <v>35</v>
      </c>
      <c r="Q16" s="16"/>
      <c r="R16" s="16"/>
      <c r="S16" s="16"/>
    </row>
    <row r="17" spans="1:19" x14ac:dyDescent="0.2">
      <c r="A17" s="12" t="s">
        <v>2</v>
      </c>
      <c r="B17" s="2">
        <f>B22*C17</f>
        <v>8017.92</v>
      </c>
      <c r="C17" s="2">
        <f>7.83</f>
        <v>7.83</v>
      </c>
      <c r="D17" s="2">
        <f>D22*E17</f>
        <v>8017.92</v>
      </c>
      <c r="E17" s="2">
        <f>C17</f>
        <v>7.83</v>
      </c>
      <c r="F17" s="2">
        <f>G17*F22</f>
        <v>31246.091408381591</v>
      </c>
      <c r="G17" s="2">
        <f>E17*F4</f>
        <v>1.907110071312353</v>
      </c>
      <c r="H17" s="2">
        <f>I17*H22</f>
        <v>31246.091408381591</v>
      </c>
      <c r="I17" s="2">
        <f>G17</f>
        <v>1.907110071312353</v>
      </c>
      <c r="J17" s="2">
        <f>K17*J22</f>
        <v>2290.2889429622228</v>
      </c>
      <c r="K17" s="2">
        <f>I17/13.64286</f>
        <v>0.13978814349134661</v>
      </c>
      <c r="L17" s="2">
        <f>M17*L22</f>
        <v>31246.091408381591</v>
      </c>
      <c r="M17" s="2">
        <f>I17</f>
        <v>1.907110071312353</v>
      </c>
      <c r="N17" s="2">
        <f>O17*N22</f>
        <v>128286.72</v>
      </c>
      <c r="O17" s="2">
        <f>M17/F4</f>
        <v>7.83</v>
      </c>
      <c r="P17" s="2">
        <f t="shared" ref="P17:P18" si="0">N17</f>
        <v>128286.72</v>
      </c>
      <c r="Q17" s="2">
        <f>P17/P22</f>
        <v>7.83</v>
      </c>
      <c r="R17" s="2"/>
      <c r="S17" s="2"/>
    </row>
    <row r="18" spans="1:19" x14ac:dyDescent="0.2">
      <c r="A18" s="12" t="s">
        <v>3</v>
      </c>
      <c r="B18" s="2">
        <f>B5*1000000</f>
        <v>5000</v>
      </c>
      <c r="C18" s="2">
        <f>B18/B23</f>
        <v>625</v>
      </c>
      <c r="D18" s="2">
        <f>B18</f>
        <v>5000</v>
      </c>
      <c r="E18" s="2">
        <f>D18/D23</f>
        <v>625</v>
      </c>
      <c r="F18" s="2">
        <f t="shared" ref="F18" si="1">D18</f>
        <v>5000</v>
      </c>
      <c r="G18" s="2">
        <f>F18/F23</f>
        <v>625</v>
      </c>
      <c r="H18" s="2">
        <f t="shared" ref="H18" si="2">F18</f>
        <v>5000</v>
      </c>
      <c r="I18" s="2">
        <f>H18/H23</f>
        <v>625</v>
      </c>
      <c r="J18" s="2">
        <f t="shared" ref="J18" si="3">H18</f>
        <v>5000</v>
      </c>
      <c r="K18" s="2">
        <f>J18/J23</f>
        <v>625</v>
      </c>
      <c r="L18" s="2">
        <f t="shared" ref="L18" si="4">J18</f>
        <v>5000</v>
      </c>
      <c r="M18" s="2">
        <f>L18/L23</f>
        <v>625</v>
      </c>
      <c r="N18" s="2">
        <f t="shared" ref="N18" si="5">L18</f>
        <v>5000</v>
      </c>
      <c r="O18" s="2">
        <f>N18/N23</f>
        <v>625</v>
      </c>
      <c r="P18" s="2">
        <f t="shared" si="0"/>
        <v>5000</v>
      </c>
      <c r="Q18" s="2">
        <f>P18/P23</f>
        <v>625</v>
      </c>
      <c r="R18" s="2"/>
      <c r="S18" s="2"/>
    </row>
    <row r="19" spans="1:19" x14ac:dyDescent="0.2">
      <c r="A19" s="12" t="s">
        <v>4</v>
      </c>
      <c r="B19" s="2">
        <f>B7</f>
        <v>4000</v>
      </c>
      <c r="C19" s="2">
        <f>B8</f>
        <v>2</v>
      </c>
      <c r="D19" s="2">
        <f>E19*D24</f>
        <v>4000</v>
      </c>
      <c r="E19" s="2">
        <f>C19</f>
        <v>2</v>
      </c>
      <c r="F19" s="2">
        <f>G19*F24</f>
        <v>24000</v>
      </c>
      <c r="G19" s="2">
        <f>E19</f>
        <v>2</v>
      </c>
      <c r="H19" s="2">
        <f>I19*H24</f>
        <v>24000</v>
      </c>
      <c r="I19" s="2">
        <f>G19</f>
        <v>2</v>
      </c>
      <c r="J19" s="2">
        <f>K19*J24</f>
        <v>24000</v>
      </c>
      <c r="K19" s="2">
        <f>I19</f>
        <v>2</v>
      </c>
      <c r="L19" s="2">
        <f>M19*L24</f>
        <v>24000</v>
      </c>
      <c r="M19" s="2">
        <f>K19</f>
        <v>2</v>
      </c>
      <c r="N19" s="2">
        <f>O19*N24</f>
        <v>24000</v>
      </c>
      <c r="O19" s="2">
        <f>M19</f>
        <v>2</v>
      </c>
      <c r="P19" s="2">
        <f>Q19*P24</f>
        <v>24000</v>
      </c>
      <c r="Q19" s="2">
        <f>O19</f>
        <v>2</v>
      </c>
      <c r="R19" s="2"/>
      <c r="S19" s="2"/>
    </row>
    <row r="20" spans="1:19" x14ac:dyDescent="0.2">
      <c r="A20" s="12" t="s">
        <v>5</v>
      </c>
      <c r="B20" s="2">
        <f>B9*1000</f>
        <v>2000</v>
      </c>
      <c r="C20" s="2">
        <f>B10*1000</f>
        <v>1</v>
      </c>
      <c r="D20" s="2">
        <f>$B20*$C19/E19</f>
        <v>2000</v>
      </c>
      <c r="E20" s="2">
        <f>$B19*$C20/D19</f>
        <v>1</v>
      </c>
      <c r="F20" s="2">
        <f>$B20*$C19/G19</f>
        <v>2000</v>
      </c>
      <c r="G20" s="2">
        <f>$B19*$C20/F19</f>
        <v>0.16666666666666666</v>
      </c>
      <c r="H20" s="2">
        <f t="shared" ref="H20" si="6">$B20*$C19/I19</f>
        <v>2000</v>
      </c>
      <c r="I20" s="2">
        <f t="shared" ref="I20" si="7">$B19*$C20/H19</f>
        <v>0.16666666666666666</v>
      </c>
      <c r="J20" s="2">
        <f t="shared" ref="J20" si="8">$B20*$C19/K19</f>
        <v>2000</v>
      </c>
      <c r="K20" s="2">
        <f t="shared" ref="K20" si="9">$B19*$C20/J19</f>
        <v>0.16666666666666666</v>
      </c>
      <c r="L20" s="2">
        <f t="shared" ref="L20" si="10">$B20*$C19/M19</f>
        <v>2000</v>
      </c>
      <c r="M20" s="2">
        <f t="shared" ref="M20" si="11">$B19*$C20/L19</f>
        <v>0.16666666666666666</v>
      </c>
      <c r="N20" s="2">
        <f t="shared" ref="N20" si="12">$B20*$C19/O19</f>
        <v>2000</v>
      </c>
      <c r="O20" s="2">
        <f t="shared" ref="O20" si="13">$B19*$C20/N19</f>
        <v>0.16666666666666666</v>
      </c>
      <c r="P20" s="2">
        <f t="shared" ref="P20" si="14">$B20*$C19/Q19</f>
        <v>2000</v>
      </c>
      <c r="Q20" s="2">
        <f t="shared" ref="Q20" si="15">$B19*$C20/P19</f>
        <v>0.16666666666666666</v>
      </c>
      <c r="R20" s="2"/>
      <c r="S20" s="2"/>
    </row>
    <row r="21" spans="1:19" x14ac:dyDescent="0.2">
      <c r="A21" s="12" t="s">
        <v>76</v>
      </c>
      <c r="B21" s="17">
        <v>726.57</v>
      </c>
      <c r="C21" s="17"/>
      <c r="D21" s="17">
        <v>722.86</v>
      </c>
      <c r="E21" s="17"/>
      <c r="F21" s="17">
        <v>722.85</v>
      </c>
      <c r="G21" s="17"/>
      <c r="H21" s="17">
        <v>176.54</v>
      </c>
      <c r="I21" s="17"/>
      <c r="J21" s="17">
        <v>14.28</v>
      </c>
      <c r="K21" s="17"/>
      <c r="L21" s="17">
        <v>175.15</v>
      </c>
      <c r="M21" s="17"/>
      <c r="N21" s="17">
        <v>173.04</v>
      </c>
      <c r="O21" s="17"/>
      <c r="P21" s="17">
        <v>173.07</v>
      </c>
      <c r="Q21" s="17"/>
      <c r="R21" s="12"/>
      <c r="S21" s="12"/>
    </row>
    <row r="22" spans="1:19" x14ac:dyDescent="0.2">
      <c r="A22" s="12" t="s">
        <v>6</v>
      </c>
      <c r="B22" s="18">
        <f>B12</f>
        <v>1024</v>
      </c>
      <c r="C22" s="18"/>
      <c r="D22" s="18">
        <f>B22</f>
        <v>1024</v>
      </c>
      <c r="E22" s="18"/>
      <c r="F22" s="18">
        <f>D22*I2*4</f>
        <v>16384</v>
      </c>
      <c r="G22" s="18"/>
      <c r="H22" s="18">
        <f>F22</f>
        <v>16384</v>
      </c>
      <c r="I22" s="18"/>
      <c r="J22" s="18">
        <f t="shared" ref="J22:J24" si="16">H22</f>
        <v>16384</v>
      </c>
      <c r="K22" s="18"/>
      <c r="L22" s="18">
        <f t="shared" ref="L22:L24" si="17">J22</f>
        <v>16384</v>
      </c>
      <c r="M22" s="18"/>
      <c r="N22" s="18">
        <f>L22</f>
        <v>16384</v>
      </c>
      <c r="O22" s="18"/>
      <c r="P22" s="18">
        <f t="shared" ref="P22:P23" si="18">N22</f>
        <v>16384</v>
      </c>
      <c r="Q22" s="18"/>
      <c r="R22" s="18"/>
      <c r="S22" s="18"/>
    </row>
    <row r="23" spans="1:19" x14ac:dyDescent="0.2">
      <c r="A23" s="12" t="s">
        <v>7</v>
      </c>
      <c r="B23" s="18">
        <f>B13</f>
        <v>8</v>
      </c>
      <c r="C23" s="18"/>
      <c r="D23" s="18">
        <f t="shared" ref="D23:D24" si="19">B23</f>
        <v>8</v>
      </c>
      <c r="E23" s="18"/>
      <c r="F23" s="18">
        <f t="shared" ref="F23" si="20">D23</f>
        <v>8</v>
      </c>
      <c r="G23" s="18"/>
      <c r="H23" s="18">
        <f>B13</f>
        <v>8</v>
      </c>
      <c r="I23" s="18"/>
      <c r="J23" s="18">
        <f t="shared" si="16"/>
        <v>8</v>
      </c>
      <c r="K23" s="18"/>
      <c r="L23" s="18">
        <f t="shared" si="17"/>
        <v>8</v>
      </c>
      <c r="M23" s="18"/>
      <c r="N23" s="18">
        <f>L23</f>
        <v>8</v>
      </c>
      <c r="O23" s="18"/>
      <c r="P23" s="18">
        <f t="shared" si="18"/>
        <v>8</v>
      </c>
      <c r="Q23" s="18"/>
      <c r="R23" s="18"/>
      <c r="S23" s="18"/>
    </row>
    <row r="24" spans="1:19" x14ac:dyDescent="0.2">
      <c r="A24" s="12" t="s">
        <v>8</v>
      </c>
      <c r="B24" s="18">
        <f>B14</f>
        <v>2000</v>
      </c>
      <c r="C24" s="18"/>
      <c r="D24" s="18">
        <f t="shared" si="19"/>
        <v>2000</v>
      </c>
      <c r="E24" s="18"/>
      <c r="F24" s="18">
        <f>D24*I4</f>
        <v>12000</v>
      </c>
      <c r="G24" s="18"/>
      <c r="H24" s="18">
        <f t="shared" ref="H24" si="21">F24</f>
        <v>12000</v>
      </c>
      <c r="I24" s="18"/>
      <c r="J24" s="18">
        <f t="shared" si="16"/>
        <v>12000</v>
      </c>
      <c r="K24" s="18"/>
      <c r="L24" s="18">
        <f t="shared" si="17"/>
        <v>12000</v>
      </c>
      <c r="M24" s="18"/>
      <c r="N24" s="18">
        <f t="shared" ref="N24" si="22">L24</f>
        <v>12000</v>
      </c>
      <c r="O24" s="18"/>
      <c r="P24" s="18">
        <f>N24</f>
        <v>12000</v>
      </c>
      <c r="Q24" s="18"/>
      <c r="R24" s="18"/>
      <c r="S24" s="18"/>
    </row>
    <row r="25" spans="1:19" x14ac:dyDescent="0.2">
      <c r="A25" s="12" t="s">
        <v>37</v>
      </c>
      <c r="B25" s="19">
        <f>B22*B23*B24</f>
        <v>16384000</v>
      </c>
      <c r="C25" s="19"/>
      <c r="D25" s="19">
        <f>D22*D23*D24</f>
        <v>16384000</v>
      </c>
      <c r="E25" s="19"/>
      <c r="F25" s="19">
        <f t="shared" ref="F25" si="23">F22*F23*F24</f>
        <v>1572864000</v>
      </c>
      <c r="G25" s="19"/>
      <c r="H25" s="19">
        <f t="shared" ref="H25" si="24">H22*H23*H24</f>
        <v>1572864000</v>
      </c>
      <c r="I25" s="19"/>
      <c r="J25" s="19">
        <f t="shared" ref="J25" si="25">J22*J23*J24</f>
        <v>1572864000</v>
      </c>
      <c r="K25" s="19"/>
      <c r="L25" s="19">
        <f t="shared" ref="L25" si="26">L22*L23*L24</f>
        <v>1572864000</v>
      </c>
      <c r="M25" s="19"/>
      <c r="N25" s="19">
        <f t="shared" ref="N25" si="27">N22*N23*N24</f>
        <v>1572864000</v>
      </c>
      <c r="O25" s="19"/>
      <c r="P25" s="19">
        <f t="shared" ref="P25" si="28">P22*P23*P24</f>
        <v>1572864000</v>
      </c>
      <c r="Q25" s="19"/>
      <c r="R25" s="13"/>
      <c r="S25" s="13"/>
    </row>
    <row r="26" spans="1:19" hidden="1" x14ac:dyDescent="0.2">
      <c r="A26" s="15" t="s">
        <v>46</v>
      </c>
      <c r="B26" s="20">
        <f>0.154+3.252+1.863+1.467</f>
        <v>6.7360000000000007</v>
      </c>
      <c r="C26" s="20"/>
      <c r="D26" s="20">
        <v>1.1519999999999999</v>
      </c>
      <c r="E26" s="20"/>
      <c r="F26" s="20">
        <v>14.536</v>
      </c>
      <c r="G26" s="20"/>
      <c r="H26" s="20">
        <v>5.0839999999999996</v>
      </c>
      <c r="I26" s="20"/>
      <c r="J26" s="20">
        <f>0.874+3.15</f>
        <v>4.024</v>
      </c>
      <c r="K26" s="20"/>
      <c r="L26" s="20">
        <v>5.891</v>
      </c>
      <c r="M26" s="20"/>
      <c r="N26" s="20">
        <v>11.195</v>
      </c>
      <c r="O26" s="20"/>
      <c r="P26" s="20">
        <v>7.8550000000000004</v>
      </c>
      <c r="Q26" s="20"/>
      <c r="R26" s="14"/>
      <c r="S26" s="14"/>
    </row>
    <row r="27" spans="1:19" hidden="1" x14ac:dyDescent="0.2">
      <c r="A27" s="15" t="s">
        <v>47</v>
      </c>
      <c r="B27" s="20">
        <f>6.36+8.93</f>
        <v>15.29</v>
      </c>
      <c r="C27" s="20"/>
      <c r="D27" s="20">
        <v>23.66</v>
      </c>
      <c r="E27" s="20"/>
      <c r="F27" s="20">
        <v>108.08</v>
      </c>
      <c r="G27" s="20"/>
      <c r="H27" s="20">
        <v>62.75</v>
      </c>
      <c r="I27" s="20"/>
      <c r="J27" s="20">
        <v>56.74</v>
      </c>
      <c r="K27" s="20"/>
      <c r="L27" s="20">
        <v>67.02</v>
      </c>
      <c r="M27" s="20"/>
      <c r="N27" s="20">
        <v>72.900000000000006</v>
      </c>
      <c r="O27" s="20"/>
      <c r="P27" s="20">
        <v>80.45</v>
      </c>
      <c r="Q27" s="20"/>
    </row>
    <row r="28" spans="1:19" x14ac:dyDescent="0.2">
      <c r="A28" s="12" t="s">
        <v>48</v>
      </c>
      <c r="B28" s="17">
        <f>B26/512/8/1600*B$25</f>
        <v>16.84</v>
      </c>
      <c r="C28" s="17"/>
      <c r="D28" s="17">
        <f>D26/512/8/1600*D$25</f>
        <v>2.88</v>
      </c>
      <c r="E28" s="17"/>
      <c r="F28" s="17">
        <f>F26/4096/8/3200*F$25</f>
        <v>218.04</v>
      </c>
      <c r="G28" s="17"/>
      <c r="H28" s="17">
        <f t="shared" ref="H28" si="29">H26/4096/8/3200*H$25</f>
        <v>76.259999999999991</v>
      </c>
      <c r="I28" s="17"/>
      <c r="J28" s="17">
        <f t="shared" ref="J28" si="30">J26/4096/8/3200*J$25</f>
        <v>60.36</v>
      </c>
      <c r="K28" s="17"/>
      <c r="L28" s="17">
        <f t="shared" ref="L28" si="31">L26/4096/8/3200*L$25</f>
        <v>88.364999999999995</v>
      </c>
      <c r="M28" s="17"/>
      <c r="N28" s="17">
        <f t="shared" ref="N28" si="32">N26/4096/8/3200*N$25</f>
        <v>167.92500000000001</v>
      </c>
      <c r="O28" s="17"/>
      <c r="P28" s="17">
        <f t="shared" ref="P28" si="33">P26/4096/8/3200*P$25</f>
        <v>117.82500000000002</v>
      </c>
      <c r="Q28" s="17"/>
    </row>
    <row r="29" spans="1:19" x14ac:dyDescent="0.2">
      <c r="A29" s="12" t="s">
        <v>49</v>
      </c>
      <c r="B29" s="17">
        <f>B27/512/8/1600*B$25</f>
        <v>38.224999999999994</v>
      </c>
      <c r="C29" s="17"/>
      <c r="D29" s="17">
        <f>D27/512/8/1600*D$25</f>
        <v>59.15</v>
      </c>
      <c r="E29" s="17"/>
      <c r="F29" s="17">
        <f>F27/4096/8/3200*F$25</f>
        <v>1621.2</v>
      </c>
      <c r="G29" s="17"/>
      <c r="H29" s="17">
        <f t="shared" ref="H29" si="34">H27/4096/8/3200*H$25</f>
        <v>941.24999999999989</v>
      </c>
      <c r="I29" s="17"/>
      <c r="J29" s="17">
        <f t="shared" ref="J29" si="35">J27/4096/8/3200*J$25</f>
        <v>851.1</v>
      </c>
      <c r="K29" s="17"/>
      <c r="L29" s="17">
        <f t="shared" ref="L29" si="36">L27/4096/8/3200*L$25</f>
        <v>1005.2999999999998</v>
      </c>
      <c r="M29" s="17"/>
      <c r="N29" s="17">
        <f t="shared" ref="N29" si="37">N27/4096/8/3200*N$25</f>
        <v>1093.5000000000002</v>
      </c>
      <c r="O29" s="17"/>
      <c r="P29" s="17">
        <f t="shared" ref="P29" si="38">P27/4096/8/3200*P$25</f>
        <v>1206.75</v>
      </c>
      <c r="Q29" s="17"/>
    </row>
    <row r="30" spans="1:19" x14ac:dyDescent="0.2">
      <c r="A30" s="12" t="s">
        <v>50</v>
      </c>
      <c r="B30" s="18">
        <v>1</v>
      </c>
      <c r="C30" s="18"/>
      <c r="D30" s="18">
        <v>1</v>
      </c>
      <c r="E30" s="18"/>
      <c r="F30" s="18">
        <v>1</v>
      </c>
      <c r="G30" s="18"/>
      <c r="H30" s="18">
        <v>1</v>
      </c>
      <c r="I30" s="18"/>
      <c r="J30" s="18">
        <v>1</v>
      </c>
      <c r="K30" s="18"/>
      <c r="L30" s="18">
        <v>1</v>
      </c>
      <c r="M30" s="18"/>
      <c r="N30" s="18">
        <v>1</v>
      </c>
      <c r="O30" s="18"/>
      <c r="P30" s="18">
        <v>1</v>
      </c>
      <c r="Q30" s="18"/>
    </row>
    <row r="31" spans="1:19" x14ac:dyDescent="0.2">
      <c r="A31" s="12" t="s">
        <v>27</v>
      </c>
      <c r="B31" s="21">
        <f>(B28+B29*B30)/86400</f>
        <v>6.3732638888888888E-4</v>
      </c>
      <c r="C31" s="21"/>
      <c r="D31" s="21">
        <f t="shared" ref="D31:F31" si="39">(D28+D29*D30)/86400</f>
        <v>7.1793981481481481E-4</v>
      </c>
      <c r="E31" s="21"/>
      <c r="F31" s="21">
        <f t="shared" si="39"/>
        <v>2.1287500000000001E-2</v>
      </c>
      <c r="G31" s="21"/>
      <c r="H31" s="21">
        <f>(H28+H29*H30+J28)/86400</f>
        <v>1.2475347222222221E-2</v>
      </c>
      <c r="I31" s="21"/>
      <c r="J31" s="21">
        <f>(J28+J29*J30+L28)/86400</f>
        <v>1.1572048611111111E-2</v>
      </c>
      <c r="K31" s="21"/>
      <c r="L31" s="21">
        <f t="shared" ref="L31:P31" si="40">(L28+L29*L30)/86400</f>
        <v>1.265815972222222E-2</v>
      </c>
      <c r="M31" s="21"/>
      <c r="N31" s="21">
        <f t="shared" si="40"/>
        <v>1.4599826388888891E-2</v>
      </c>
      <c r="O31" s="21"/>
      <c r="P31" s="21">
        <f t="shared" si="40"/>
        <v>1.5330729166666668E-2</v>
      </c>
      <c r="Q31" s="21"/>
      <c r="R31" s="17"/>
      <c r="S31" s="17"/>
    </row>
    <row r="32" spans="1:19" x14ac:dyDescent="0.2">
      <c r="E32" s="6"/>
    </row>
  </sheetData>
  <mergeCells count="110">
    <mergeCell ref="N26:O26"/>
    <mergeCell ref="N27:O27"/>
    <mergeCell ref="P26:Q26"/>
    <mergeCell ref="P27:Q27"/>
    <mergeCell ref="L31:M31"/>
    <mergeCell ref="B31:C31"/>
    <mergeCell ref="D31:E31"/>
    <mergeCell ref="F31:G31"/>
    <mergeCell ref="B30:C30"/>
    <mergeCell ref="D30:E30"/>
    <mergeCell ref="F30:G30"/>
    <mergeCell ref="B29:C29"/>
    <mergeCell ref="D29:E29"/>
    <mergeCell ref="F29:G29"/>
    <mergeCell ref="L27:M27"/>
    <mergeCell ref="B28:C28"/>
    <mergeCell ref="D28:E28"/>
    <mergeCell ref="F28:G28"/>
    <mergeCell ref="L26:M26"/>
    <mergeCell ref="B27:C27"/>
    <mergeCell ref="D27:E27"/>
    <mergeCell ref="F27:G27"/>
    <mergeCell ref="H27:I27"/>
    <mergeCell ref="J27:K27"/>
    <mergeCell ref="R31:S31"/>
    <mergeCell ref="H30:I30"/>
    <mergeCell ref="J30:K30"/>
    <mergeCell ref="N28:O28"/>
    <mergeCell ref="P28:Q28"/>
    <mergeCell ref="N29:O29"/>
    <mergeCell ref="P29:Q29"/>
    <mergeCell ref="N30:O30"/>
    <mergeCell ref="L30:M30"/>
    <mergeCell ref="H31:I31"/>
    <mergeCell ref="J31:K31"/>
    <mergeCell ref="H29:I29"/>
    <mergeCell ref="J29:K29"/>
    <mergeCell ref="L29:M29"/>
    <mergeCell ref="P30:Q30"/>
    <mergeCell ref="N31:O31"/>
    <mergeCell ref="P31:Q31"/>
    <mergeCell ref="H28:I28"/>
    <mergeCell ref="J28:K28"/>
    <mergeCell ref="L28:M28"/>
    <mergeCell ref="B26:C26"/>
    <mergeCell ref="D26:E26"/>
    <mergeCell ref="F26:G26"/>
    <mergeCell ref="H26:I26"/>
    <mergeCell ref="J26:K26"/>
    <mergeCell ref="B25:C25"/>
    <mergeCell ref="D25:E25"/>
    <mergeCell ref="R23:S23"/>
    <mergeCell ref="B24:C24"/>
    <mergeCell ref="D24:E24"/>
    <mergeCell ref="F24:G24"/>
    <mergeCell ref="H24:I24"/>
    <mergeCell ref="J24:K24"/>
    <mergeCell ref="F23:G23"/>
    <mergeCell ref="H23:I23"/>
    <mergeCell ref="J23:K23"/>
    <mergeCell ref="L23:M23"/>
    <mergeCell ref="N23:O23"/>
    <mergeCell ref="P23:Q23"/>
    <mergeCell ref="B23:C23"/>
    <mergeCell ref="D23:E23"/>
    <mergeCell ref="F25:G25"/>
    <mergeCell ref="H25:I25"/>
    <mergeCell ref="J25:K25"/>
    <mergeCell ref="L25:M25"/>
    <mergeCell ref="N25:O25"/>
    <mergeCell ref="P25:Q25"/>
    <mergeCell ref="L24:M24"/>
    <mergeCell ref="N24:O24"/>
    <mergeCell ref="L22:M22"/>
    <mergeCell ref="N22:O22"/>
    <mergeCell ref="P22:Q22"/>
    <mergeCell ref="R22:S22"/>
    <mergeCell ref="N16:O16"/>
    <mergeCell ref="P16:Q16"/>
    <mergeCell ref="R16:S16"/>
    <mergeCell ref="L16:M16"/>
    <mergeCell ref="R24:S24"/>
    <mergeCell ref="P24:Q24"/>
    <mergeCell ref="L21:M21"/>
    <mergeCell ref="N21:O21"/>
    <mergeCell ref="P21:Q21"/>
    <mergeCell ref="B22:C22"/>
    <mergeCell ref="D21:E21"/>
    <mergeCell ref="F21:G21"/>
    <mergeCell ref="H21:I21"/>
    <mergeCell ref="J21:K21"/>
    <mergeCell ref="D22:E22"/>
    <mergeCell ref="F22:G22"/>
    <mergeCell ref="D16:E16"/>
    <mergeCell ref="F16:G16"/>
    <mergeCell ref="H16:I16"/>
    <mergeCell ref="J16:K16"/>
    <mergeCell ref="H22:I22"/>
    <mergeCell ref="J22:K22"/>
    <mergeCell ref="B21:C21"/>
    <mergeCell ref="D10:E10"/>
    <mergeCell ref="D11:E11"/>
    <mergeCell ref="B16:C16"/>
    <mergeCell ref="D4:E4"/>
    <mergeCell ref="D5:E5"/>
    <mergeCell ref="D8:E8"/>
    <mergeCell ref="D9:E9"/>
    <mergeCell ref="D1:E1"/>
    <mergeCell ref="D2:E2"/>
    <mergeCell ref="D3:E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F22-0533-4A13-BFFA-7902E7E4E321}">
  <dimension ref="A1:AA31"/>
  <sheetViews>
    <sheetView workbookViewId="0">
      <pane xSplit="1" topLeftCell="B1" activePane="topRight" state="frozen"/>
      <selection pane="topRight" activeCell="N22" sqref="N22:O22"/>
    </sheetView>
  </sheetViews>
  <sheetFormatPr defaultRowHeight="14.25" x14ac:dyDescent="0.2"/>
  <cols>
    <col min="1" max="1" width="16.875" bestFit="1" customWidth="1"/>
    <col min="2" max="2" width="13" bestFit="1" customWidth="1"/>
    <col min="3" max="3" width="7.375" bestFit="1" customWidth="1"/>
    <col min="4" max="4" width="9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9.375" bestFit="1" customWidth="1"/>
    <col min="13" max="13" width="7.375" bestFit="1" customWidth="1"/>
    <col min="14" max="14" width="12.75" bestFit="1" customWidth="1"/>
    <col min="15" max="15" width="7.375" bestFit="1" customWidth="1"/>
    <col min="16" max="16" width="14" bestFit="1" customWidth="1"/>
    <col min="17" max="17" width="8.375" bestFit="1" customWidth="1"/>
    <col min="18" max="18" width="12.75" bestFit="1" customWidth="1"/>
    <col min="19" max="19" width="7.375" bestFit="1" customWidth="1"/>
    <col min="20" max="20" width="9.375" bestFit="1" customWidth="1"/>
    <col min="21" max="21" width="7.375" bestFit="1" customWidth="1"/>
    <col min="22" max="22" width="9.375" bestFit="1" customWidth="1"/>
    <col min="23" max="23" width="7.375" bestFit="1" customWidth="1"/>
    <col min="24" max="24" width="9.375" bestFit="1" customWidth="1"/>
    <col min="25" max="25" width="7.375" bestFit="1" customWidth="1"/>
  </cols>
  <sheetData>
    <row r="1" spans="1:27" x14ac:dyDescent="0.2">
      <c r="A1" t="s">
        <v>87</v>
      </c>
      <c r="D1" s="16" t="s">
        <v>23</v>
      </c>
      <c r="E1" s="16"/>
      <c r="L1" s="16" t="s">
        <v>24</v>
      </c>
      <c r="M1" s="16"/>
    </row>
    <row r="2" spans="1:27" x14ac:dyDescent="0.2">
      <c r="A2" t="s">
        <v>1</v>
      </c>
      <c r="B2">
        <v>9481</v>
      </c>
      <c r="D2" s="16" t="s">
        <v>26</v>
      </c>
      <c r="E2" s="16"/>
      <c r="F2">
        <v>19.909876918386299</v>
      </c>
      <c r="H2" t="s">
        <v>18</v>
      </c>
      <c r="I2" s="2">
        <f>MAX(ROUND(1/F4,0),ROUND(F4,0))</f>
        <v>12</v>
      </c>
      <c r="J2">
        <f>MAX(F4,1/F4)</f>
        <v>11.830135875287004</v>
      </c>
      <c r="L2" s="16" t="s">
        <v>26</v>
      </c>
      <c r="M2" s="16"/>
      <c r="N2">
        <v>42.926477759350803</v>
      </c>
      <c r="P2" t="s">
        <v>18</v>
      </c>
      <c r="Q2" s="2">
        <f>MAX(ROUND(1/N4,0),ROUND(N4,0))</f>
        <v>4</v>
      </c>
      <c r="R2">
        <f>MAX(N4,1/N4)</f>
        <v>4.1056885587164285</v>
      </c>
    </row>
    <row r="3" spans="1:27" x14ac:dyDescent="0.2">
      <c r="A3" t="s">
        <v>0</v>
      </c>
      <c r="B3">
        <v>100</v>
      </c>
      <c r="D3" s="16" t="s">
        <v>25</v>
      </c>
      <c r="E3" s="16"/>
      <c r="F3">
        <v>17</v>
      </c>
      <c r="H3" t="s">
        <v>36</v>
      </c>
      <c r="I3" s="2">
        <f>$B4*F5/300000000*1000000000000000</f>
        <v>52300.882458116022</v>
      </c>
      <c r="L3" s="16" t="s">
        <v>25</v>
      </c>
      <c r="M3" s="16"/>
      <c r="N3">
        <v>-29.5</v>
      </c>
      <c r="P3" t="s">
        <v>36</v>
      </c>
      <c r="Q3" s="2">
        <f>$B4*N5/300000000*1000000000000000</f>
        <v>9380.9992619267869</v>
      </c>
    </row>
    <row r="4" spans="1:27" x14ac:dyDescent="0.2">
      <c r="A4" t="s">
        <v>9</v>
      </c>
      <c r="B4" s="1">
        <v>4.0000000000000001E-3</v>
      </c>
      <c r="D4" s="16" t="s">
        <v>21</v>
      </c>
      <c r="E4" s="16"/>
      <c r="F4">
        <f>SIN(RADIANS(F2+F3))/SIN(RADIANS(F2-F3))</f>
        <v>11.830135875287004</v>
      </c>
      <c r="H4" t="s">
        <v>19</v>
      </c>
      <c r="I4" s="2">
        <f>MAX(ROUND(I3/$B7,0),1)</f>
        <v>13</v>
      </c>
      <c r="J4">
        <f>I3/$B7</f>
        <v>13.075220614529005</v>
      </c>
      <c r="L4" s="16" t="s">
        <v>21</v>
      </c>
      <c r="M4" s="16"/>
      <c r="N4">
        <f>SIN(RADIANS(N2+N3))/SIN(RADIANS(N2-N3))</f>
        <v>0.24356450463759297</v>
      </c>
      <c r="P4" t="s">
        <v>19</v>
      </c>
      <c r="Q4" s="2">
        <f>MAX(ROUND(Q3/$B7,0),1)</f>
        <v>2</v>
      </c>
      <c r="R4">
        <f>Q3/$B7</f>
        <v>2.3452498154816968</v>
      </c>
    </row>
    <row r="5" spans="1:27" x14ac:dyDescent="0.2">
      <c r="A5" t="s">
        <v>10</v>
      </c>
      <c r="B5" s="1">
        <v>4.0000000000000001E-3</v>
      </c>
      <c r="D5" s="16" t="s">
        <v>22</v>
      </c>
      <c r="E5" s="16"/>
      <c r="F5">
        <f>ABS((COS(RADIANS(F2-F3))-COS(RADIANS(F2+F3)))/SIN(RADIANS(F2-F3)))</f>
        <v>3.9225661843587014</v>
      </c>
      <c r="L5" s="16" t="s">
        <v>22</v>
      </c>
      <c r="M5" s="16"/>
      <c r="N5">
        <f>ABS((COS(RADIANS(N2-N3))-COS(RADIANS(N2+N3)))/SIN(RADIANS(N2-N3)))</f>
        <v>0.70357494464450898</v>
      </c>
    </row>
    <row r="6" spans="1:27" x14ac:dyDescent="0.2">
      <c r="L6" s="2"/>
    </row>
    <row r="7" spans="1:27" x14ac:dyDescent="0.2">
      <c r="A7" t="s">
        <v>11</v>
      </c>
      <c r="B7">
        <f>B8*B14</f>
        <v>4000</v>
      </c>
    </row>
    <row r="8" spans="1:27" x14ac:dyDescent="0.2">
      <c r="A8" t="s">
        <v>12</v>
      </c>
      <c r="B8">
        <f>B3/10</f>
        <v>10</v>
      </c>
      <c r="D8" s="16" t="s">
        <v>20</v>
      </c>
      <c r="E8" s="16"/>
      <c r="F8" s="1">
        <v>5.9999999999999997E-7</v>
      </c>
      <c r="H8" t="s">
        <v>45</v>
      </c>
      <c r="I8" s="9">
        <f>22122874/1024/1024/3072/8/26000*MAX(25:25)</f>
        <v>270.05461425781249</v>
      </c>
    </row>
    <row r="9" spans="1:27" x14ac:dyDescent="0.2">
      <c r="A9" t="s">
        <v>13</v>
      </c>
      <c r="B9">
        <f>4/B8</f>
        <v>0.4</v>
      </c>
      <c r="D9" s="16" t="s">
        <v>52</v>
      </c>
      <c r="E9" s="16"/>
      <c r="F9" s="7">
        <f>SUM(28:28)/86400</f>
        <v>2.7204277777777775E-2</v>
      </c>
    </row>
    <row r="10" spans="1:27" x14ac:dyDescent="0.2">
      <c r="A10" t="s">
        <v>14</v>
      </c>
      <c r="B10">
        <f>MIN(B9/400,0.001)</f>
        <v>1E-3</v>
      </c>
      <c r="D10" s="16" t="s">
        <v>53</v>
      </c>
      <c r="E10" s="16"/>
      <c r="F10" s="7">
        <f>SUM(31:31)-F9</f>
        <v>0.26311756944444442</v>
      </c>
    </row>
    <row r="11" spans="1:27" x14ac:dyDescent="0.2">
      <c r="D11" s="16" t="s">
        <v>51</v>
      </c>
      <c r="E11" s="16"/>
      <c r="F11" s="10">
        <f>SUM(31:31)</f>
        <v>0.29032184722222221</v>
      </c>
    </row>
    <row r="12" spans="1:27" x14ac:dyDescent="0.2">
      <c r="A12" s="4" t="s">
        <v>15</v>
      </c>
      <c r="B12">
        <v>512</v>
      </c>
      <c r="H12" s="4"/>
      <c r="I12" s="4"/>
      <c r="J12" s="3"/>
    </row>
    <row r="13" spans="1:27" x14ac:dyDescent="0.2">
      <c r="A13" s="4" t="s">
        <v>16</v>
      </c>
      <c r="B13">
        <v>8</v>
      </c>
    </row>
    <row r="14" spans="1:27" x14ac:dyDescent="0.2">
      <c r="A14" s="4" t="s">
        <v>17</v>
      </c>
      <c r="B14">
        <f>B9/B10</f>
        <v>400</v>
      </c>
    </row>
    <row r="16" spans="1:27" x14ac:dyDescent="0.2">
      <c r="B16" s="16" t="s">
        <v>28</v>
      </c>
      <c r="C16" s="16"/>
      <c r="D16" s="16" t="s">
        <v>77</v>
      </c>
      <c r="E16" s="16"/>
      <c r="F16" s="16" t="s">
        <v>78</v>
      </c>
      <c r="G16" s="16"/>
      <c r="H16" s="16" t="s">
        <v>79</v>
      </c>
      <c r="I16" s="16"/>
      <c r="J16" s="16" t="s">
        <v>80</v>
      </c>
      <c r="K16" s="16"/>
      <c r="L16" s="16" t="s">
        <v>29</v>
      </c>
      <c r="M16" s="16"/>
      <c r="N16" s="16" t="s">
        <v>30</v>
      </c>
      <c r="O16" s="16"/>
      <c r="P16" s="16" t="s">
        <v>31</v>
      </c>
      <c r="Q16" s="16"/>
      <c r="R16" s="16" t="s">
        <v>32</v>
      </c>
      <c r="S16" s="16"/>
      <c r="T16" s="16" t="s">
        <v>33</v>
      </c>
      <c r="U16" s="16"/>
      <c r="V16" s="16" t="s">
        <v>34</v>
      </c>
      <c r="W16" s="16"/>
      <c r="X16" s="16" t="s">
        <v>35</v>
      </c>
      <c r="Y16" s="16"/>
      <c r="Z16" s="16"/>
      <c r="AA16" s="16"/>
    </row>
    <row r="17" spans="1:27" x14ac:dyDescent="0.2">
      <c r="A17" s="12" t="s">
        <v>2</v>
      </c>
      <c r="B17" s="2">
        <f>B22*C17</f>
        <v>4008.96</v>
      </c>
      <c r="C17" s="2">
        <f>7.83</f>
        <v>7.83</v>
      </c>
      <c r="D17" s="2">
        <f>D22*E17</f>
        <v>47426.541518590588</v>
      </c>
      <c r="E17" s="2">
        <f>C17*F4/I2</f>
        <v>7.7191636586247698</v>
      </c>
      <c r="F17" s="2">
        <f>G17*F22</f>
        <v>47426.541518590588</v>
      </c>
      <c r="G17" s="2">
        <f>E17</f>
        <v>7.7191636586247698</v>
      </c>
      <c r="H17" s="2">
        <f>I17*H22</f>
        <v>47426.541518590588</v>
      </c>
      <c r="I17" s="2">
        <f>G17</f>
        <v>7.7191636586247698</v>
      </c>
      <c r="J17" s="2">
        <f>K17*J22</f>
        <v>4008.96</v>
      </c>
      <c r="K17" s="2">
        <f>I17/F4</f>
        <v>0.65249999999999997</v>
      </c>
      <c r="L17" s="2">
        <f>L22*M17</f>
        <v>4008.96</v>
      </c>
      <c r="M17" s="2">
        <f>K17</f>
        <v>0.65249999999999997</v>
      </c>
      <c r="N17" s="2">
        <f>O17*N22</f>
        <v>15623.045704190794</v>
      </c>
      <c r="O17" s="2">
        <f>M17*N4</f>
        <v>0.15892583927602941</v>
      </c>
      <c r="P17" s="2">
        <f>Q17*P22</f>
        <v>15623.045704190794</v>
      </c>
      <c r="Q17" s="2">
        <f>O17</f>
        <v>0.15892583927602941</v>
      </c>
      <c r="R17" s="2">
        <f>S17*R22</f>
        <v>1145.1444714811114</v>
      </c>
      <c r="S17" s="2">
        <f>Q17/13.64286</f>
        <v>1.1649011957612216E-2</v>
      </c>
      <c r="T17" s="2">
        <f>U17*T22</f>
        <v>15623.045704190794</v>
      </c>
      <c r="U17" s="2">
        <f>Q17</f>
        <v>0.15892583927602941</v>
      </c>
      <c r="V17" s="2">
        <f>W17*V22</f>
        <v>64143.360000000001</v>
      </c>
      <c r="W17" s="2">
        <f>U17/N4</f>
        <v>0.65249999999999997</v>
      </c>
      <c r="X17" s="2">
        <f t="shared" ref="X17:X18" si="0">V17</f>
        <v>64143.360000000001</v>
      </c>
      <c r="Y17" s="2">
        <f>X17/X22</f>
        <v>0.65249999999999997</v>
      </c>
      <c r="Z17" s="2"/>
      <c r="AA17" s="2"/>
    </row>
    <row r="18" spans="1:27" x14ac:dyDescent="0.2">
      <c r="A18" s="12" t="s">
        <v>3</v>
      </c>
      <c r="B18" s="2">
        <f>B5*1000000</f>
        <v>4000</v>
      </c>
      <c r="C18" s="2">
        <f>B18/B23</f>
        <v>500</v>
      </c>
      <c r="D18" s="2">
        <f>B18</f>
        <v>4000</v>
      </c>
      <c r="E18" s="2">
        <f>D18/D23</f>
        <v>500</v>
      </c>
      <c r="F18" s="2">
        <f t="shared" ref="F18" si="1">D18</f>
        <v>4000</v>
      </c>
      <c r="G18" s="2">
        <f>F18/F23</f>
        <v>500</v>
      </c>
      <c r="H18" s="2">
        <f t="shared" ref="H18" si="2">F18</f>
        <v>4000</v>
      </c>
      <c r="I18" s="2">
        <f>H18/H23</f>
        <v>500</v>
      </c>
      <c r="J18" s="2">
        <f t="shared" ref="J18" si="3">H18</f>
        <v>4000</v>
      </c>
      <c r="K18" s="2">
        <f>J18/J23</f>
        <v>500</v>
      </c>
      <c r="L18" s="2">
        <f>J18</f>
        <v>4000</v>
      </c>
      <c r="M18" s="2">
        <f>L18/L23</f>
        <v>500</v>
      </c>
      <c r="N18" s="2">
        <f t="shared" ref="N18" si="4">L18</f>
        <v>4000</v>
      </c>
      <c r="O18" s="2">
        <f>N18/N23</f>
        <v>500</v>
      </c>
      <c r="P18" s="2">
        <f t="shared" ref="P18" si="5">N18</f>
        <v>4000</v>
      </c>
      <c r="Q18" s="2">
        <f>P18/P23</f>
        <v>500</v>
      </c>
      <c r="R18" s="2">
        <f t="shared" ref="R18" si="6">P18</f>
        <v>4000</v>
      </c>
      <c r="S18" s="2">
        <f>R18/R23</f>
        <v>500</v>
      </c>
      <c r="T18" s="2">
        <f t="shared" ref="T18" si="7">R18</f>
        <v>4000</v>
      </c>
      <c r="U18" s="2">
        <f>T18/T23</f>
        <v>500</v>
      </c>
      <c r="V18" s="2">
        <f t="shared" ref="V18" si="8">T18</f>
        <v>4000</v>
      </c>
      <c r="W18" s="2">
        <f>V18/V23</f>
        <v>500</v>
      </c>
      <c r="X18" s="2">
        <f t="shared" si="0"/>
        <v>4000</v>
      </c>
      <c r="Y18" s="2">
        <f>X18/X23</f>
        <v>500</v>
      </c>
      <c r="Z18" s="2"/>
      <c r="AA18" s="2"/>
    </row>
    <row r="19" spans="1:27" x14ac:dyDescent="0.2">
      <c r="A19" s="12" t="s">
        <v>4</v>
      </c>
      <c r="B19" s="2">
        <f>B7</f>
        <v>4000</v>
      </c>
      <c r="C19" s="2">
        <f>B8</f>
        <v>10</v>
      </c>
      <c r="D19" s="2">
        <f>E19*D24</f>
        <v>52000</v>
      </c>
      <c r="E19" s="2">
        <f>C19</f>
        <v>10</v>
      </c>
      <c r="F19" s="2">
        <f>G19*F24</f>
        <v>52000</v>
      </c>
      <c r="G19" s="2">
        <f>E19</f>
        <v>10</v>
      </c>
      <c r="H19" s="2">
        <f>I19*H24</f>
        <v>52000</v>
      </c>
      <c r="I19" s="2">
        <f>G19</f>
        <v>10</v>
      </c>
      <c r="J19" s="2">
        <f>K19*J24</f>
        <v>52000</v>
      </c>
      <c r="K19" s="2">
        <f>I19</f>
        <v>10</v>
      </c>
      <c r="L19" s="2">
        <f>M19*L24</f>
        <v>52000</v>
      </c>
      <c r="M19" s="2">
        <f>K19</f>
        <v>10</v>
      </c>
      <c r="N19" s="2">
        <f>O19*N24</f>
        <v>52000</v>
      </c>
      <c r="O19" s="2">
        <f>M19</f>
        <v>10</v>
      </c>
      <c r="P19" s="2">
        <f>Q19*P24</f>
        <v>52000</v>
      </c>
      <c r="Q19" s="2">
        <f>O19</f>
        <v>10</v>
      </c>
      <c r="R19" s="2">
        <f>S19*R24</f>
        <v>52000</v>
      </c>
      <c r="S19" s="2">
        <f>Q19</f>
        <v>10</v>
      </c>
      <c r="T19" s="2">
        <f>U19*T24</f>
        <v>52000</v>
      </c>
      <c r="U19" s="2">
        <f>S19</f>
        <v>10</v>
      </c>
      <c r="V19" s="2">
        <f>W19*V24</f>
        <v>52000</v>
      </c>
      <c r="W19" s="2">
        <f>U19</f>
        <v>10</v>
      </c>
      <c r="X19" s="2">
        <f>Y19*X24</f>
        <v>104000</v>
      </c>
      <c r="Y19" s="2">
        <f>W19</f>
        <v>10</v>
      </c>
      <c r="Z19" s="2"/>
      <c r="AA19" s="2"/>
    </row>
    <row r="20" spans="1:27" x14ac:dyDescent="0.2">
      <c r="A20" s="12" t="s">
        <v>5</v>
      </c>
      <c r="B20" s="2">
        <f>B9*1000</f>
        <v>400</v>
      </c>
      <c r="C20" s="2">
        <f>B10*1000</f>
        <v>1</v>
      </c>
      <c r="D20" s="2">
        <f>$B20*$C19/E19</f>
        <v>400</v>
      </c>
      <c r="E20" s="2">
        <f>$B19*$C20/D19</f>
        <v>7.6923076923076927E-2</v>
      </c>
      <c r="F20" s="2">
        <f>$B20*$C19/G19</f>
        <v>400</v>
      </c>
      <c r="G20" s="2">
        <f>$B19*$C20/F19</f>
        <v>7.6923076923076927E-2</v>
      </c>
      <c r="H20" s="2">
        <f t="shared" ref="H20" si="9">$B20*$C19/I19</f>
        <v>400</v>
      </c>
      <c r="I20" s="2">
        <f t="shared" ref="I20" si="10">$B19*$C20/H19</f>
        <v>7.6923076923076927E-2</v>
      </c>
      <c r="J20" s="2">
        <f t="shared" ref="J20" si="11">$B20*$C19/K19</f>
        <v>400</v>
      </c>
      <c r="K20" s="2">
        <f t="shared" ref="K20" si="12">$B19*$C20/J19</f>
        <v>7.6923076923076927E-2</v>
      </c>
      <c r="L20" s="2">
        <f>$B20*$C19/M19</f>
        <v>400</v>
      </c>
      <c r="M20" s="2">
        <f>$B19*$C20/L19</f>
        <v>7.6923076923076927E-2</v>
      </c>
      <c r="N20" s="2">
        <f>$B20*$C19/O19</f>
        <v>400</v>
      </c>
      <c r="O20" s="2">
        <f>$B19*$C20/N19</f>
        <v>7.6923076923076927E-2</v>
      </c>
      <c r="P20" s="2">
        <f t="shared" ref="P20" si="13">$B20*$C19/Q19</f>
        <v>400</v>
      </c>
      <c r="Q20" s="2">
        <f t="shared" ref="Q20" si="14">$B19*$C20/P19</f>
        <v>7.6923076923076927E-2</v>
      </c>
      <c r="R20" s="2">
        <f t="shared" ref="R20" si="15">$B20*$C19/S19</f>
        <v>400</v>
      </c>
      <c r="S20" s="2">
        <f t="shared" ref="S20" si="16">$B19*$C20/R19</f>
        <v>7.6923076923076927E-2</v>
      </c>
      <c r="T20" s="2">
        <f t="shared" ref="T20" si="17">$B20*$C19/U19</f>
        <v>400</v>
      </c>
      <c r="U20" s="2">
        <f t="shared" ref="U20" si="18">$B19*$C20/T19</f>
        <v>7.6923076923076927E-2</v>
      </c>
      <c r="V20" s="2">
        <f t="shared" ref="V20" si="19">$B20*$C19/W19</f>
        <v>400</v>
      </c>
      <c r="W20" s="2">
        <f t="shared" ref="W20" si="20">$B19*$C20/V19</f>
        <v>7.6923076923076927E-2</v>
      </c>
      <c r="X20" s="2">
        <f t="shared" ref="X20" si="21">$B20*$C19/Y19</f>
        <v>400</v>
      </c>
      <c r="Y20" s="2">
        <f t="shared" ref="Y20" si="22">$B19*$C20/X19</f>
        <v>3.8461538461538464E-2</v>
      </c>
      <c r="Z20" s="2"/>
      <c r="AA20" s="2"/>
    </row>
    <row r="21" spans="1:27" x14ac:dyDescent="0.2">
      <c r="A21" s="12" t="s">
        <v>81</v>
      </c>
      <c r="B21" s="17">
        <v>722.7</v>
      </c>
      <c r="C21" s="17"/>
      <c r="D21" s="17">
        <f>B21*J2</f>
        <v>8549.6391970699187</v>
      </c>
      <c r="E21" s="17"/>
      <c r="F21" s="17">
        <f>D21</f>
        <v>8549.6391970699187</v>
      </c>
      <c r="G21" s="17"/>
      <c r="H21" s="17">
        <f>F21</f>
        <v>8549.6391970699187</v>
      </c>
      <c r="I21" s="17"/>
      <c r="J21" s="17">
        <f>H21/J2</f>
        <v>722.7</v>
      </c>
      <c r="K21" s="17"/>
      <c r="L21" s="17">
        <v>722.86</v>
      </c>
      <c r="M21" s="17"/>
      <c r="N21" s="17">
        <v>722.85</v>
      </c>
      <c r="O21" s="17"/>
      <c r="P21" s="17">
        <v>176.54</v>
      </c>
      <c r="Q21" s="17"/>
      <c r="R21" s="17">
        <v>14.28</v>
      </c>
      <c r="S21" s="17"/>
      <c r="T21" s="17">
        <v>175.15</v>
      </c>
      <c r="U21" s="17"/>
      <c r="V21" s="17">
        <v>173.04</v>
      </c>
      <c r="W21" s="17"/>
      <c r="X21" s="17">
        <v>173.07</v>
      </c>
      <c r="Y21" s="17"/>
      <c r="Z21" s="18"/>
      <c r="AA21" s="18"/>
    </row>
    <row r="22" spans="1:27" x14ac:dyDescent="0.2">
      <c r="A22" s="12" t="s">
        <v>6</v>
      </c>
      <c r="B22" s="18">
        <f>B12</f>
        <v>512</v>
      </c>
      <c r="C22" s="18"/>
      <c r="D22" s="18">
        <f>B22*I2</f>
        <v>6144</v>
      </c>
      <c r="E22" s="18"/>
      <c r="F22" s="18">
        <f>D22</f>
        <v>6144</v>
      </c>
      <c r="G22" s="18"/>
      <c r="H22" s="18">
        <f>F22</f>
        <v>6144</v>
      </c>
      <c r="I22" s="18"/>
      <c r="J22" s="18">
        <f t="shared" ref="J22:J24" si="23">H22</f>
        <v>6144</v>
      </c>
      <c r="K22" s="18"/>
      <c r="L22" s="18">
        <f>J22</f>
        <v>6144</v>
      </c>
      <c r="M22" s="18"/>
      <c r="N22" s="18">
        <f>L22*Q2*4</f>
        <v>98304</v>
      </c>
      <c r="O22" s="18"/>
      <c r="P22" s="18">
        <f>N22</f>
        <v>98304</v>
      </c>
      <c r="Q22" s="18"/>
      <c r="R22" s="18">
        <f t="shared" ref="R22:R24" si="24">P22</f>
        <v>98304</v>
      </c>
      <c r="S22" s="18"/>
      <c r="T22" s="18">
        <f t="shared" ref="T22:T24" si="25">R22</f>
        <v>98304</v>
      </c>
      <c r="U22" s="18"/>
      <c r="V22" s="18">
        <f>T22</f>
        <v>98304</v>
      </c>
      <c r="W22" s="18"/>
      <c r="X22" s="18">
        <f t="shared" ref="X22:X23" si="26">V22</f>
        <v>98304</v>
      </c>
      <c r="Y22" s="18"/>
      <c r="Z22" s="18"/>
      <c r="AA22" s="18"/>
    </row>
    <row r="23" spans="1:27" x14ac:dyDescent="0.2">
      <c r="A23" s="12" t="s">
        <v>7</v>
      </c>
      <c r="B23" s="18">
        <f>B13</f>
        <v>8</v>
      </c>
      <c r="C23" s="18"/>
      <c r="D23" s="18">
        <f t="shared" ref="D23" si="27">B23</f>
        <v>8</v>
      </c>
      <c r="E23" s="18"/>
      <c r="F23" s="18">
        <f t="shared" ref="F23" si="28">D23</f>
        <v>8</v>
      </c>
      <c r="G23" s="18"/>
      <c r="H23" s="18">
        <f>B13</f>
        <v>8</v>
      </c>
      <c r="I23" s="18"/>
      <c r="J23" s="18">
        <f t="shared" si="23"/>
        <v>8</v>
      </c>
      <c r="K23" s="18"/>
      <c r="L23" s="18">
        <f t="shared" ref="L23:L24" si="29">J23</f>
        <v>8</v>
      </c>
      <c r="M23" s="18"/>
      <c r="N23" s="18">
        <f t="shared" ref="N23" si="30">L23</f>
        <v>8</v>
      </c>
      <c r="O23" s="18"/>
      <c r="P23" s="18">
        <f>N23</f>
        <v>8</v>
      </c>
      <c r="Q23" s="18"/>
      <c r="R23" s="18">
        <f t="shared" si="24"/>
        <v>8</v>
      </c>
      <c r="S23" s="18"/>
      <c r="T23" s="18">
        <f t="shared" si="25"/>
        <v>8</v>
      </c>
      <c r="U23" s="18"/>
      <c r="V23" s="18">
        <f>T23</f>
        <v>8</v>
      </c>
      <c r="W23" s="18"/>
      <c r="X23" s="18">
        <f t="shared" si="26"/>
        <v>8</v>
      </c>
      <c r="Y23" s="18"/>
      <c r="Z23" s="18"/>
      <c r="AA23" s="18"/>
    </row>
    <row r="24" spans="1:27" x14ac:dyDescent="0.2">
      <c r="A24" s="12" t="s">
        <v>8</v>
      </c>
      <c r="B24" s="18">
        <f>B14</f>
        <v>400</v>
      </c>
      <c r="C24" s="18"/>
      <c r="D24" s="18">
        <f>B24*I4</f>
        <v>5200</v>
      </c>
      <c r="E24" s="18"/>
      <c r="F24" s="18">
        <f>D24</f>
        <v>5200</v>
      </c>
      <c r="G24" s="18"/>
      <c r="H24" s="18">
        <f t="shared" ref="H24" si="31">F24</f>
        <v>5200</v>
      </c>
      <c r="I24" s="18"/>
      <c r="J24" s="18">
        <f t="shared" si="23"/>
        <v>5200</v>
      </c>
      <c r="K24" s="18"/>
      <c r="L24" s="18">
        <f t="shared" si="29"/>
        <v>5200</v>
      </c>
      <c r="M24" s="18"/>
      <c r="N24" s="18">
        <f>L24</f>
        <v>5200</v>
      </c>
      <c r="O24" s="18"/>
      <c r="P24" s="18">
        <f t="shared" ref="P24" si="32">N24</f>
        <v>5200</v>
      </c>
      <c r="Q24" s="18"/>
      <c r="R24" s="18">
        <f t="shared" si="24"/>
        <v>5200</v>
      </c>
      <c r="S24" s="18"/>
      <c r="T24" s="18">
        <f t="shared" si="25"/>
        <v>5200</v>
      </c>
      <c r="U24" s="18"/>
      <c r="V24" s="18">
        <f t="shared" ref="V24" si="33">T24</f>
        <v>5200</v>
      </c>
      <c r="W24" s="18"/>
      <c r="X24" s="18">
        <f>V24*2</f>
        <v>10400</v>
      </c>
      <c r="Y24" s="18"/>
      <c r="Z24" s="5"/>
      <c r="AA24" s="5"/>
    </row>
    <row r="25" spans="1:27" ht="14.25" customHeight="1" x14ac:dyDescent="0.2">
      <c r="A25" s="12" t="s">
        <v>37</v>
      </c>
      <c r="B25" s="19">
        <f>B22*B23*B24</f>
        <v>1638400</v>
      </c>
      <c r="C25" s="19"/>
      <c r="D25" s="19">
        <f>D22*D23*D24</f>
        <v>255590400</v>
      </c>
      <c r="E25" s="19"/>
      <c r="F25" s="19">
        <f t="shared" ref="F25" si="34">F22*F23*F24</f>
        <v>255590400</v>
      </c>
      <c r="G25" s="19"/>
      <c r="H25" s="19">
        <f t="shared" ref="H25" si="35">H22*H23*H24</f>
        <v>255590400</v>
      </c>
      <c r="I25" s="19"/>
      <c r="J25" s="19">
        <f t="shared" ref="J25" si="36">J22*J23*J24</f>
        <v>255590400</v>
      </c>
      <c r="K25" s="19"/>
      <c r="L25" s="19">
        <f>L22*L23*L24</f>
        <v>255590400</v>
      </c>
      <c r="M25" s="19"/>
      <c r="N25" s="19">
        <f t="shared" ref="N25:X25" si="37">N22*N23*N24</f>
        <v>4089446400</v>
      </c>
      <c r="O25" s="19"/>
      <c r="P25" s="19">
        <f t="shared" si="37"/>
        <v>4089446400</v>
      </c>
      <c r="Q25" s="19"/>
      <c r="R25" s="19">
        <f t="shared" si="37"/>
        <v>4089446400</v>
      </c>
      <c r="S25" s="19"/>
      <c r="T25" s="19">
        <f t="shared" si="37"/>
        <v>4089446400</v>
      </c>
      <c r="U25" s="19"/>
      <c r="V25" s="19">
        <f t="shared" si="37"/>
        <v>4089446400</v>
      </c>
      <c r="W25" s="19"/>
      <c r="X25" s="19">
        <f t="shared" si="37"/>
        <v>8178892800</v>
      </c>
      <c r="Y25" s="19"/>
      <c r="Z25" s="8"/>
      <c r="AA25" s="8"/>
    </row>
    <row r="26" spans="1:27" ht="14.25" hidden="1" customHeight="1" x14ac:dyDescent="0.2">
      <c r="A26" s="15" t="s">
        <v>46</v>
      </c>
      <c r="B26" s="20">
        <f>0.191+9.964+1.804+1.666</f>
        <v>13.625000000000002</v>
      </c>
      <c r="C26" s="20"/>
      <c r="D26" s="20">
        <v>25.887</v>
      </c>
      <c r="E26" s="20"/>
      <c r="F26" s="20">
        <v>21.568000000000001</v>
      </c>
      <c r="G26" s="20"/>
      <c r="H26" s="20">
        <v>21.541</v>
      </c>
      <c r="I26" s="20"/>
      <c r="J26" s="20">
        <v>9.1859999999999999</v>
      </c>
      <c r="K26" s="20"/>
      <c r="L26" s="20">
        <v>1.1519999999999999</v>
      </c>
      <c r="M26" s="20"/>
      <c r="N26" s="20">
        <v>14.536</v>
      </c>
      <c r="O26" s="20"/>
      <c r="P26" s="20">
        <v>5.0839999999999996</v>
      </c>
      <c r="Q26" s="20"/>
      <c r="R26" s="20">
        <f>0.874+3.15</f>
        <v>4.024</v>
      </c>
      <c r="S26" s="20"/>
      <c r="T26" s="20">
        <v>5.891</v>
      </c>
      <c r="U26" s="20"/>
      <c r="V26" s="20">
        <v>11.195</v>
      </c>
      <c r="W26" s="20"/>
      <c r="X26" s="20">
        <v>7.8550000000000004</v>
      </c>
      <c r="Y26" s="20"/>
    </row>
    <row r="27" spans="1:27" hidden="1" x14ac:dyDescent="0.2">
      <c r="A27" s="15" t="s">
        <v>47</v>
      </c>
      <c r="B27" s="20">
        <f>19.37+17.15</f>
        <v>36.519999999999996</v>
      </c>
      <c r="C27" s="20"/>
      <c r="D27" s="20">
        <v>146.75</v>
      </c>
      <c r="E27" s="20"/>
      <c r="F27" s="20">
        <v>180.85</v>
      </c>
      <c r="G27" s="20"/>
      <c r="H27" s="20">
        <v>166.69</v>
      </c>
      <c r="I27" s="20"/>
      <c r="J27" s="20">
        <v>128.34</v>
      </c>
      <c r="K27" s="20"/>
      <c r="L27" s="20">
        <v>23.66</v>
      </c>
      <c r="M27" s="20"/>
      <c r="N27" s="20">
        <v>108.08</v>
      </c>
      <c r="O27" s="20"/>
      <c r="P27" s="20">
        <v>62.75</v>
      </c>
      <c r="Q27" s="20"/>
      <c r="R27" s="20">
        <v>56.74</v>
      </c>
      <c r="S27" s="20"/>
      <c r="T27" s="20">
        <v>67.02</v>
      </c>
      <c r="U27" s="20"/>
      <c r="V27" s="20">
        <v>72.900000000000006</v>
      </c>
      <c r="W27" s="20"/>
      <c r="X27" s="20">
        <v>80.45</v>
      </c>
      <c r="Y27" s="20"/>
    </row>
    <row r="28" spans="1:27" x14ac:dyDescent="0.2">
      <c r="A28" s="12" t="s">
        <v>48</v>
      </c>
      <c r="B28" s="17">
        <f>B26/512/8/2000*B$25</f>
        <v>2.7250000000000005</v>
      </c>
      <c r="C28" s="17"/>
      <c r="D28" s="17">
        <f>D26/6144/8/4000*D$25</f>
        <v>33.653099999999995</v>
      </c>
      <c r="E28" s="17"/>
      <c r="F28" s="17">
        <f t="shared" ref="F28:F29" si="38">F26/6144/8/4000*F$25</f>
        <v>28.038400000000003</v>
      </c>
      <c r="G28" s="17"/>
      <c r="H28" s="17">
        <f t="shared" ref="H28:H29" si="39">H26/6144/8/4000*H$25</f>
        <v>28.003300000000003</v>
      </c>
      <c r="I28" s="17"/>
      <c r="J28" s="17">
        <f t="shared" ref="J28:J29" si="40">J26/6144/8/4000*J$25</f>
        <v>11.941799999999999</v>
      </c>
      <c r="K28" s="17"/>
      <c r="L28" s="17">
        <f>L26/512/8/1600*L$25</f>
        <v>44.927999999999997</v>
      </c>
      <c r="M28" s="17"/>
      <c r="N28" s="17">
        <f>N26/4096/8/3200*N$25</f>
        <v>566.904</v>
      </c>
      <c r="O28" s="17"/>
      <c r="P28" s="17">
        <f t="shared" ref="P28:P29" si="41">P26/4096/8/3200*P$25</f>
        <v>198.27599999999998</v>
      </c>
      <c r="Q28" s="17"/>
      <c r="R28" s="17">
        <f t="shared" ref="R28:R29" si="42">R26/4096/8/3200*R$25</f>
        <v>156.93599999999998</v>
      </c>
      <c r="S28" s="17"/>
      <c r="T28" s="17">
        <f t="shared" ref="T28:T29" si="43">T26/4096/8/3200*T$25</f>
        <v>229.749</v>
      </c>
      <c r="U28" s="17"/>
      <c r="V28" s="17">
        <f t="shared" ref="V28:V29" si="44">V26/4096/8/3200*V$25</f>
        <v>436.60500000000002</v>
      </c>
      <c r="W28" s="17"/>
      <c r="X28" s="17">
        <f t="shared" ref="X28:X29" si="45">X26/4096/8/3200*X$25</f>
        <v>612.69000000000005</v>
      </c>
      <c r="Y28" s="17"/>
    </row>
    <row r="29" spans="1:27" x14ac:dyDescent="0.2">
      <c r="A29" s="12" t="s">
        <v>49</v>
      </c>
      <c r="B29" s="17">
        <f>B27/512/8/2000*B$25</f>
        <v>7.3039999999999994</v>
      </c>
      <c r="C29" s="17"/>
      <c r="D29" s="17">
        <f>D27/6144/8/4000*D$25</f>
        <v>190.77499999999998</v>
      </c>
      <c r="E29" s="17"/>
      <c r="F29" s="17">
        <f t="shared" si="38"/>
        <v>235.10500000000002</v>
      </c>
      <c r="G29" s="17"/>
      <c r="H29" s="17">
        <f t="shared" si="39"/>
        <v>216.697</v>
      </c>
      <c r="I29" s="17"/>
      <c r="J29" s="17">
        <f t="shared" si="40"/>
        <v>166.84199999999998</v>
      </c>
      <c r="K29" s="17"/>
      <c r="L29" s="17">
        <f>L27/512/8/1600*L$25</f>
        <v>922.74</v>
      </c>
      <c r="M29" s="17"/>
      <c r="N29" s="17">
        <f>N27/4096/8/3200*N$25</f>
        <v>4215.12</v>
      </c>
      <c r="O29" s="17"/>
      <c r="P29" s="17">
        <f t="shared" si="41"/>
        <v>2447.25</v>
      </c>
      <c r="Q29" s="17"/>
      <c r="R29" s="17">
        <f t="shared" si="42"/>
        <v>2212.86</v>
      </c>
      <c r="S29" s="17"/>
      <c r="T29" s="17">
        <f t="shared" si="43"/>
        <v>2613.7799999999997</v>
      </c>
      <c r="U29" s="17"/>
      <c r="V29" s="17">
        <f t="shared" si="44"/>
        <v>2843.1000000000004</v>
      </c>
      <c r="W29" s="17"/>
      <c r="X29" s="17">
        <f t="shared" si="45"/>
        <v>6275.1</v>
      </c>
      <c r="Y29" s="17"/>
    </row>
    <row r="30" spans="1:27" x14ac:dyDescent="0.2">
      <c r="A30" s="12" t="s">
        <v>50</v>
      </c>
      <c r="B30" s="18">
        <v>1</v>
      </c>
      <c r="C30" s="18"/>
      <c r="D30" s="18">
        <v>1</v>
      </c>
      <c r="E30" s="18"/>
      <c r="F30" s="18">
        <v>1</v>
      </c>
      <c r="G30" s="18"/>
      <c r="H30" s="18">
        <v>1</v>
      </c>
      <c r="I30" s="18"/>
      <c r="J30" s="18">
        <v>1</v>
      </c>
      <c r="K30" s="18"/>
      <c r="L30" s="18">
        <v>1</v>
      </c>
      <c r="M30" s="18"/>
      <c r="N30" s="18">
        <v>1</v>
      </c>
      <c r="O30" s="18"/>
      <c r="P30" s="18">
        <v>1</v>
      </c>
      <c r="Q30" s="18"/>
      <c r="R30" s="18">
        <v>1</v>
      </c>
      <c r="S30" s="18"/>
      <c r="T30" s="18">
        <v>1</v>
      </c>
      <c r="U30" s="18"/>
      <c r="V30" s="18">
        <v>1</v>
      </c>
      <c r="W30" s="18"/>
      <c r="X30" s="18">
        <v>1</v>
      </c>
      <c r="Y30" s="18"/>
      <c r="Z30" s="17"/>
      <c r="AA30" s="17"/>
    </row>
    <row r="31" spans="1:27" x14ac:dyDescent="0.2">
      <c r="A31" s="12" t="s">
        <v>27</v>
      </c>
      <c r="B31" s="21">
        <f>(B28+B29*B30)/86400</f>
        <v>1.1607638888888888E-4</v>
      </c>
      <c r="C31" s="21"/>
      <c r="D31" s="21">
        <f t="shared" ref="D31:F31" si="46">(D28+D29*D30)/86400</f>
        <v>2.5975474537037035E-3</v>
      </c>
      <c r="E31" s="21"/>
      <c r="F31" s="21">
        <f t="shared" si="46"/>
        <v>3.0456412037037041E-3</v>
      </c>
      <c r="G31" s="21"/>
      <c r="H31" s="21">
        <f t="shared" ref="H31" si="47">(H28+H29*H30)/86400</f>
        <v>2.8321793981481483E-3</v>
      </c>
      <c r="I31" s="21"/>
      <c r="J31" s="21">
        <f t="shared" ref="J31" si="48">(J28+J29*J30)/86400</f>
        <v>2.0692569444444443E-3</v>
      </c>
      <c r="K31" s="21"/>
      <c r="L31" s="21">
        <f t="shared" ref="L31:N31" si="49">(L28+L29*L30)/86400</f>
        <v>1.1199861111111112E-2</v>
      </c>
      <c r="M31" s="21"/>
      <c r="N31" s="21">
        <f t="shared" si="49"/>
        <v>5.5347499999999994E-2</v>
      </c>
      <c r="O31" s="21"/>
      <c r="P31" s="21">
        <f>(P28+P29*P30+R28)/86400</f>
        <v>3.2435902777777775E-2</v>
      </c>
      <c r="Q31" s="21"/>
      <c r="R31" s="21">
        <f>(R28+R29*R30+T28)/86400</f>
        <v>3.0087326388888891E-2</v>
      </c>
      <c r="S31" s="21"/>
      <c r="T31" s="21">
        <f t="shared" ref="T31:X31" si="50">(T28+T29*T30)/86400</f>
        <v>3.2911215277777774E-2</v>
      </c>
      <c r="U31" s="21"/>
      <c r="V31" s="21">
        <f t="shared" si="50"/>
        <v>3.7959548611111116E-2</v>
      </c>
      <c r="W31" s="21"/>
      <c r="X31" s="21">
        <f t="shared" si="50"/>
        <v>7.9719791666666678E-2</v>
      </c>
      <c r="Y31" s="21"/>
    </row>
  </sheetData>
  <mergeCells count="163">
    <mergeCell ref="N31:O31"/>
    <mergeCell ref="P31:Q31"/>
    <mergeCell ref="R31:S31"/>
    <mergeCell ref="T31:U31"/>
    <mergeCell ref="V31:W31"/>
    <mergeCell ref="X31:Y31"/>
    <mergeCell ref="V28:W28"/>
    <mergeCell ref="X28:Y28"/>
    <mergeCell ref="L29:M29"/>
    <mergeCell ref="N29:O29"/>
    <mergeCell ref="P29:Q29"/>
    <mergeCell ref="R29:S29"/>
    <mergeCell ref="V29:W29"/>
    <mergeCell ref="X29:Y29"/>
    <mergeCell ref="L30:M30"/>
    <mergeCell ref="N30:O30"/>
    <mergeCell ref="P30:Q30"/>
    <mergeCell ref="R30:S30"/>
    <mergeCell ref="V30:W30"/>
    <mergeCell ref="X30:Y30"/>
    <mergeCell ref="V25:W25"/>
    <mergeCell ref="X25:Y25"/>
    <mergeCell ref="L26:M26"/>
    <mergeCell ref="N26:O26"/>
    <mergeCell ref="P26:Q26"/>
    <mergeCell ref="R26:S26"/>
    <mergeCell ref="V26:W26"/>
    <mergeCell ref="X26:Y26"/>
    <mergeCell ref="L27:M27"/>
    <mergeCell ref="N27:O27"/>
    <mergeCell ref="P27:Q27"/>
    <mergeCell ref="R27:S27"/>
    <mergeCell ref="V27:W27"/>
    <mergeCell ref="X27:Y27"/>
    <mergeCell ref="B27:C27"/>
    <mergeCell ref="B28:C28"/>
    <mergeCell ref="D27:E27"/>
    <mergeCell ref="B31:C31"/>
    <mergeCell ref="D31:E31"/>
    <mergeCell ref="F31:G31"/>
    <mergeCell ref="H31:I31"/>
    <mergeCell ref="J31:K31"/>
    <mergeCell ref="L25:M25"/>
    <mergeCell ref="L28:M28"/>
    <mergeCell ref="L31:M31"/>
    <mergeCell ref="F28:G28"/>
    <mergeCell ref="H28:I28"/>
    <mergeCell ref="D11:E11"/>
    <mergeCell ref="B29:C29"/>
    <mergeCell ref="D29:E29"/>
    <mergeCell ref="F29:G29"/>
    <mergeCell ref="H29:I29"/>
    <mergeCell ref="J29:K29"/>
    <mergeCell ref="T29:U29"/>
    <mergeCell ref="J28:K28"/>
    <mergeCell ref="T28:U28"/>
    <mergeCell ref="H26:I26"/>
    <mergeCell ref="J26:K26"/>
    <mergeCell ref="T26:U26"/>
    <mergeCell ref="J25:K25"/>
    <mergeCell ref="D28:E28"/>
    <mergeCell ref="F27:G27"/>
    <mergeCell ref="H27:I27"/>
    <mergeCell ref="J27:K27"/>
    <mergeCell ref="T27:U27"/>
    <mergeCell ref="N25:O25"/>
    <mergeCell ref="P25:Q25"/>
    <mergeCell ref="R25:S25"/>
    <mergeCell ref="N28:O28"/>
    <mergeCell ref="P28:Q28"/>
    <mergeCell ref="R28:S28"/>
    <mergeCell ref="B22:C22"/>
    <mergeCell ref="J30:K30"/>
    <mergeCell ref="X23:Y23"/>
    <mergeCell ref="Z23:AA23"/>
    <mergeCell ref="L24:M24"/>
    <mergeCell ref="N24:O24"/>
    <mergeCell ref="P24:Q24"/>
    <mergeCell ref="R24:S24"/>
    <mergeCell ref="T30:U30"/>
    <mergeCell ref="Z30:AA30"/>
    <mergeCell ref="X24:Y24"/>
    <mergeCell ref="T24:U24"/>
    <mergeCell ref="B25:C25"/>
    <mergeCell ref="B26:C26"/>
    <mergeCell ref="D25:E25"/>
    <mergeCell ref="F25:G25"/>
    <mergeCell ref="H25:I25"/>
    <mergeCell ref="B30:C30"/>
    <mergeCell ref="D30:E30"/>
    <mergeCell ref="F30:G30"/>
    <mergeCell ref="H30:I30"/>
    <mergeCell ref="T25:U25"/>
    <mergeCell ref="D26:E26"/>
    <mergeCell ref="F26:G26"/>
    <mergeCell ref="B24:C24"/>
    <mergeCell ref="D24:E24"/>
    <mergeCell ref="F24:G24"/>
    <mergeCell ref="H24:I24"/>
    <mergeCell ref="J24:K24"/>
    <mergeCell ref="R23:S23"/>
    <mergeCell ref="T23:U23"/>
    <mergeCell ref="V23:W23"/>
    <mergeCell ref="V24:W24"/>
    <mergeCell ref="L23:M23"/>
    <mergeCell ref="N23:O23"/>
    <mergeCell ref="P23:Q23"/>
    <mergeCell ref="B23:C23"/>
    <mergeCell ref="D23:E23"/>
    <mergeCell ref="F23:G23"/>
    <mergeCell ref="H23:I23"/>
    <mergeCell ref="J23:K23"/>
    <mergeCell ref="D22:E22"/>
    <mergeCell ref="F22:G22"/>
    <mergeCell ref="H22:I22"/>
    <mergeCell ref="J22:K22"/>
    <mergeCell ref="T21:U21"/>
    <mergeCell ref="V21:W21"/>
    <mergeCell ref="X21:Y21"/>
    <mergeCell ref="Z21:AA21"/>
    <mergeCell ref="X22:Y22"/>
    <mergeCell ref="Z22:AA22"/>
    <mergeCell ref="R22:S22"/>
    <mergeCell ref="T22:U22"/>
    <mergeCell ref="V22:W22"/>
    <mergeCell ref="L22:M22"/>
    <mergeCell ref="N22:O22"/>
    <mergeCell ref="P22:Q22"/>
    <mergeCell ref="Z16:AA16"/>
    <mergeCell ref="B21:C21"/>
    <mergeCell ref="D21:E21"/>
    <mergeCell ref="F21:G21"/>
    <mergeCell ref="H21:I21"/>
    <mergeCell ref="J21:K21"/>
    <mergeCell ref="L21:M21"/>
    <mergeCell ref="N21:O21"/>
    <mergeCell ref="P21:Q21"/>
    <mergeCell ref="L16:M16"/>
    <mergeCell ref="N16:O16"/>
    <mergeCell ref="P16:Q16"/>
    <mergeCell ref="R16:S16"/>
    <mergeCell ref="T16:U16"/>
    <mergeCell ref="V16:W16"/>
    <mergeCell ref="R21:S21"/>
    <mergeCell ref="B16:C16"/>
    <mergeCell ref="D16:E16"/>
    <mergeCell ref="F16:G16"/>
    <mergeCell ref="H16:I16"/>
    <mergeCell ref="X16:Y16"/>
    <mergeCell ref="J16:K16"/>
    <mergeCell ref="D9:E9"/>
    <mergeCell ref="D10:E10"/>
    <mergeCell ref="D1:E1"/>
    <mergeCell ref="L1:M1"/>
    <mergeCell ref="D2:E2"/>
    <mergeCell ref="L2:M2"/>
    <mergeCell ref="D3:E3"/>
    <mergeCell ref="L3:M3"/>
    <mergeCell ref="D4:E4"/>
    <mergeCell ref="L4:M4"/>
    <mergeCell ref="D5:E5"/>
    <mergeCell ref="L5:M5"/>
    <mergeCell ref="D8:E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3B49-3632-4489-BD1C-5DE5F2DA77DA}">
  <dimension ref="A1:I5"/>
  <sheetViews>
    <sheetView workbookViewId="0">
      <selection activeCell="B4" sqref="B4"/>
    </sheetView>
  </sheetViews>
  <sheetFormatPr defaultRowHeight="14.25" x14ac:dyDescent="0.2"/>
  <cols>
    <col min="1" max="1" width="16.375" bestFit="1" customWidth="1"/>
    <col min="2" max="2" width="16.125" bestFit="1" customWidth="1"/>
    <col min="3" max="3" width="8.75" style="7" bestFit="1" customWidth="1"/>
    <col min="4" max="4" width="7.75" customWidth="1"/>
    <col min="5" max="5" width="9" bestFit="1" customWidth="1"/>
    <col min="6" max="6" width="7.75" style="7" bestFit="1" customWidth="1"/>
    <col min="7" max="7" width="9" bestFit="1" customWidth="1"/>
    <col min="8" max="8" width="9.25" style="7" bestFit="1" customWidth="1"/>
    <col min="9" max="9" width="9.375" bestFit="1" customWidth="1"/>
  </cols>
  <sheetData>
    <row r="1" spans="1:9" x14ac:dyDescent="0.2">
      <c r="A1" t="s">
        <v>38</v>
      </c>
      <c r="B1" t="s">
        <v>42</v>
      </c>
      <c r="C1" s="7" t="s">
        <v>83</v>
      </c>
      <c r="D1" t="s">
        <v>86</v>
      </c>
      <c r="E1" t="s">
        <v>85</v>
      </c>
      <c r="F1" s="7" t="s">
        <v>84</v>
      </c>
      <c r="G1" t="s">
        <v>85</v>
      </c>
      <c r="H1" s="7" t="s">
        <v>82</v>
      </c>
      <c r="I1" t="s">
        <v>85</v>
      </c>
    </row>
    <row r="2" spans="1:9" x14ac:dyDescent="0.2">
      <c r="A2" s="11">
        <v>1200</v>
      </c>
      <c r="B2" s="2">
        <f>$B$4*$A$4/A2</f>
        <v>1.5061666666666667</v>
      </c>
      <c r="C2" s="7">
        <v>1.2202777777777779E-4</v>
      </c>
      <c r="D2" s="2">
        <v>233.29</v>
      </c>
      <c r="E2">
        <v>0.65</v>
      </c>
      <c r="F2" s="7">
        <v>1.8613425925925926E-4</v>
      </c>
      <c r="G2" s="2">
        <v>1.73</v>
      </c>
      <c r="H2" s="7">
        <v>2.1217499999999999E-3</v>
      </c>
      <c r="I2" s="2">
        <v>20.77</v>
      </c>
    </row>
    <row r="3" spans="1:9" x14ac:dyDescent="0.2">
      <c r="A3" s="11">
        <v>400</v>
      </c>
      <c r="B3" s="2">
        <f>$B$4*$A$4/A3</f>
        <v>4.5185000000000004</v>
      </c>
      <c r="C3" s="7">
        <v>3.0300462962962963E-4</v>
      </c>
      <c r="D3" s="2"/>
      <c r="E3">
        <v>1.95</v>
      </c>
      <c r="F3" s="7">
        <v>1.8613425925925926E-4</v>
      </c>
      <c r="G3" s="2">
        <v>1.73</v>
      </c>
      <c r="H3" s="7">
        <v>6.3021712962962962E-3</v>
      </c>
      <c r="I3" s="2">
        <v>62.32</v>
      </c>
    </row>
    <row r="4" spans="1:9" x14ac:dyDescent="0.2">
      <c r="A4" s="11">
        <v>20</v>
      </c>
      <c r="B4" s="2">
        <v>90.37</v>
      </c>
      <c r="C4" s="7">
        <v>6.0394444444444445E-3</v>
      </c>
      <c r="D4" s="2"/>
      <c r="E4">
        <v>42.2</v>
      </c>
      <c r="F4" s="7">
        <v>1.7472222222222221E-3</v>
      </c>
      <c r="G4" s="2">
        <v>20.77</v>
      </c>
      <c r="H4" s="7">
        <v>0.1360213888888889</v>
      </c>
      <c r="I4" s="2">
        <v>1350.27</v>
      </c>
    </row>
    <row r="5" spans="1:9" x14ac:dyDescent="0.2">
      <c r="A5" s="11">
        <v>1</v>
      </c>
      <c r="B5" s="2">
        <f>$B$4*$A$4/A5</f>
        <v>1807.4</v>
      </c>
      <c r="C5" s="7">
        <v>0.12078888888888889</v>
      </c>
      <c r="D5" s="2"/>
      <c r="E5">
        <v>843.92</v>
      </c>
      <c r="F5" s="7">
        <v>3.4944444444444445E-2</v>
      </c>
      <c r="G5" s="2">
        <v>346.22</v>
      </c>
      <c r="H5" s="7">
        <f>H4/B4*B5</f>
        <v>2.7204277777777781</v>
      </c>
      <c r="I5" s="2">
        <v>27005.46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0CBA-03AE-44B1-8454-4919342F02BA}">
  <dimension ref="A1:K13"/>
  <sheetViews>
    <sheetView topLeftCell="E1" workbookViewId="0">
      <selection activeCell="M4" sqref="M4"/>
    </sheetView>
  </sheetViews>
  <sheetFormatPr defaultRowHeight="14.25" x14ac:dyDescent="0.2"/>
  <cols>
    <col min="1" max="1" width="10.5" customWidth="1"/>
    <col min="2" max="2" width="21.5" customWidth="1"/>
    <col min="3" max="4" width="15.875" customWidth="1"/>
    <col min="5" max="5" width="12.625" customWidth="1"/>
    <col min="6" max="6" width="13.25" customWidth="1"/>
    <col min="8" max="8" width="12.25" customWidth="1"/>
    <col min="9" max="9" width="17.25" customWidth="1"/>
  </cols>
  <sheetData>
    <row r="1" spans="1:11" x14ac:dyDescent="0.2">
      <c r="A1" t="s">
        <v>41</v>
      </c>
      <c r="B1" t="s">
        <v>54</v>
      </c>
      <c r="C1" t="s">
        <v>39</v>
      </c>
      <c r="D1" t="s">
        <v>42</v>
      </c>
      <c r="E1" t="s">
        <v>43</v>
      </c>
      <c r="F1" t="s">
        <v>44</v>
      </c>
      <c r="G1" t="s">
        <v>40</v>
      </c>
      <c r="H1" t="s">
        <v>73</v>
      </c>
      <c r="I1" t="s">
        <v>61</v>
      </c>
      <c r="K1" t="s">
        <v>75</v>
      </c>
    </row>
    <row r="2" spans="1:11" x14ac:dyDescent="0.2">
      <c r="C2">
        <v>1200</v>
      </c>
      <c r="D2" s="2">
        <f>$D$6*$C$6/C2</f>
        <v>1.5145000000000002</v>
      </c>
      <c r="E2" s="2">
        <v>200.72</v>
      </c>
      <c r="F2" s="2"/>
      <c r="G2" s="2"/>
      <c r="H2" s="2">
        <v>1946</v>
      </c>
      <c r="I2" s="2">
        <f>H2/1024/1024</f>
        <v>1.8558502197265625E-3</v>
      </c>
      <c r="K2" t="s">
        <v>58</v>
      </c>
    </row>
    <row r="3" spans="1:11" x14ac:dyDescent="0.2">
      <c r="D3" s="2"/>
      <c r="E3" s="2"/>
      <c r="F3" s="2"/>
      <c r="G3" s="2"/>
      <c r="H3" s="2"/>
      <c r="I3" s="2"/>
      <c r="K3" t="s">
        <v>74</v>
      </c>
    </row>
    <row r="4" spans="1:11" x14ac:dyDescent="0.2">
      <c r="C4">
        <v>100</v>
      </c>
      <c r="D4" s="2">
        <f t="shared" ref="D4" si="0">$D$6*$C$6/C4</f>
        <v>18.173999999999999</v>
      </c>
      <c r="E4" s="2"/>
      <c r="F4" s="2"/>
      <c r="G4" s="2"/>
      <c r="H4" s="2">
        <v>3665132</v>
      </c>
      <c r="I4" s="2">
        <f t="shared" ref="I4:I11" si="1">H4/1024/1024</f>
        <v>3.4953422546386719</v>
      </c>
    </row>
    <row r="5" spans="1:11" x14ac:dyDescent="0.2">
      <c r="D5" s="2"/>
      <c r="E5" s="2"/>
      <c r="F5" s="2"/>
      <c r="G5" s="2"/>
      <c r="H5" s="2"/>
      <c r="I5" s="2"/>
    </row>
    <row r="6" spans="1:11" x14ac:dyDescent="0.2">
      <c r="A6">
        <v>41203153</v>
      </c>
      <c r="B6" t="s">
        <v>55</v>
      </c>
      <c r="C6">
        <v>20</v>
      </c>
      <c r="D6" s="2">
        <v>90.87</v>
      </c>
      <c r="E6" s="2"/>
      <c r="F6" s="2">
        <v>4379.47</v>
      </c>
      <c r="G6" s="2"/>
      <c r="H6" s="2">
        <v>22122874</v>
      </c>
      <c r="I6" s="2">
        <f t="shared" si="1"/>
        <v>21.098016738891602</v>
      </c>
    </row>
    <row r="7" spans="1:11" x14ac:dyDescent="0.2">
      <c r="A7">
        <v>41221086</v>
      </c>
      <c r="B7" t="s">
        <v>56</v>
      </c>
      <c r="C7">
        <v>20</v>
      </c>
      <c r="D7" s="2"/>
      <c r="E7" s="2"/>
      <c r="F7" s="2">
        <v>4477.72</v>
      </c>
      <c r="G7" s="2"/>
      <c r="H7" s="2">
        <v>22834406</v>
      </c>
      <c r="I7" s="2">
        <f t="shared" si="1"/>
        <v>21.776586532592773</v>
      </c>
    </row>
    <row r="8" spans="1:11" x14ac:dyDescent="0.2">
      <c r="A8">
        <v>41221087</v>
      </c>
      <c r="B8" t="s">
        <v>57</v>
      </c>
      <c r="C8">
        <v>20</v>
      </c>
      <c r="D8" s="2"/>
      <c r="E8" s="2"/>
      <c r="F8" s="2">
        <v>4019.53</v>
      </c>
      <c r="G8" s="2"/>
      <c r="H8" s="2">
        <v>22956502</v>
      </c>
      <c r="I8" s="2">
        <f t="shared" si="1"/>
        <v>21.893026351928711</v>
      </c>
    </row>
    <row r="9" spans="1:11" x14ac:dyDescent="0.2">
      <c r="D9" s="2"/>
      <c r="E9" s="2"/>
      <c r="F9" s="2"/>
      <c r="G9" s="2"/>
      <c r="H9" s="2"/>
      <c r="I9" s="2"/>
    </row>
    <row r="10" spans="1:11" x14ac:dyDescent="0.2">
      <c r="A10">
        <v>41225171</v>
      </c>
      <c r="B10" t="s">
        <v>59</v>
      </c>
      <c r="C10">
        <v>400</v>
      </c>
      <c r="D10" s="2">
        <v>4.5199999999999996</v>
      </c>
      <c r="E10" s="2"/>
      <c r="F10" s="2"/>
      <c r="G10" s="2"/>
      <c r="H10" s="2">
        <v>9416610</v>
      </c>
      <c r="I10" s="2">
        <f t="shared" si="1"/>
        <v>8.9803791046142578</v>
      </c>
    </row>
    <row r="11" spans="1:11" x14ac:dyDescent="0.2">
      <c r="A11">
        <v>41225182</v>
      </c>
      <c r="B11" t="s">
        <v>60</v>
      </c>
      <c r="C11">
        <v>400</v>
      </c>
      <c r="D11" s="2"/>
      <c r="E11" s="2"/>
      <c r="F11" s="2"/>
      <c r="G11" s="2"/>
      <c r="H11" s="2">
        <v>9405030</v>
      </c>
      <c r="I11" s="2">
        <f t="shared" si="1"/>
        <v>8.9693355560302734</v>
      </c>
    </row>
    <row r="12" spans="1:11" x14ac:dyDescent="0.2">
      <c r="A12">
        <v>41254968</v>
      </c>
      <c r="B12" t="s">
        <v>71</v>
      </c>
      <c r="C12">
        <v>400</v>
      </c>
      <c r="D12" s="2"/>
      <c r="E12" s="2"/>
      <c r="F12" s="2"/>
      <c r="G12" s="2"/>
      <c r="H12" s="2"/>
      <c r="I12" s="2"/>
    </row>
    <row r="13" spans="1:11" x14ac:dyDescent="0.2">
      <c r="A13">
        <v>41255027</v>
      </c>
      <c r="B13" t="s">
        <v>72</v>
      </c>
      <c r="C13">
        <v>400</v>
      </c>
      <c r="D13" s="2"/>
      <c r="E13" s="2"/>
      <c r="F13" s="2"/>
      <c r="G13" s="2"/>
      <c r="H13" s="2"/>
      <c r="I1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42BD-74C5-4306-8CEA-C0CEDCBFB3D9}">
  <dimension ref="A1:E5"/>
  <sheetViews>
    <sheetView workbookViewId="0">
      <selection activeCell="B34" sqref="B34"/>
    </sheetView>
  </sheetViews>
  <sheetFormatPr defaultRowHeight="14.25" x14ac:dyDescent="0.2"/>
  <cols>
    <col min="1" max="1" width="20.25" customWidth="1"/>
    <col min="2" max="2" width="15.5" customWidth="1"/>
    <col min="3" max="4" width="15.125" customWidth="1"/>
    <col min="5" max="5" width="10.375" customWidth="1"/>
  </cols>
  <sheetData>
    <row r="1" spans="1:5" x14ac:dyDescent="0.2">
      <c r="A1" t="s">
        <v>62</v>
      </c>
      <c r="B1" t="s">
        <v>64</v>
      </c>
      <c r="C1" t="s">
        <v>70</v>
      </c>
      <c r="D1" t="s">
        <v>65</v>
      </c>
      <c r="E1" t="s">
        <v>69</v>
      </c>
    </row>
    <row r="2" spans="1:5" x14ac:dyDescent="0.2">
      <c r="A2" t="s">
        <v>63</v>
      </c>
      <c r="B2">
        <v>400</v>
      </c>
      <c r="C2" s="7">
        <f>efficiency!H3*1.4/86400</f>
        <v>1.0211851637517145E-7</v>
      </c>
      <c r="D2">
        <v>50</v>
      </c>
      <c r="E2" s="7">
        <f>C2*D2</f>
        <v>5.105925818758573E-6</v>
      </c>
    </row>
    <row r="3" spans="1:5" x14ac:dyDescent="0.2">
      <c r="A3" t="s">
        <v>66</v>
      </c>
      <c r="B3">
        <v>1</v>
      </c>
      <c r="C3" s="7">
        <f>efficiency!H5*1.4/86400</f>
        <v>4.4081005658436217E-5</v>
      </c>
      <c r="D3">
        <f>D2</f>
        <v>50</v>
      </c>
      <c r="E3" s="7">
        <f t="shared" ref="E3:E5" si="0">C3*D3</f>
        <v>2.2040502829218109E-3</v>
      </c>
    </row>
    <row r="4" spans="1:5" x14ac:dyDescent="0.2">
      <c r="A4" t="s">
        <v>67</v>
      </c>
      <c r="B4">
        <v>1</v>
      </c>
      <c r="C4" s="7">
        <f>efficiency!H5*1.4/86400</f>
        <v>4.4081005658436217E-5</v>
      </c>
      <c r="D4">
        <f t="shared" ref="D4:D5" si="1">D3</f>
        <v>50</v>
      </c>
      <c r="E4" s="7">
        <f t="shared" si="0"/>
        <v>2.2040502829218109E-3</v>
      </c>
    </row>
    <row r="5" spans="1:5" x14ac:dyDescent="0.2">
      <c r="A5" t="s">
        <v>68</v>
      </c>
      <c r="B5">
        <v>20</v>
      </c>
      <c r="C5" s="7">
        <f>efficiency!H4*1.4/86400</f>
        <v>2.2040502829218108E-6</v>
      </c>
      <c r="D5">
        <f t="shared" si="1"/>
        <v>50</v>
      </c>
      <c r="E5" s="7">
        <f t="shared" si="0"/>
        <v>1.1020251414609054E-4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DA17-5420-4AE8-AF6D-1FD3AB152516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HHLM</vt:lpstr>
      <vt:lpstr>HRM</vt:lpstr>
      <vt:lpstr>HHLM_HRM</vt:lpstr>
      <vt:lpstr>efficiency</vt:lpstr>
      <vt:lpstr>job list</vt:lpstr>
      <vt:lpstr>parameter scans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Wang</dc:creator>
  <cp:lastModifiedBy>Nan Wang</cp:lastModifiedBy>
  <dcterms:created xsi:type="dcterms:W3CDTF">2015-06-05T18:19:34Z</dcterms:created>
  <dcterms:modified xsi:type="dcterms:W3CDTF">2021-05-26T16:17:56Z</dcterms:modified>
</cp:coreProperties>
</file>