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C425473C-AFF6-47E7-ABAA-7E280437DDEE}" xr6:coauthVersionLast="46" xr6:coauthVersionMax="46" xr10:uidLastSave="{00000000-0000-0000-0000-000000000000}"/>
  <bookViews>
    <workbookView xWindow="1080" yWindow="735" windowWidth="17580" windowHeight="15090" activeTab="1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8" l="1"/>
  <c r="B18" i="8" s="1"/>
  <c r="D18" i="8" s="1"/>
  <c r="B4" i="8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H23" i="8"/>
  <c r="J23" i="8" s="1"/>
  <c r="L23" i="8" s="1"/>
  <c r="N23" i="8" s="1"/>
  <c r="P23" i="8" s="1"/>
  <c r="B23" i="8"/>
  <c r="B22" i="8"/>
  <c r="B17" i="8" s="1"/>
  <c r="B8" i="8"/>
  <c r="B9" i="8" s="1"/>
  <c r="B10" i="8" s="1"/>
  <c r="F5" i="8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I3" i="8" l="1"/>
  <c r="D22" i="8"/>
  <c r="F22" i="8" s="1"/>
  <c r="C4" i="7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C20" i="8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I4" i="8" s="1"/>
  <c r="B25" i="8"/>
  <c r="X23" i="3" l="1"/>
  <c r="B25" i="3"/>
  <c r="L22" i="3"/>
  <c r="N22" i="3" s="1"/>
  <c r="P22" i="3" s="1"/>
  <c r="R22" i="3" s="1"/>
  <c r="T22" i="3" s="1"/>
  <c r="V22" i="3" s="1"/>
  <c r="X22" i="3" s="1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F24" i="8"/>
  <c r="F19" i="8" s="1"/>
  <c r="B29" i="3" l="1"/>
  <c r="B28" i="3"/>
  <c r="R4" i="3"/>
  <c r="B19" i="3"/>
  <c r="J4" i="3"/>
  <c r="L17" i="3"/>
  <c r="O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P24" i="8" s="1"/>
  <c r="L25" i="8"/>
  <c r="J20" i="8"/>
  <c r="K20" i="8"/>
  <c r="N19" i="8" l="1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<sst xmlns="http://schemas.openxmlformats.org/spreadsheetml/2006/main" count="193" uniqueCount="91">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</sst>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workbookViewId="0">
      <selection activeCell="J10" sqref="J10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16" t="s">
        <v>23</v>
      </c>
      <c r="E1" s="16"/>
    </row>
    <row r="2" spans="1:12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4.7264062499999995E-2</v>
      </c>
    </row>
    <row r="11" spans="1:12" x14ac:dyDescent="0.2">
      <c r="D11" s="16" t="s">
        <v>51</v>
      </c>
      <c r="E11" s="16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</row>
    <row r="22" spans="1:19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7">H22</f>
        <v>6144</v>
      </c>
      <c r="K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" si="8">B23</f>
        <v>8</v>
      </c>
      <c r="E23" s="18"/>
      <c r="F23" s="18">
        <f t="shared" ref="F23" si="9">D23</f>
        <v>8</v>
      </c>
      <c r="G23" s="18"/>
      <c r="H23" s="18">
        <f>B13</f>
        <v>8</v>
      </c>
      <c r="I23" s="18"/>
      <c r="J23" s="18">
        <f t="shared" si="7"/>
        <v>8</v>
      </c>
      <c r="K23" s="18"/>
    </row>
    <row r="24" spans="1:19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10">F24</f>
        <v>26000</v>
      </c>
      <c r="I24" s="18"/>
      <c r="J24" s="18">
        <f t="shared" si="7"/>
        <v>26000</v>
      </c>
      <c r="K24" s="18"/>
    </row>
    <row r="25" spans="1:19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11">F22*F23*F24</f>
        <v>1277952000</v>
      </c>
      <c r="G25" s="19"/>
      <c r="H25" s="19">
        <f t="shared" ref="H25" si="12">H22*H23*H24</f>
        <v>1277952000</v>
      </c>
      <c r="I25" s="19"/>
      <c r="J25" s="19">
        <f t="shared" ref="J25" si="13">J22*J23*J24</f>
        <v>1277952000</v>
      </c>
      <c r="K25" s="19"/>
    </row>
    <row r="26" spans="1:19" hidden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</row>
    <row r="27" spans="1:19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</row>
    <row r="28" spans="1:19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" si="14">F26/6144/8/4000*F$25</f>
        <v>140.19200000000001</v>
      </c>
      <c r="G28" s="17"/>
      <c r="H28" s="17">
        <f t="shared" ref="H28" si="15">H26/6144/8/4000*H$25</f>
        <v>140.01650000000001</v>
      </c>
      <c r="I28" s="17"/>
      <c r="J28" s="17">
        <f t="shared" ref="J28" si="16">J26/6144/8/4000*J$25</f>
        <v>59.708999999999996</v>
      </c>
      <c r="K28" s="17"/>
    </row>
    <row r="29" spans="1:19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ref="F29" si="17">F27/6144/8/4000*F$25</f>
        <v>1175.5250000000001</v>
      </c>
      <c r="G29" s="17"/>
      <c r="H29" s="17">
        <f t="shared" ref="H29" si="18">H27/6144/8/4000*H$25</f>
        <v>1083.4849999999999</v>
      </c>
      <c r="I29" s="17"/>
      <c r="J29" s="17">
        <f t="shared" ref="J29" si="19">J27/6144/8/4000*J$25</f>
        <v>834.20999999999992</v>
      </c>
      <c r="K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</row>
    <row r="31" spans="1:19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20">(D28+D29*D30)/86400</f>
        <v>1.2987737268518517E-2</v>
      </c>
      <c r="E31" s="21"/>
      <c r="F31" s="21">
        <f t="shared" si="20"/>
        <v>1.5228206018518519E-2</v>
      </c>
      <c r="G31" s="21"/>
      <c r="H31" s="21">
        <f t="shared" ref="H31" si="21">(H28+H29*H30)/86400</f>
        <v>1.4160896990740739E-2</v>
      </c>
      <c r="I31" s="21"/>
      <c r="J31" s="21">
        <f t="shared" ref="J31" si="22">(J28+J29*J30)/86400</f>
        <v>1.034628472222222E-2</v>
      </c>
      <c r="K31" s="21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31:C31"/>
    <mergeCell ref="D31:E31"/>
    <mergeCell ref="F31:G31"/>
    <mergeCell ref="H31:I31"/>
    <mergeCell ref="J31:K31"/>
    <mergeCell ref="B30:C30"/>
    <mergeCell ref="D30:E30"/>
    <mergeCell ref="F30:G30"/>
    <mergeCell ref="H30:I30"/>
    <mergeCell ref="J30:K30"/>
    <mergeCell ref="B29:C29"/>
    <mergeCell ref="D29:E29"/>
    <mergeCell ref="F29:G29"/>
    <mergeCell ref="H29:I29"/>
    <mergeCell ref="J29:K29"/>
    <mergeCell ref="B28:C28"/>
    <mergeCell ref="D28:E28"/>
    <mergeCell ref="F28:G28"/>
    <mergeCell ref="H28:I28"/>
    <mergeCell ref="J28:K28"/>
    <mergeCell ref="B27:C27"/>
    <mergeCell ref="D27:E27"/>
    <mergeCell ref="F27:G27"/>
    <mergeCell ref="H27:I27"/>
    <mergeCell ref="J27:K27"/>
    <mergeCell ref="B26:C26"/>
    <mergeCell ref="D26:E26"/>
    <mergeCell ref="F26:G26"/>
    <mergeCell ref="H26:I26"/>
    <mergeCell ref="J26:K26"/>
    <mergeCell ref="B25:C25"/>
    <mergeCell ref="D25:E25"/>
    <mergeCell ref="F25:G25"/>
    <mergeCell ref="H25:I25"/>
    <mergeCell ref="J25:K25"/>
    <mergeCell ref="B24:C24"/>
    <mergeCell ref="D24:E24"/>
    <mergeCell ref="F24:G24"/>
    <mergeCell ref="H24:I24"/>
    <mergeCell ref="J24:K24"/>
    <mergeCell ref="B23:C23"/>
    <mergeCell ref="D23:E23"/>
    <mergeCell ref="F23:G23"/>
    <mergeCell ref="H23:I23"/>
    <mergeCell ref="J23:K23"/>
    <mergeCell ref="B22:C22"/>
    <mergeCell ref="D22:E22"/>
    <mergeCell ref="F22:G22"/>
    <mergeCell ref="H22:I22"/>
    <mergeCell ref="J22:K22"/>
    <mergeCell ref="B21:C21"/>
    <mergeCell ref="D21:E21"/>
    <mergeCell ref="F21:G21"/>
    <mergeCell ref="H21:I21"/>
    <mergeCell ref="J21:K21"/>
    <mergeCell ref="H16:I16"/>
    <mergeCell ref="J16:K16"/>
    <mergeCell ref="D9:E9"/>
    <mergeCell ref="D10:E10"/>
    <mergeCell ref="D11:E11"/>
    <mergeCell ref="B16:C16"/>
    <mergeCell ref="D16:E16"/>
    <mergeCell ref="F16:G16"/>
    <mergeCell ref="D1:E1"/>
    <mergeCell ref="D2:E2"/>
    <mergeCell ref="D3:E3"/>
    <mergeCell ref="D4:E4"/>
    <mergeCell ref="D5:E5"/>
    <mergeCell ref="D8:E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tabSelected="1" workbookViewId="0">
      <selection activeCell="F14" sqref="F14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0.375" bestFit="1" customWidth="1"/>
    <col min="15" max="15" width="7.375" bestFit="1" customWidth="1"/>
    <col min="16" max="16" width="10.375" bestFit="1" customWidth="1"/>
    <col min="17" max="17" width="7.375" bestFit="1" customWidth="1"/>
  </cols>
  <sheetData>
    <row r="1" spans="1:19" x14ac:dyDescent="0.2">
      <c r="A1" t="s">
        <v>88</v>
      </c>
      <c r="D1" s="16" t="s">
        <v>24</v>
      </c>
      <c r="E1" s="16"/>
    </row>
    <row r="2" spans="1:19" x14ac:dyDescent="0.2">
      <c r="A2" t="s">
        <v>1</v>
      </c>
      <c r="B2">
        <v>9481</v>
      </c>
      <c r="D2" s="16" t="s">
        <v>26</v>
      </c>
      <c r="E2" s="16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20</v>
      </c>
      <c r="D3" s="16" t="s">
        <v>25</v>
      </c>
      <c r="E3" s="16"/>
      <c r="F3">
        <v>-29.5</v>
      </c>
      <c r="H3" t="s">
        <v>36</v>
      </c>
      <c r="I3" s="2">
        <f>$B4*F5/300000000*1000000000000000</f>
        <v>11726.249077408484</v>
      </c>
    </row>
    <row r="4" spans="1:19" x14ac:dyDescent="0.2">
      <c r="A4" t="s">
        <v>9</v>
      </c>
      <c r="B4" s="1">
        <f>0.005</f>
        <v>5.0000000000000001E-3</v>
      </c>
      <c r="D4" s="16" t="s">
        <v>21</v>
      </c>
      <c r="E4" s="16"/>
      <c r="F4">
        <f>SIN(RADIANS(F2+F3))/SIN(RADIANS(F2-F3))</f>
        <v>0.24356450463759297</v>
      </c>
      <c r="H4" t="s">
        <v>19</v>
      </c>
      <c r="I4" s="2">
        <f>MAX(ROUND(2*I3/$B7,0),1)</f>
        <v>6</v>
      </c>
      <c r="J4">
        <f>I3/$B7</f>
        <v>2.9315622693521211</v>
      </c>
    </row>
    <row r="5" spans="1:19" x14ac:dyDescent="0.2">
      <c r="A5" t="s">
        <v>10</v>
      </c>
      <c r="B5" s="1">
        <f>0.005</f>
        <v>5.0000000000000001E-3</v>
      </c>
      <c r="D5" s="16" t="s">
        <v>22</v>
      </c>
      <c r="E5" s="16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4000</v>
      </c>
    </row>
    <row r="8" spans="1:19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103.86715932992787</v>
      </c>
    </row>
    <row r="9" spans="1:19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1.7098032407407406E-2</v>
      </c>
    </row>
    <row r="10" spans="1:19" x14ac:dyDescent="0.2">
      <c r="A10" t="s">
        <v>14</v>
      </c>
      <c r="B10">
        <f>MIN(B9/800,0.001)</f>
        <v>1E-3</v>
      </c>
      <c r="D10" s="16" t="s">
        <v>53</v>
      </c>
      <c r="E10" s="16"/>
      <c r="F10" s="7">
        <f>SUM(31:31)-F9</f>
        <v>0.16010445601851853</v>
      </c>
    </row>
    <row r="11" spans="1:19" x14ac:dyDescent="0.2">
      <c r="D11" s="16" t="s">
        <v>51</v>
      </c>
      <c r="E11" s="16"/>
      <c r="F11" s="10">
        <f>SUM(31:31)</f>
        <v>0.17720248842592592</v>
      </c>
    </row>
    <row r="12" spans="1:19" x14ac:dyDescent="0.2">
      <c r="A12" s="12" t="s">
        <v>15</v>
      </c>
      <c r="B12">
        <v>1024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2000</v>
      </c>
    </row>
    <row r="16" spans="1:19" x14ac:dyDescent="0.2">
      <c r="A16" t="s">
        <v>88</v>
      </c>
      <c r="B16" s="16" t="s">
        <v>28</v>
      </c>
      <c r="C16" s="16"/>
      <c r="D16" s="16" t="s">
        <v>29</v>
      </c>
      <c r="E16" s="16"/>
      <c r="F16" s="16" t="s">
        <v>30</v>
      </c>
      <c r="G16" s="16"/>
      <c r="H16" s="16" t="s">
        <v>31</v>
      </c>
      <c r="I16" s="16"/>
      <c r="J16" s="16" t="s">
        <v>32</v>
      </c>
      <c r="K16" s="16"/>
      <c r="L16" s="16" t="s">
        <v>33</v>
      </c>
      <c r="M16" s="16"/>
      <c r="N16" s="16" t="s">
        <v>34</v>
      </c>
      <c r="O16" s="16"/>
      <c r="P16" s="16" t="s">
        <v>35</v>
      </c>
      <c r="Q16" s="16"/>
      <c r="R16" s="16"/>
      <c r="S16" s="16"/>
    </row>
    <row r="17" spans="1:19" x14ac:dyDescent="0.2">
      <c r="A17" s="12" t="s">
        <v>2</v>
      </c>
      <c r="B17" s="2">
        <f>B22*C17</f>
        <v>8017.92</v>
      </c>
      <c r="C17" s="2">
        <f>7.83</f>
        <v>7.83</v>
      </c>
      <c r="D17" s="2">
        <f>D22*E17</f>
        <v>8017.92</v>
      </c>
      <c r="E17" s="2">
        <f>C17</f>
        <v>7.83</v>
      </c>
      <c r="F17" s="2">
        <f>G17*F22</f>
        <v>62492.182816763183</v>
      </c>
      <c r="G17" s="2">
        <f>E17*F4</f>
        <v>1.907110071312353</v>
      </c>
      <c r="H17" s="2">
        <f>I17*H22</f>
        <v>62492.182816763183</v>
      </c>
      <c r="I17" s="2">
        <f>G17</f>
        <v>1.907110071312353</v>
      </c>
      <c r="J17" s="2">
        <f>K17*J22</f>
        <v>4580.5778859244456</v>
      </c>
      <c r="K17" s="2">
        <f>I17/13.64286</f>
        <v>0.13978814349134661</v>
      </c>
      <c r="L17" s="2">
        <f>M17*L22</f>
        <v>62492.182816763183</v>
      </c>
      <c r="M17" s="2">
        <f>I17</f>
        <v>1.907110071312353</v>
      </c>
      <c r="N17" s="2">
        <f>O17*N22</f>
        <v>256573.44</v>
      </c>
      <c r="O17" s="2">
        <f>M17/F4</f>
        <v>7.83</v>
      </c>
      <c r="P17" s="2">
        <f t="shared" ref="P17:P18" si="0">N17</f>
        <v>256573.44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5000</v>
      </c>
      <c r="C18" s="2">
        <f>B18/B23</f>
        <v>625</v>
      </c>
      <c r="D18" s="2">
        <f>B18</f>
        <v>5000</v>
      </c>
      <c r="E18" s="2">
        <f>D18/D23</f>
        <v>625</v>
      </c>
      <c r="F18" s="2">
        <f t="shared" ref="F18" si="1">D18</f>
        <v>5000</v>
      </c>
      <c r="G18" s="2">
        <f>F18/F23</f>
        <v>625</v>
      </c>
      <c r="H18" s="2">
        <f t="shared" ref="H18" si="2">F18</f>
        <v>5000</v>
      </c>
      <c r="I18" s="2">
        <f>H18/H23</f>
        <v>625</v>
      </c>
      <c r="J18" s="2">
        <f t="shared" ref="J18" si="3">H18</f>
        <v>5000</v>
      </c>
      <c r="K18" s="2">
        <f>J18/J23</f>
        <v>625</v>
      </c>
      <c r="L18" s="2">
        <f t="shared" ref="L18" si="4">J18</f>
        <v>5000</v>
      </c>
      <c r="M18" s="2">
        <f>L18/L23</f>
        <v>625</v>
      </c>
      <c r="N18" s="2">
        <f t="shared" ref="N18" si="5">L18</f>
        <v>5000</v>
      </c>
      <c r="O18" s="2">
        <f>N18/N23</f>
        <v>625</v>
      </c>
      <c r="P18" s="2">
        <f t="shared" si="0"/>
        <v>5000</v>
      </c>
      <c r="Q18" s="2">
        <f>P18/P23</f>
        <v>625</v>
      </c>
      <c r="R18" s="2"/>
      <c r="S18" s="2"/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4000</v>
      </c>
      <c r="E19" s="2">
        <f>C19</f>
        <v>2</v>
      </c>
      <c r="F19" s="2">
        <f>G19*F24</f>
        <v>24000</v>
      </c>
      <c r="G19" s="2">
        <f>E19</f>
        <v>2</v>
      </c>
      <c r="H19" s="2">
        <f>I19*H24</f>
        <v>24000</v>
      </c>
      <c r="I19" s="2">
        <f>G19</f>
        <v>2</v>
      </c>
      <c r="J19" s="2">
        <f>K19*J24</f>
        <v>24000</v>
      </c>
      <c r="K19" s="2">
        <f>I19</f>
        <v>2</v>
      </c>
      <c r="L19" s="2">
        <f>M19*L24</f>
        <v>24000</v>
      </c>
      <c r="M19" s="2">
        <f>K19</f>
        <v>2</v>
      </c>
      <c r="N19" s="2">
        <f>O19*N24</f>
        <v>24000</v>
      </c>
      <c r="O19" s="2">
        <f>M19</f>
        <v>2</v>
      </c>
      <c r="P19" s="2">
        <f>Q19*P24</f>
        <v>24000</v>
      </c>
      <c r="Q19" s="2">
        <f>O19</f>
        <v>2</v>
      </c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1</v>
      </c>
      <c r="F20" s="2">
        <f>$B20*$C19/G19</f>
        <v>2000</v>
      </c>
      <c r="G20" s="2">
        <f>$B19*$C20/F19</f>
        <v>0.16666666666666666</v>
      </c>
      <c r="H20" s="2">
        <f t="shared" ref="H20" si="6">$B20*$C19/I19</f>
        <v>2000</v>
      </c>
      <c r="I20" s="2">
        <f t="shared" ref="I20" si="7">$B19*$C20/H19</f>
        <v>0.16666666666666666</v>
      </c>
      <c r="J20" s="2">
        <f t="shared" ref="J20" si="8">$B20*$C19/K19</f>
        <v>2000</v>
      </c>
      <c r="K20" s="2">
        <f t="shared" ref="K20" si="9">$B19*$C20/J19</f>
        <v>0.16666666666666666</v>
      </c>
      <c r="L20" s="2">
        <f t="shared" ref="L20" si="10">$B20*$C19/M19</f>
        <v>2000</v>
      </c>
      <c r="M20" s="2">
        <f t="shared" ref="M20" si="11">$B19*$C20/L19</f>
        <v>0.16666666666666666</v>
      </c>
      <c r="N20" s="2">
        <f t="shared" ref="N20" si="12">$B20*$C19/O19</f>
        <v>2000</v>
      </c>
      <c r="O20" s="2">
        <f t="shared" ref="O20" si="13">$B19*$C20/N19</f>
        <v>0.16666666666666666</v>
      </c>
      <c r="P20" s="2">
        <f t="shared" ref="P20" si="14">$B20*$C19/Q19</f>
        <v>2000</v>
      </c>
      <c r="Q20" s="2">
        <f t="shared" ref="Q20" si="15">$B19*$C20/P19</f>
        <v>0.16666666666666666</v>
      </c>
      <c r="R20" s="2"/>
      <c r="S20" s="2"/>
    </row>
    <row r="21" spans="1:19" x14ac:dyDescent="0.2">
      <c r="A21" s="12" t="s">
        <v>76</v>
      </c>
      <c r="B21" s="17">
        <v>726.57</v>
      </c>
      <c r="C21" s="17"/>
      <c r="D21" s="17">
        <v>722.86</v>
      </c>
      <c r="E21" s="17"/>
      <c r="F21" s="17">
        <v>722.85</v>
      </c>
      <c r="G21" s="17"/>
      <c r="H21" s="17">
        <v>176.54</v>
      </c>
      <c r="I21" s="17"/>
      <c r="J21" s="17">
        <v>14.28</v>
      </c>
      <c r="K21" s="17"/>
      <c r="L21" s="17">
        <v>175.15</v>
      </c>
      <c r="M21" s="17"/>
      <c r="N21" s="17">
        <v>173.04</v>
      </c>
      <c r="O21" s="17"/>
      <c r="P21" s="17">
        <v>173.07</v>
      </c>
      <c r="Q21" s="17"/>
      <c r="R21" s="12"/>
      <c r="S21" s="12"/>
    </row>
    <row r="22" spans="1:19" x14ac:dyDescent="0.2">
      <c r="A22" s="12" t="s">
        <v>6</v>
      </c>
      <c r="B22" s="18">
        <f>B12</f>
        <v>1024</v>
      </c>
      <c r="C22" s="18"/>
      <c r="D22" s="18">
        <f>B22</f>
        <v>1024</v>
      </c>
      <c r="E22" s="18"/>
      <c r="F22" s="18">
        <f>D22*I2*8</f>
        <v>32768</v>
      </c>
      <c r="G22" s="18"/>
      <c r="H22" s="18">
        <f>F22</f>
        <v>32768</v>
      </c>
      <c r="I22" s="18"/>
      <c r="J22" s="18">
        <f t="shared" ref="J22:J24" si="16">H22</f>
        <v>32768</v>
      </c>
      <c r="K22" s="18"/>
      <c r="L22" s="18">
        <f t="shared" ref="L22:L24" si="17">J22</f>
        <v>32768</v>
      </c>
      <c r="M22" s="18"/>
      <c r="N22" s="18">
        <f>L22</f>
        <v>32768</v>
      </c>
      <c r="O22" s="18"/>
      <c r="P22" s="18">
        <f t="shared" ref="P22:P23" si="18">N22</f>
        <v>32768</v>
      </c>
      <c r="Q22" s="18"/>
      <c r="R22" s="18"/>
      <c r="S22" s="18"/>
    </row>
    <row r="23" spans="1:19" x14ac:dyDescent="0.2">
      <c r="A23" s="12" t="s">
        <v>7</v>
      </c>
      <c r="B23" s="18">
        <f>B13</f>
        <v>8</v>
      </c>
      <c r="C23" s="18"/>
      <c r="D23" s="18">
        <f t="shared" ref="D23:D24" si="19">B23</f>
        <v>8</v>
      </c>
      <c r="E23" s="18"/>
      <c r="F23" s="18">
        <f t="shared" ref="F23" si="20">D23</f>
        <v>8</v>
      </c>
      <c r="G23" s="18"/>
      <c r="H23" s="18">
        <f>B13</f>
        <v>8</v>
      </c>
      <c r="I23" s="18"/>
      <c r="J23" s="18">
        <f t="shared" si="16"/>
        <v>8</v>
      </c>
      <c r="K23" s="18"/>
      <c r="L23" s="18">
        <f t="shared" si="17"/>
        <v>8</v>
      </c>
      <c r="M23" s="18"/>
      <c r="N23" s="18">
        <f>L23</f>
        <v>8</v>
      </c>
      <c r="O23" s="18"/>
      <c r="P23" s="18">
        <f t="shared" si="18"/>
        <v>8</v>
      </c>
      <c r="Q23" s="18"/>
      <c r="R23" s="18"/>
      <c r="S23" s="18"/>
    </row>
    <row r="24" spans="1:19" x14ac:dyDescent="0.2">
      <c r="A24" s="12" t="s">
        <v>8</v>
      </c>
      <c r="B24" s="18">
        <f>B14</f>
        <v>2000</v>
      </c>
      <c r="C24" s="18"/>
      <c r="D24" s="18">
        <f t="shared" si="19"/>
        <v>2000</v>
      </c>
      <c r="E24" s="18"/>
      <c r="F24" s="18">
        <f>D24*I4</f>
        <v>12000</v>
      </c>
      <c r="G24" s="18"/>
      <c r="H24" s="18">
        <f t="shared" ref="H24" si="21">F24</f>
        <v>12000</v>
      </c>
      <c r="I24" s="18"/>
      <c r="J24" s="18">
        <f t="shared" si="16"/>
        <v>12000</v>
      </c>
      <c r="K24" s="18"/>
      <c r="L24" s="18">
        <f t="shared" si="17"/>
        <v>12000</v>
      </c>
      <c r="M24" s="18"/>
      <c r="N24" s="18">
        <f t="shared" ref="N24" si="22">L24</f>
        <v>12000</v>
      </c>
      <c r="O24" s="18"/>
      <c r="P24" s="18">
        <f>N24</f>
        <v>12000</v>
      </c>
      <c r="Q24" s="18"/>
      <c r="R24" s="18"/>
      <c r="S24" s="18"/>
    </row>
    <row r="25" spans="1:19" x14ac:dyDescent="0.2">
      <c r="A25" s="12" t="s">
        <v>37</v>
      </c>
      <c r="B25" s="19">
        <f>B22*B23*B24</f>
        <v>16384000</v>
      </c>
      <c r="C25" s="19"/>
      <c r="D25" s="19">
        <f>D22*D23*D24</f>
        <v>16384000</v>
      </c>
      <c r="E25" s="19"/>
      <c r="F25" s="19">
        <f t="shared" ref="F25" si="23">F22*F23*F24</f>
        <v>3145728000</v>
      </c>
      <c r="G25" s="19"/>
      <c r="H25" s="19">
        <f t="shared" ref="H25" si="24">H22*H23*H24</f>
        <v>3145728000</v>
      </c>
      <c r="I25" s="19"/>
      <c r="J25" s="19">
        <f t="shared" ref="J25" si="25">J22*J23*J24</f>
        <v>3145728000</v>
      </c>
      <c r="K25" s="19"/>
      <c r="L25" s="19">
        <f t="shared" ref="L25" si="26">L22*L23*L24</f>
        <v>3145728000</v>
      </c>
      <c r="M25" s="19"/>
      <c r="N25" s="19">
        <f t="shared" ref="N25" si="27">N22*N23*N24</f>
        <v>3145728000</v>
      </c>
      <c r="O25" s="19"/>
      <c r="P25" s="19">
        <f t="shared" ref="P25" si="28">P22*P23*P24</f>
        <v>3145728000</v>
      </c>
      <c r="Q25" s="19"/>
      <c r="R25" s="13"/>
      <c r="S25" s="13"/>
    </row>
    <row r="26" spans="1:19" hidden="1" x14ac:dyDescent="0.2">
      <c r="A26" s="15" t="s">
        <v>46</v>
      </c>
      <c r="B26" s="20">
        <f>0.154+3.252+1.863+1.467</f>
        <v>6.7360000000000007</v>
      </c>
      <c r="C26" s="20"/>
      <c r="D26" s="20">
        <v>1.1519999999999999</v>
      </c>
      <c r="E26" s="20"/>
      <c r="F26" s="20">
        <v>14.536</v>
      </c>
      <c r="G26" s="20"/>
      <c r="H26" s="20">
        <v>5.0839999999999996</v>
      </c>
      <c r="I26" s="20"/>
      <c r="J26" s="20">
        <f>0.874+3.15</f>
        <v>4.024</v>
      </c>
      <c r="K26" s="20"/>
      <c r="L26" s="20">
        <v>5.891</v>
      </c>
      <c r="M26" s="20"/>
      <c r="N26" s="20">
        <v>11.195</v>
      </c>
      <c r="O26" s="20"/>
      <c r="P26" s="20">
        <v>7.8550000000000004</v>
      </c>
      <c r="Q26" s="20"/>
      <c r="R26" s="14"/>
      <c r="S26" s="14"/>
    </row>
    <row r="27" spans="1:19" hidden="1" x14ac:dyDescent="0.2">
      <c r="A27" s="15" t="s">
        <v>47</v>
      </c>
      <c r="B27" s="20">
        <f>6.36+8.93</f>
        <v>15.29</v>
      </c>
      <c r="C27" s="20"/>
      <c r="D27" s="20">
        <v>23.66</v>
      </c>
      <c r="E27" s="20"/>
      <c r="F27" s="20">
        <v>108.08</v>
      </c>
      <c r="G27" s="20"/>
      <c r="H27" s="20">
        <v>62.75</v>
      </c>
      <c r="I27" s="20"/>
      <c r="J27" s="20">
        <v>56.74</v>
      </c>
      <c r="K27" s="20"/>
      <c r="L27" s="20">
        <v>67.02</v>
      </c>
      <c r="M27" s="20"/>
      <c r="N27" s="20">
        <v>72.900000000000006</v>
      </c>
      <c r="O27" s="20"/>
      <c r="P27" s="20">
        <v>80.45</v>
      </c>
      <c r="Q27" s="20"/>
    </row>
    <row r="28" spans="1:19" x14ac:dyDescent="0.2">
      <c r="A28" s="12" t="s">
        <v>48</v>
      </c>
      <c r="B28" s="17">
        <f>B26/512/8/1600*B$25</f>
        <v>16.84</v>
      </c>
      <c r="C28" s="17"/>
      <c r="D28" s="17">
        <f>D26/512/8/1600*D$25</f>
        <v>2.88</v>
      </c>
      <c r="E28" s="17"/>
      <c r="F28" s="17">
        <f>F26/4096/8/3200*F$25</f>
        <v>436.08</v>
      </c>
      <c r="G28" s="17"/>
      <c r="H28" s="17">
        <f t="shared" ref="H28" si="29">H26/4096/8/3200*H$25</f>
        <v>152.51999999999998</v>
      </c>
      <c r="I28" s="17"/>
      <c r="J28" s="17">
        <f t="shared" ref="J28" si="30">J26/4096/8/3200*J$25</f>
        <v>120.72</v>
      </c>
      <c r="K28" s="17"/>
      <c r="L28" s="17">
        <f t="shared" ref="L28" si="31">L26/4096/8/3200*L$25</f>
        <v>176.73</v>
      </c>
      <c r="M28" s="17"/>
      <c r="N28" s="17">
        <f t="shared" ref="N28" si="32">N26/4096/8/3200*N$25</f>
        <v>335.85</v>
      </c>
      <c r="O28" s="17"/>
      <c r="P28" s="17">
        <f t="shared" ref="P28" si="33">P26/4096/8/3200*P$25</f>
        <v>235.65000000000003</v>
      </c>
      <c r="Q28" s="17"/>
    </row>
    <row r="29" spans="1:19" x14ac:dyDescent="0.2">
      <c r="A29" s="12" t="s">
        <v>49</v>
      </c>
      <c r="B29" s="17">
        <f>B27/512/8/1600*B$25</f>
        <v>38.224999999999994</v>
      </c>
      <c r="C29" s="17"/>
      <c r="D29" s="17">
        <f>D27/512/8/1600*D$25</f>
        <v>59.15</v>
      </c>
      <c r="E29" s="17"/>
      <c r="F29" s="17">
        <f>F27/4096/8/3200*F$25</f>
        <v>3242.4</v>
      </c>
      <c r="G29" s="17"/>
      <c r="H29" s="17">
        <f t="shared" ref="H29" si="34">H27/4096/8/3200*H$25</f>
        <v>1882.4999999999998</v>
      </c>
      <c r="I29" s="17"/>
      <c r="J29" s="17">
        <f t="shared" ref="J29" si="35">J27/4096/8/3200*J$25</f>
        <v>1702.2</v>
      </c>
      <c r="K29" s="17"/>
      <c r="L29" s="17">
        <f t="shared" ref="L29" si="36">L27/4096/8/3200*L$25</f>
        <v>2010.5999999999997</v>
      </c>
      <c r="M29" s="17"/>
      <c r="N29" s="17">
        <f t="shared" ref="N29" si="37">N27/4096/8/3200*N$25</f>
        <v>2187.0000000000005</v>
      </c>
      <c r="O29" s="17"/>
      <c r="P29" s="17">
        <f t="shared" ref="P29" si="38">P27/4096/8/3200*P$25</f>
        <v>2413.5</v>
      </c>
      <c r="Q29" s="17"/>
    </row>
    <row r="30" spans="1:19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</row>
    <row r="31" spans="1:19" x14ac:dyDescent="0.2">
      <c r="A31" s="12" t="s">
        <v>27</v>
      </c>
      <c r="B31" s="21">
        <f>(B28+B29*B30)/86400</f>
        <v>6.3732638888888888E-4</v>
      </c>
      <c r="C31" s="21"/>
      <c r="D31" s="21">
        <f t="shared" ref="D31:F31" si="39">(D28+D29*D30)/86400</f>
        <v>7.1793981481481481E-4</v>
      </c>
      <c r="E31" s="21"/>
      <c r="F31" s="21">
        <f t="shared" si="39"/>
        <v>4.2575000000000002E-2</v>
      </c>
      <c r="G31" s="21"/>
      <c r="H31" s="21">
        <f>(H28+H29*H30+J28)/86400</f>
        <v>2.4950694444444442E-2</v>
      </c>
      <c r="I31" s="21"/>
      <c r="J31" s="21">
        <f>(J28+J29*J30+L28)/86400</f>
        <v>2.3144097222222222E-2</v>
      </c>
      <c r="K31" s="21"/>
      <c r="L31" s="21">
        <f t="shared" ref="L31:P31" si="40">(L28+L29*L30)/86400</f>
        <v>2.531631944444444E-2</v>
      </c>
      <c r="M31" s="21"/>
      <c r="N31" s="21">
        <f t="shared" si="40"/>
        <v>2.9199652777777783E-2</v>
      </c>
      <c r="O31" s="21"/>
      <c r="P31" s="21">
        <f t="shared" si="40"/>
        <v>3.0661458333333336E-2</v>
      </c>
      <c r="Q31" s="21"/>
      <c r="R31" s="17"/>
      <c r="S31" s="17"/>
    </row>
    <row r="32" spans="1:19" x14ac:dyDescent="0.2">
      <c r="E32" s="6"/>
    </row>
  </sheetData>
  <mergeCells count="110"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B28:C28"/>
    <mergeCell ref="D28:E28"/>
    <mergeCell ref="F28:G28"/>
    <mergeCell ref="L26:M26"/>
    <mergeCell ref="B27:C27"/>
    <mergeCell ref="D27:E27"/>
    <mergeCell ref="F27:G27"/>
    <mergeCell ref="H27:I27"/>
    <mergeCell ref="J27:K27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H28:I28"/>
    <mergeCell ref="J28:K28"/>
    <mergeCell ref="L28:M28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sqref="A1:Y31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16" t="s">
        <v>23</v>
      </c>
      <c r="E1" s="16"/>
      <c r="L1" s="16" t="s">
        <v>24</v>
      </c>
      <c r="M1" s="16"/>
    </row>
    <row r="2" spans="1:27" x14ac:dyDescent="0.2">
      <c r="A2" t="s">
        <v>1</v>
      </c>
      <c r="B2">
        <v>9481</v>
      </c>
      <c r="D2" s="16" t="s">
        <v>26</v>
      </c>
      <c r="E2" s="16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16" t="s">
        <v>26</v>
      </c>
      <c r="M2" s="16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20</v>
      </c>
      <c r="D3" s="16" t="s">
        <v>25</v>
      </c>
      <c r="E3" s="16"/>
      <c r="F3">
        <v>17</v>
      </c>
      <c r="H3" t="s">
        <v>36</v>
      </c>
      <c r="I3" s="2">
        <f>$B4*F5/300000000*1000000000000000</f>
        <v>52300.882458116022</v>
      </c>
      <c r="L3" s="16" t="s">
        <v>25</v>
      </c>
      <c r="M3" s="16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16" t="s">
        <v>21</v>
      </c>
      <c r="E4" s="16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16" t="s">
        <v>21</v>
      </c>
      <c r="M4" s="16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16" t="s">
        <v>22</v>
      </c>
      <c r="E5" s="16"/>
      <c r="F5">
        <f>ABS((COS(RADIANS(F2-F3))-COS(RADIANS(F2+F3)))/SIN(RADIANS(F2-F3)))</f>
        <v>3.9225661843587014</v>
      </c>
      <c r="L5" s="16" t="s">
        <v>22</v>
      </c>
      <c r="M5" s="16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2</v>
      </c>
      <c r="D8" s="16" t="s">
        <v>20</v>
      </c>
      <c r="E8" s="16"/>
      <c r="F8" s="1">
        <v>5.9999999999999997E-7</v>
      </c>
      <c r="H8" t="s">
        <v>45</v>
      </c>
      <c r="I8" s="9">
        <f>22122874/1024/1024/3072/8/26000*MAX(25:25)</f>
        <v>1350.2730712890623</v>
      </c>
    </row>
    <row r="9" spans="1:27" x14ac:dyDescent="0.2">
      <c r="A9" t="s">
        <v>13</v>
      </c>
      <c r="B9">
        <f>4/B8</f>
        <v>2</v>
      </c>
      <c r="D9" s="16" t="s">
        <v>52</v>
      </c>
      <c r="E9" s="16"/>
      <c r="F9" s="7">
        <f>SUM(28:28)/86400</f>
        <v>0.1360213888888889</v>
      </c>
    </row>
    <row r="10" spans="1:27" x14ac:dyDescent="0.2">
      <c r="A10" t="s">
        <v>14</v>
      </c>
      <c r="B10">
        <f>MIN(B9/400,0.001)</f>
        <v>1E-3</v>
      </c>
      <c r="D10" s="16" t="s">
        <v>53</v>
      </c>
      <c r="E10" s="16"/>
      <c r="F10" s="7">
        <f>SUM(31:31)-F9</f>
        <v>1.3155878472222222</v>
      </c>
    </row>
    <row r="11" spans="1:27" x14ac:dyDescent="0.2">
      <c r="D11" s="16" t="s">
        <v>51</v>
      </c>
      <c r="E11" s="16"/>
      <c r="F11" s="10">
        <f>SUM(31:31)</f>
        <v>1.451609236111111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2000</v>
      </c>
    </row>
    <row r="16" spans="1:27" x14ac:dyDescent="0.2">
      <c r="B16" s="16" t="s">
        <v>28</v>
      </c>
      <c r="C16" s="16"/>
      <c r="D16" s="16" t="s">
        <v>77</v>
      </c>
      <c r="E16" s="16"/>
      <c r="F16" s="16" t="s">
        <v>78</v>
      </c>
      <c r="G16" s="16"/>
      <c r="H16" s="16" t="s">
        <v>79</v>
      </c>
      <c r="I16" s="16"/>
      <c r="J16" s="16" t="s">
        <v>80</v>
      </c>
      <c r="K16" s="16"/>
      <c r="L16" s="16" t="s">
        <v>29</v>
      </c>
      <c r="M16" s="16"/>
      <c r="N16" s="16" t="s">
        <v>30</v>
      </c>
      <c r="O16" s="16"/>
      <c r="P16" s="16" t="s">
        <v>31</v>
      </c>
      <c r="Q16" s="16"/>
      <c r="R16" s="16" t="s">
        <v>32</v>
      </c>
      <c r="S16" s="16"/>
      <c r="T16" s="16" t="s">
        <v>33</v>
      </c>
      <c r="U16" s="16"/>
      <c r="V16" s="16" t="s">
        <v>34</v>
      </c>
      <c r="W16" s="16"/>
      <c r="X16" s="16" t="s">
        <v>35</v>
      </c>
      <c r="Y16" s="16"/>
      <c r="Z16" s="16"/>
      <c r="AA16" s="16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>
        <f>M19*L24</f>
        <v>52000</v>
      </c>
      <c r="M19" s="2">
        <f>K19</f>
        <v>2</v>
      </c>
      <c r="N19" s="2">
        <f>O19*N24</f>
        <v>52000</v>
      </c>
      <c r="O19" s="2">
        <f>M19</f>
        <v>2</v>
      </c>
      <c r="P19" s="2">
        <f>Q19*P24</f>
        <v>52000</v>
      </c>
      <c r="Q19" s="2">
        <f>O19</f>
        <v>2</v>
      </c>
      <c r="R19" s="2">
        <f>S19*R24</f>
        <v>52000</v>
      </c>
      <c r="S19" s="2">
        <f>Q19</f>
        <v>2</v>
      </c>
      <c r="T19" s="2">
        <f>U19*T24</f>
        <v>52000</v>
      </c>
      <c r="U19" s="2">
        <f>S19</f>
        <v>2</v>
      </c>
      <c r="V19" s="2">
        <f>W19*V24</f>
        <v>52000</v>
      </c>
      <c r="W19" s="2">
        <f>U19</f>
        <v>2</v>
      </c>
      <c r="X19" s="2">
        <f>Y19*X24</f>
        <v>104000</v>
      </c>
      <c r="Y19" s="2">
        <f>W19</f>
        <v>2</v>
      </c>
      <c r="Z19" s="2"/>
      <c r="AA19" s="2"/>
    </row>
    <row r="20" spans="1:27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9">$B20*$C19/I19</f>
        <v>2000</v>
      </c>
      <c r="I20" s="2">
        <f t="shared" ref="I20" si="10">$B19*$C20/H19</f>
        <v>7.6923076923076927E-2</v>
      </c>
      <c r="J20" s="2">
        <f t="shared" ref="J20" si="11">$B20*$C19/K19</f>
        <v>2000</v>
      </c>
      <c r="K20" s="2">
        <f t="shared" ref="K20" si="12">$B19*$C20/J19</f>
        <v>7.6923076923076927E-2</v>
      </c>
      <c r="L20" s="2">
        <f>$B20*$C19/M19</f>
        <v>2000</v>
      </c>
      <c r="M20" s="2">
        <f>$B19*$C20/L19</f>
        <v>7.6923076923076927E-2</v>
      </c>
      <c r="N20" s="2">
        <f>$B20*$C19/O19</f>
        <v>2000</v>
      </c>
      <c r="O20" s="2">
        <f>$B19*$C20/N19</f>
        <v>7.6923076923076927E-2</v>
      </c>
      <c r="P20" s="2">
        <f t="shared" ref="P20" si="13">$B20*$C19/Q19</f>
        <v>2000</v>
      </c>
      <c r="Q20" s="2">
        <f t="shared" ref="Q20" si="14">$B19*$C20/P19</f>
        <v>7.6923076923076927E-2</v>
      </c>
      <c r="R20" s="2">
        <f t="shared" ref="R20" si="15">$B20*$C19/S19</f>
        <v>2000</v>
      </c>
      <c r="S20" s="2">
        <f t="shared" ref="S20" si="16">$B19*$C20/R19</f>
        <v>7.6923076923076927E-2</v>
      </c>
      <c r="T20" s="2">
        <f t="shared" ref="T20" si="17">$B20*$C19/U19</f>
        <v>2000</v>
      </c>
      <c r="U20" s="2">
        <f t="shared" ref="U20" si="18">$B19*$C20/T19</f>
        <v>7.6923076923076927E-2</v>
      </c>
      <c r="V20" s="2">
        <f t="shared" ref="V20" si="19">$B20*$C19/W19</f>
        <v>2000</v>
      </c>
      <c r="W20" s="2">
        <f t="shared" ref="W20" si="20">$B19*$C20/V19</f>
        <v>7.6923076923076927E-2</v>
      </c>
      <c r="X20" s="2">
        <f t="shared" ref="X20" si="21">$B20*$C19/Y19</f>
        <v>2000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7">
        <v>722.7</v>
      </c>
      <c r="C21" s="17"/>
      <c r="D21" s="17">
        <f>B21*J2</f>
        <v>8549.6391970699187</v>
      </c>
      <c r="E21" s="17"/>
      <c r="F21" s="17">
        <f>D21</f>
        <v>8549.6391970699187</v>
      </c>
      <c r="G21" s="17"/>
      <c r="H21" s="17">
        <f>F21</f>
        <v>8549.6391970699187</v>
      </c>
      <c r="I21" s="17"/>
      <c r="J21" s="17">
        <f>H21/J2</f>
        <v>722.7</v>
      </c>
      <c r="K21" s="17"/>
      <c r="L21" s="17">
        <v>722.86</v>
      </c>
      <c r="M21" s="17"/>
      <c r="N21" s="17">
        <v>722.85</v>
      </c>
      <c r="O21" s="17"/>
      <c r="P21" s="17">
        <v>176.54</v>
      </c>
      <c r="Q21" s="17"/>
      <c r="R21" s="17">
        <v>14.28</v>
      </c>
      <c r="S21" s="17"/>
      <c r="T21" s="17">
        <v>175.15</v>
      </c>
      <c r="U21" s="17"/>
      <c r="V21" s="17">
        <v>173.04</v>
      </c>
      <c r="W21" s="17"/>
      <c r="X21" s="17">
        <v>173.07</v>
      </c>
      <c r="Y21" s="17"/>
      <c r="Z21" s="18"/>
      <c r="AA21" s="18"/>
    </row>
    <row r="22" spans="1:27" x14ac:dyDescent="0.2">
      <c r="A22" s="12" t="s">
        <v>6</v>
      </c>
      <c r="B22" s="18">
        <f>B12</f>
        <v>512</v>
      </c>
      <c r="C22" s="18"/>
      <c r="D22" s="18">
        <f>B22*I2</f>
        <v>6144</v>
      </c>
      <c r="E22" s="18"/>
      <c r="F22" s="18">
        <f>D22</f>
        <v>6144</v>
      </c>
      <c r="G22" s="18"/>
      <c r="H22" s="18">
        <f>F22</f>
        <v>6144</v>
      </c>
      <c r="I22" s="18"/>
      <c r="J22" s="18">
        <f t="shared" ref="J22:J24" si="23">H22</f>
        <v>6144</v>
      </c>
      <c r="K22" s="18"/>
      <c r="L22" s="18">
        <f>J22</f>
        <v>6144</v>
      </c>
      <c r="M22" s="18"/>
      <c r="N22" s="18">
        <f>L22*Q2*4</f>
        <v>98304</v>
      </c>
      <c r="O22" s="18"/>
      <c r="P22" s="18">
        <f>N22</f>
        <v>98304</v>
      </c>
      <c r="Q22" s="18"/>
      <c r="R22" s="18">
        <f t="shared" ref="R22:R24" si="24">P22</f>
        <v>98304</v>
      </c>
      <c r="S22" s="18"/>
      <c r="T22" s="18">
        <f t="shared" ref="T22:T24" si="25">R22</f>
        <v>98304</v>
      </c>
      <c r="U22" s="18"/>
      <c r="V22" s="18">
        <f>T22</f>
        <v>98304</v>
      </c>
      <c r="W22" s="18"/>
      <c r="X22" s="18">
        <f t="shared" ref="X22:X23" si="26">V22</f>
        <v>98304</v>
      </c>
      <c r="Y22" s="18"/>
      <c r="Z22" s="18"/>
      <c r="AA22" s="18"/>
    </row>
    <row r="23" spans="1:27" x14ac:dyDescent="0.2">
      <c r="A23" s="12" t="s">
        <v>7</v>
      </c>
      <c r="B23" s="18">
        <f>B13</f>
        <v>8</v>
      </c>
      <c r="C23" s="18"/>
      <c r="D23" s="18">
        <f t="shared" ref="D23" si="27">B23</f>
        <v>8</v>
      </c>
      <c r="E23" s="18"/>
      <c r="F23" s="18">
        <f t="shared" ref="F23" si="28">D23</f>
        <v>8</v>
      </c>
      <c r="G23" s="18"/>
      <c r="H23" s="18">
        <f>B13</f>
        <v>8</v>
      </c>
      <c r="I23" s="18"/>
      <c r="J23" s="18">
        <f t="shared" si="23"/>
        <v>8</v>
      </c>
      <c r="K23" s="18"/>
      <c r="L23" s="18">
        <f t="shared" ref="L23:L24" si="29">J23</f>
        <v>8</v>
      </c>
      <c r="M23" s="18"/>
      <c r="N23" s="18">
        <f t="shared" ref="N23" si="30">L23</f>
        <v>8</v>
      </c>
      <c r="O23" s="18"/>
      <c r="P23" s="18">
        <f>N23</f>
        <v>8</v>
      </c>
      <c r="Q23" s="18"/>
      <c r="R23" s="18">
        <f t="shared" si="24"/>
        <v>8</v>
      </c>
      <c r="S23" s="18"/>
      <c r="T23" s="18">
        <f t="shared" si="25"/>
        <v>8</v>
      </c>
      <c r="U23" s="18"/>
      <c r="V23" s="18">
        <f>T23</f>
        <v>8</v>
      </c>
      <c r="W23" s="18"/>
      <c r="X23" s="18">
        <f t="shared" si="26"/>
        <v>8</v>
      </c>
      <c r="Y23" s="18"/>
      <c r="Z23" s="18"/>
      <c r="AA23" s="18"/>
    </row>
    <row r="24" spans="1:27" x14ac:dyDescent="0.2">
      <c r="A24" s="12" t="s">
        <v>8</v>
      </c>
      <c r="B24" s="18">
        <f>B14</f>
        <v>2000</v>
      </c>
      <c r="C24" s="18"/>
      <c r="D24" s="18">
        <f>B24*I4</f>
        <v>26000</v>
      </c>
      <c r="E24" s="18"/>
      <c r="F24" s="18">
        <f>D24</f>
        <v>26000</v>
      </c>
      <c r="G24" s="18"/>
      <c r="H24" s="18">
        <f t="shared" ref="H24" si="31">F24</f>
        <v>26000</v>
      </c>
      <c r="I24" s="18"/>
      <c r="J24" s="18">
        <f t="shared" si="23"/>
        <v>26000</v>
      </c>
      <c r="K24" s="18"/>
      <c r="L24" s="18">
        <f t="shared" si="29"/>
        <v>26000</v>
      </c>
      <c r="M24" s="18"/>
      <c r="N24" s="18">
        <f>L24</f>
        <v>26000</v>
      </c>
      <c r="O24" s="18"/>
      <c r="P24" s="18">
        <f t="shared" ref="P24" si="32">N24</f>
        <v>26000</v>
      </c>
      <c r="Q24" s="18"/>
      <c r="R24" s="18">
        <f t="shared" si="24"/>
        <v>26000</v>
      </c>
      <c r="S24" s="18"/>
      <c r="T24" s="18">
        <f t="shared" si="25"/>
        <v>26000</v>
      </c>
      <c r="U24" s="18"/>
      <c r="V24" s="18">
        <f t="shared" ref="V24" si="33">T24</f>
        <v>26000</v>
      </c>
      <c r="W24" s="18"/>
      <c r="X24" s="18">
        <f>V24*2</f>
        <v>52000</v>
      </c>
      <c r="Y24" s="18"/>
      <c r="Z24" s="5"/>
      <c r="AA24" s="5"/>
    </row>
    <row r="25" spans="1:27" ht="14.25" customHeight="1" x14ac:dyDescent="0.2">
      <c r="A25" s="12" t="s">
        <v>37</v>
      </c>
      <c r="B25" s="19">
        <f>B22*B23*B24</f>
        <v>8192000</v>
      </c>
      <c r="C25" s="19"/>
      <c r="D25" s="19">
        <f>D22*D23*D24</f>
        <v>1277952000</v>
      </c>
      <c r="E25" s="19"/>
      <c r="F25" s="19">
        <f t="shared" ref="F25" si="34">F22*F23*F24</f>
        <v>1277952000</v>
      </c>
      <c r="G25" s="19"/>
      <c r="H25" s="19">
        <f t="shared" ref="H25" si="35">H22*H23*H24</f>
        <v>1277952000</v>
      </c>
      <c r="I25" s="19"/>
      <c r="J25" s="19">
        <f t="shared" ref="J25" si="36">J22*J23*J24</f>
        <v>1277952000</v>
      </c>
      <c r="K25" s="19"/>
      <c r="L25" s="19">
        <f>L22*L23*L24</f>
        <v>1277952000</v>
      </c>
      <c r="M25" s="19"/>
      <c r="N25" s="19">
        <f t="shared" ref="N25:X25" si="37">N22*N23*N24</f>
        <v>20447232000</v>
      </c>
      <c r="O25" s="19"/>
      <c r="P25" s="19">
        <f t="shared" si="37"/>
        <v>20447232000</v>
      </c>
      <c r="Q25" s="19"/>
      <c r="R25" s="19">
        <f t="shared" si="37"/>
        <v>20447232000</v>
      </c>
      <c r="S25" s="19"/>
      <c r="T25" s="19">
        <f t="shared" si="37"/>
        <v>20447232000</v>
      </c>
      <c r="U25" s="19"/>
      <c r="V25" s="19">
        <f t="shared" si="37"/>
        <v>20447232000</v>
      </c>
      <c r="W25" s="19"/>
      <c r="X25" s="19">
        <f t="shared" si="37"/>
        <v>40894464000</v>
      </c>
      <c r="Y25" s="19"/>
      <c r="Z25" s="8"/>
      <c r="AA25" s="8"/>
    </row>
    <row r="26" spans="1:27" ht="14.25" hidden="1" customHeight="1" x14ac:dyDescent="0.2">
      <c r="A26" s="15" t="s">
        <v>46</v>
      </c>
      <c r="B26" s="20">
        <f>0.191+9.964+1.804+1.666</f>
        <v>13.625000000000002</v>
      </c>
      <c r="C26" s="20"/>
      <c r="D26" s="20">
        <v>25.887</v>
      </c>
      <c r="E26" s="20"/>
      <c r="F26" s="20">
        <v>21.568000000000001</v>
      </c>
      <c r="G26" s="20"/>
      <c r="H26" s="20">
        <v>21.541</v>
      </c>
      <c r="I26" s="20"/>
      <c r="J26" s="20">
        <v>9.1859999999999999</v>
      </c>
      <c r="K26" s="20"/>
      <c r="L26" s="20">
        <v>1.1519999999999999</v>
      </c>
      <c r="M26" s="20"/>
      <c r="N26" s="20">
        <v>14.536</v>
      </c>
      <c r="O26" s="20"/>
      <c r="P26" s="20">
        <v>5.0839999999999996</v>
      </c>
      <c r="Q26" s="20"/>
      <c r="R26" s="20">
        <f>0.874+3.15</f>
        <v>4.024</v>
      </c>
      <c r="S26" s="20"/>
      <c r="T26" s="20">
        <v>5.891</v>
      </c>
      <c r="U26" s="20"/>
      <c r="V26" s="20">
        <v>11.195</v>
      </c>
      <c r="W26" s="20"/>
      <c r="X26" s="20">
        <v>7.8550000000000004</v>
      </c>
      <c r="Y26" s="20"/>
    </row>
    <row r="27" spans="1:27" hidden="1" x14ac:dyDescent="0.2">
      <c r="A27" s="15" t="s">
        <v>47</v>
      </c>
      <c r="B27" s="20">
        <f>19.37+17.15</f>
        <v>36.519999999999996</v>
      </c>
      <c r="C27" s="20"/>
      <c r="D27" s="20">
        <v>146.75</v>
      </c>
      <c r="E27" s="20"/>
      <c r="F27" s="20">
        <v>180.85</v>
      </c>
      <c r="G27" s="20"/>
      <c r="H27" s="20">
        <v>166.69</v>
      </c>
      <c r="I27" s="20"/>
      <c r="J27" s="20">
        <v>128.34</v>
      </c>
      <c r="K27" s="20"/>
      <c r="L27" s="20">
        <v>23.66</v>
      </c>
      <c r="M27" s="20"/>
      <c r="N27" s="20">
        <v>108.08</v>
      </c>
      <c r="O27" s="20"/>
      <c r="P27" s="20">
        <v>62.75</v>
      </c>
      <c r="Q27" s="20"/>
      <c r="R27" s="20">
        <v>56.74</v>
      </c>
      <c r="S27" s="20"/>
      <c r="T27" s="20">
        <v>67.02</v>
      </c>
      <c r="U27" s="20"/>
      <c r="V27" s="20">
        <v>72.900000000000006</v>
      </c>
      <c r="W27" s="20"/>
      <c r="X27" s="20">
        <v>80.45</v>
      </c>
      <c r="Y27" s="20"/>
    </row>
    <row r="28" spans="1:27" x14ac:dyDescent="0.2">
      <c r="A28" s="12" t="s">
        <v>48</v>
      </c>
      <c r="B28" s="17">
        <f>B26/512/8/2000*B$25</f>
        <v>13.625000000000002</v>
      </c>
      <c r="C28" s="17"/>
      <c r="D28" s="17">
        <f>D26/6144/8/4000*D$25</f>
        <v>168.2655</v>
      </c>
      <c r="E28" s="17"/>
      <c r="F28" s="17">
        <f t="shared" ref="F28:F29" si="38">F26/6144/8/4000*F$25</f>
        <v>140.19200000000001</v>
      </c>
      <c r="G28" s="17"/>
      <c r="H28" s="17">
        <f t="shared" ref="H28:H29" si="39">H26/6144/8/4000*H$25</f>
        <v>140.01650000000001</v>
      </c>
      <c r="I28" s="17"/>
      <c r="J28" s="17">
        <f t="shared" ref="J28:J29" si="40">J26/6144/8/4000*J$25</f>
        <v>59.708999999999996</v>
      </c>
      <c r="K28" s="17"/>
      <c r="L28" s="17">
        <f>L26/512/8/1600*L$25</f>
        <v>224.64</v>
      </c>
      <c r="M28" s="17"/>
      <c r="N28" s="17">
        <f>N26/4096/8/3200*N$25</f>
        <v>2834.52</v>
      </c>
      <c r="O28" s="17"/>
      <c r="P28" s="17">
        <f t="shared" ref="P28:P29" si="41">P26/4096/8/3200*P$25</f>
        <v>991.37999999999988</v>
      </c>
      <c r="Q28" s="17"/>
      <c r="R28" s="17">
        <f t="shared" ref="R28:R29" si="42">R26/4096/8/3200*R$25</f>
        <v>784.68</v>
      </c>
      <c r="S28" s="17"/>
      <c r="T28" s="17">
        <f t="shared" ref="T28:T29" si="43">T26/4096/8/3200*T$25</f>
        <v>1148.7449999999999</v>
      </c>
      <c r="U28" s="17"/>
      <c r="V28" s="17">
        <f t="shared" ref="V28:V29" si="44">V26/4096/8/3200*V$25</f>
        <v>2183.0250000000001</v>
      </c>
      <c r="W28" s="17"/>
      <c r="X28" s="17">
        <f t="shared" ref="X28:X29" si="45">X26/4096/8/3200*X$25</f>
        <v>3063.4500000000003</v>
      </c>
      <c r="Y28" s="17"/>
    </row>
    <row r="29" spans="1:27" x14ac:dyDescent="0.2">
      <c r="A29" s="12" t="s">
        <v>49</v>
      </c>
      <c r="B29" s="17">
        <f>B27/512/8/2000*B$25</f>
        <v>36.519999999999996</v>
      </c>
      <c r="C29" s="17"/>
      <c r="D29" s="17">
        <f>D27/6144/8/4000*D$25</f>
        <v>953.875</v>
      </c>
      <c r="E29" s="17"/>
      <c r="F29" s="17">
        <f t="shared" si="38"/>
        <v>1175.5250000000001</v>
      </c>
      <c r="G29" s="17"/>
      <c r="H29" s="17">
        <f t="shared" si="39"/>
        <v>1083.4849999999999</v>
      </c>
      <c r="I29" s="17"/>
      <c r="J29" s="17">
        <f t="shared" si="40"/>
        <v>834.20999999999992</v>
      </c>
      <c r="K29" s="17"/>
      <c r="L29" s="17">
        <f>L27/512/8/1600*L$25</f>
        <v>4613.7</v>
      </c>
      <c r="M29" s="17"/>
      <c r="N29" s="17">
        <f>N27/4096/8/3200*N$25</f>
        <v>21075.599999999999</v>
      </c>
      <c r="O29" s="17"/>
      <c r="P29" s="17">
        <f t="shared" si="41"/>
        <v>12236.249999999998</v>
      </c>
      <c r="Q29" s="17"/>
      <c r="R29" s="17">
        <f t="shared" si="42"/>
        <v>11064.300000000001</v>
      </c>
      <c r="S29" s="17"/>
      <c r="T29" s="17">
        <f t="shared" si="43"/>
        <v>13068.899999999998</v>
      </c>
      <c r="U29" s="17"/>
      <c r="V29" s="17">
        <f t="shared" si="44"/>
        <v>14215.500000000002</v>
      </c>
      <c r="W29" s="17"/>
      <c r="X29" s="17">
        <f t="shared" si="45"/>
        <v>31375.5</v>
      </c>
      <c r="Y29" s="17"/>
    </row>
    <row r="30" spans="1:27" x14ac:dyDescent="0.2">
      <c r="A30" s="12" t="s">
        <v>50</v>
      </c>
      <c r="B30" s="18">
        <v>1</v>
      </c>
      <c r="C30" s="18"/>
      <c r="D30" s="18">
        <v>1</v>
      </c>
      <c r="E30" s="18"/>
      <c r="F30" s="18">
        <v>1</v>
      </c>
      <c r="G30" s="18"/>
      <c r="H30" s="18">
        <v>1</v>
      </c>
      <c r="I30" s="18"/>
      <c r="J30" s="18">
        <v>1</v>
      </c>
      <c r="K30" s="18"/>
      <c r="L30" s="18">
        <v>1</v>
      </c>
      <c r="M30" s="18"/>
      <c r="N30" s="18">
        <v>1</v>
      </c>
      <c r="O30" s="18"/>
      <c r="P30" s="18">
        <v>1</v>
      </c>
      <c r="Q30" s="18"/>
      <c r="R30" s="18">
        <v>1</v>
      </c>
      <c r="S30" s="18"/>
      <c r="T30" s="18">
        <v>1</v>
      </c>
      <c r="U30" s="18"/>
      <c r="V30" s="18">
        <v>1</v>
      </c>
      <c r="W30" s="18"/>
      <c r="X30" s="18">
        <v>1</v>
      </c>
      <c r="Y30" s="18"/>
      <c r="Z30" s="17"/>
      <c r="AA30" s="17"/>
    </row>
    <row r="31" spans="1:27" x14ac:dyDescent="0.2">
      <c r="A31" s="12" t="s">
        <v>27</v>
      </c>
      <c r="B31" s="21">
        <f>(B28+B29*B30)/86400</f>
        <v>5.8038194444444435E-4</v>
      </c>
      <c r="C31" s="21"/>
      <c r="D31" s="21">
        <f t="shared" ref="D31:F31" si="46">(D28+D29*D30)/86400</f>
        <v>1.2987737268518517E-2</v>
      </c>
      <c r="E31" s="21"/>
      <c r="F31" s="21">
        <f t="shared" si="46"/>
        <v>1.5228206018518519E-2</v>
      </c>
      <c r="G31" s="21"/>
      <c r="H31" s="21">
        <f t="shared" ref="H31" si="47">(H28+H29*H30)/86400</f>
        <v>1.4160896990740739E-2</v>
      </c>
      <c r="I31" s="21"/>
      <c r="J31" s="21">
        <f t="shared" ref="J31" si="48">(J28+J29*J30)/86400</f>
        <v>1.034628472222222E-2</v>
      </c>
      <c r="K31" s="21"/>
      <c r="L31" s="21">
        <f t="shared" ref="L31:N31" si="49">(L28+L29*L30)/86400</f>
        <v>5.5999305555555559E-2</v>
      </c>
      <c r="M31" s="21"/>
      <c r="N31" s="21">
        <f t="shared" si="49"/>
        <v>0.27673749999999997</v>
      </c>
      <c r="O31" s="21"/>
      <c r="P31" s="21">
        <f>(P28+P29*P30+R28)/86400</f>
        <v>0.16217951388888885</v>
      </c>
      <c r="Q31" s="21"/>
      <c r="R31" s="21">
        <f>(R28+R29*R30+T28)/86400</f>
        <v>0.15043663194444448</v>
      </c>
      <c r="S31" s="21"/>
      <c r="T31" s="21">
        <f t="shared" ref="T31:X31" si="50">(T28+T29*T30)/86400</f>
        <v>0.16455607638888886</v>
      </c>
      <c r="U31" s="21"/>
      <c r="V31" s="21">
        <f t="shared" si="50"/>
        <v>0.18979774305555558</v>
      </c>
      <c r="W31" s="21"/>
      <c r="X31" s="21">
        <f t="shared" si="50"/>
        <v>0.39859895833333331</v>
      </c>
      <c r="Y31" s="21"/>
    </row>
  </sheetData>
  <mergeCells count="163"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10" sqref="B10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2021-05-06T01:00:17Z</dcterms:modified>
</cp:coreProperties>
</file>