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aberg/Python/lcls_beamline_toolbox/Documentation/"/>
    </mc:Choice>
  </mc:AlternateContent>
  <xr:revisionPtr revIDLastSave="0" documentId="13_ncr:1_{8E96C966-1ECF-A84B-80BF-0F8CCCFB0382}" xr6:coauthVersionLast="45" xr6:coauthVersionMax="45" xr10:uidLastSave="{00000000-0000-0000-0000-000000000000}"/>
  <bookViews>
    <workbookView xWindow="240" yWindow="4180" windowWidth="28560" windowHeight="17080" tabRatio="733" xr2:uid="{00000000-000D-0000-FFFF-FFFF00000000}"/>
  </bookViews>
  <sheets>
    <sheet name="Charge Optimized peak energy" sheetId="2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26" l="1"/>
  <c r="K12" i="26"/>
  <c r="L12" i="26"/>
  <c r="M12" i="26"/>
  <c r="N12" i="26"/>
  <c r="O12" i="26"/>
  <c r="P12" i="26"/>
  <c r="I12" i="26"/>
  <c r="D12" i="26"/>
  <c r="E12" i="26"/>
  <c r="F12" i="26"/>
  <c r="G12" i="26"/>
  <c r="C12" i="26"/>
  <c r="J11" i="26"/>
  <c r="K11" i="26"/>
  <c r="L11" i="26"/>
  <c r="M11" i="26"/>
  <c r="N11" i="26"/>
  <c r="I11" i="26"/>
  <c r="D11" i="26"/>
  <c r="E11" i="26"/>
  <c r="F11" i="26"/>
  <c r="G11" i="26"/>
  <c r="C11" i="26"/>
  <c r="R19" i="26"/>
  <c r="R162" i="26"/>
  <c r="R16" i="26" s="1"/>
  <c r="R160" i="26"/>
  <c r="R81" i="26"/>
  <c r="R48" i="26"/>
  <c r="R49" i="26" s="1"/>
  <c r="R83" i="26"/>
  <c r="R13" i="26"/>
  <c r="R80" i="26"/>
  <c r="R20" i="26" s="1"/>
  <c r="R86" i="26"/>
  <c r="R108" i="26"/>
  <c r="R60" i="26"/>
  <c r="R61" i="26"/>
  <c r="R66" i="26" s="1"/>
  <c r="R148" i="26"/>
  <c r="R12" i="26"/>
  <c r="R67" i="26"/>
  <c r="R123" i="26"/>
  <c r="R82" i="26"/>
  <c r="R73" i="26" s="1"/>
  <c r="R74" i="26" s="1"/>
  <c r="R71" i="26"/>
  <c r="R70" i="26"/>
  <c r="R65" i="26"/>
  <c r="R14" i="26"/>
  <c r="C10" i="26"/>
  <c r="D10" i="26"/>
  <c r="D14" i="26" s="1"/>
  <c r="F10" i="26"/>
  <c r="G14" i="26"/>
  <c r="J10" i="26"/>
  <c r="J14" i="26" s="1"/>
  <c r="K10" i="26"/>
  <c r="L10" i="26"/>
  <c r="M10" i="26"/>
  <c r="N10" i="26"/>
  <c r="O10" i="26"/>
  <c r="P10" i="26"/>
  <c r="E14" i="26"/>
  <c r="I14" i="26"/>
  <c r="K14" i="26"/>
  <c r="C13" i="26"/>
  <c r="D13" i="26"/>
  <c r="E13" i="26"/>
  <c r="E22" i="26" s="1"/>
  <c r="E120" i="26" s="1"/>
  <c r="F13" i="26"/>
  <c r="F22" i="26"/>
  <c r="G13" i="26"/>
  <c r="G22" i="26"/>
  <c r="G120" i="26" s="1"/>
  <c r="I13" i="26"/>
  <c r="I80" i="26" s="1"/>
  <c r="I20" i="26" s="1"/>
  <c r="I110" i="26" s="1"/>
  <c r="J13" i="26"/>
  <c r="K13" i="26"/>
  <c r="K22" i="26" s="1"/>
  <c r="K120" i="26" s="1"/>
  <c r="L13" i="26"/>
  <c r="L22" i="26"/>
  <c r="M13" i="26"/>
  <c r="N13" i="26"/>
  <c r="N22" i="26" s="1"/>
  <c r="N120" i="26" s="1"/>
  <c r="O13" i="26"/>
  <c r="O80" i="26" s="1"/>
  <c r="O22" i="26"/>
  <c r="P13" i="26"/>
  <c r="F14" i="26"/>
  <c r="M14" i="26"/>
  <c r="O14" i="26"/>
  <c r="C19" i="26"/>
  <c r="D19" i="26"/>
  <c r="E19" i="26"/>
  <c r="F19" i="26"/>
  <c r="G19" i="26"/>
  <c r="I19" i="26"/>
  <c r="J19" i="26"/>
  <c r="K19" i="26"/>
  <c r="L19" i="26"/>
  <c r="M19" i="26"/>
  <c r="N19" i="26"/>
  <c r="O19" i="26"/>
  <c r="P19" i="26"/>
  <c r="D22" i="26"/>
  <c r="I22" i="26"/>
  <c r="I120" i="26" s="1"/>
  <c r="J22" i="26"/>
  <c r="J120" i="26" s="1"/>
  <c r="M22" i="26"/>
  <c r="M120" i="26" s="1"/>
  <c r="P22" i="26"/>
  <c r="I48" i="26"/>
  <c r="I49" i="26" s="1"/>
  <c r="J48" i="26"/>
  <c r="K48" i="26"/>
  <c r="L48" i="26"/>
  <c r="M48" i="26"/>
  <c r="M49" i="26" s="1"/>
  <c r="N48" i="26"/>
  <c r="O48" i="26"/>
  <c r="P48" i="26"/>
  <c r="P49" i="26"/>
  <c r="C49" i="26"/>
  <c r="D49" i="26"/>
  <c r="E49" i="26"/>
  <c r="F49" i="26"/>
  <c r="G49" i="26"/>
  <c r="O49" i="26"/>
  <c r="C60" i="26"/>
  <c r="D60" i="26"/>
  <c r="D61" i="26"/>
  <c r="I60" i="26"/>
  <c r="I65" i="26" s="1"/>
  <c r="J60" i="26"/>
  <c r="K60" i="26"/>
  <c r="K65" i="26"/>
  <c r="L60" i="26"/>
  <c r="M60" i="26"/>
  <c r="N60" i="26"/>
  <c r="O60" i="26"/>
  <c r="O65" i="26"/>
  <c r="P60" i="26"/>
  <c r="C61" i="26"/>
  <c r="E61" i="26"/>
  <c r="F61" i="26"/>
  <c r="G61" i="26"/>
  <c r="O61" i="26"/>
  <c r="P61" i="26"/>
  <c r="C63" i="26"/>
  <c r="P65" i="26"/>
  <c r="C67" i="26"/>
  <c r="K67" i="26"/>
  <c r="O67" i="26"/>
  <c r="P67" i="26"/>
  <c r="C70" i="26"/>
  <c r="D70" i="26"/>
  <c r="E70" i="26"/>
  <c r="F70" i="26"/>
  <c r="G70" i="26"/>
  <c r="I70" i="26"/>
  <c r="J70" i="26"/>
  <c r="K70" i="26"/>
  <c r="L70" i="26"/>
  <c r="M70" i="26"/>
  <c r="N70" i="26"/>
  <c r="O70" i="26"/>
  <c r="P70" i="26"/>
  <c r="C71" i="26"/>
  <c r="D71" i="26"/>
  <c r="E71" i="26"/>
  <c r="F71" i="26"/>
  <c r="G71" i="26"/>
  <c r="I71" i="26"/>
  <c r="J71" i="26"/>
  <c r="K71" i="26"/>
  <c r="L71" i="26"/>
  <c r="M71" i="26"/>
  <c r="N71" i="26"/>
  <c r="O71" i="26"/>
  <c r="P71" i="26"/>
  <c r="P74" i="26" s="1"/>
  <c r="P18" i="26" s="1"/>
  <c r="E82" i="26"/>
  <c r="E73" i="26" s="1"/>
  <c r="I82" i="26"/>
  <c r="I73" i="26" s="1"/>
  <c r="J82" i="26"/>
  <c r="J73" i="26" s="1"/>
  <c r="J74" i="26" s="1"/>
  <c r="J18" i="26" s="1"/>
  <c r="M82" i="26"/>
  <c r="M73" i="26" s="1"/>
  <c r="N82" i="26"/>
  <c r="N73" i="26" s="1"/>
  <c r="N74" i="26" s="1"/>
  <c r="N18" i="26" s="1"/>
  <c r="O82" i="26"/>
  <c r="O73" i="26" s="1"/>
  <c r="D80" i="26"/>
  <c r="D20" i="26" s="1"/>
  <c r="D110" i="26" s="1"/>
  <c r="D81" i="26"/>
  <c r="E80" i="26"/>
  <c r="E20" i="26" s="1"/>
  <c r="E81" i="26"/>
  <c r="F80" i="26"/>
  <c r="G80" i="26"/>
  <c r="G20" i="26" s="1"/>
  <c r="G81" i="26"/>
  <c r="I81" i="26"/>
  <c r="J80" i="26"/>
  <c r="J20" i="26" s="1"/>
  <c r="J81" i="26"/>
  <c r="K80" i="26"/>
  <c r="L80" i="26"/>
  <c r="M81" i="26"/>
  <c r="N81" i="26"/>
  <c r="N108" i="26" s="1"/>
  <c r="P80" i="26"/>
  <c r="P20" i="26" s="1"/>
  <c r="P81" i="26"/>
  <c r="P86" i="26" s="1"/>
  <c r="D86" i="26"/>
  <c r="E86" i="26"/>
  <c r="F81" i="26"/>
  <c r="K81" i="26"/>
  <c r="N86" i="26"/>
  <c r="O81" i="26"/>
  <c r="F82" i="26"/>
  <c r="F73" i="26" s="1"/>
  <c r="G82" i="26"/>
  <c r="G73" i="26" s="1"/>
  <c r="G74" i="26" s="1"/>
  <c r="G18" i="26" s="1"/>
  <c r="G84" i="26" s="1"/>
  <c r="G78" i="26" s="1"/>
  <c r="K82" i="26"/>
  <c r="K73" i="26" s="1"/>
  <c r="K74" i="26"/>
  <c r="K18" i="26" s="1"/>
  <c r="P82" i="26"/>
  <c r="P73" i="26" s="1"/>
  <c r="C83" i="26"/>
  <c r="D83" i="26"/>
  <c r="E83" i="26"/>
  <c r="F83" i="26"/>
  <c r="G83" i="26"/>
  <c r="I83" i="26"/>
  <c r="J83" i="26"/>
  <c r="K83" i="26"/>
  <c r="L83" i="26"/>
  <c r="M83" i="26"/>
  <c r="N83" i="26"/>
  <c r="O83" i="26"/>
  <c r="P83" i="26"/>
  <c r="G86" i="26"/>
  <c r="K86" i="26"/>
  <c r="L162" i="26"/>
  <c r="L16" i="26" s="1"/>
  <c r="G108" i="26"/>
  <c r="O108" i="26"/>
  <c r="P108" i="26"/>
  <c r="P162" i="26"/>
  <c r="P16" i="26"/>
  <c r="C162" i="26"/>
  <c r="C16" i="26"/>
  <c r="C117" i="26" s="1"/>
  <c r="D120" i="26"/>
  <c r="F120" i="26"/>
  <c r="L120" i="26"/>
  <c r="O120" i="26"/>
  <c r="P120" i="26"/>
  <c r="C123" i="26"/>
  <c r="D123" i="26"/>
  <c r="E123" i="26"/>
  <c r="F123" i="26"/>
  <c r="G123" i="26"/>
  <c r="I123" i="26"/>
  <c r="J123" i="26"/>
  <c r="K123" i="26"/>
  <c r="L123" i="26"/>
  <c r="M123" i="26"/>
  <c r="N123" i="26"/>
  <c r="O123" i="26"/>
  <c r="P123" i="26"/>
  <c r="D148" i="26"/>
  <c r="E148" i="26"/>
  <c r="G148" i="26"/>
  <c r="N148" i="26"/>
  <c r="P148" i="26"/>
  <c r="I162" i="26"/>
  <c r="I16" i="26" s="1"/>
  <c r="I117" i="26" s="1"/>
  <c r="C160" i="26"/>
  <c r="D160" i="26"/>
  <c r="E160" i="26"/>
  <c r="F160" i="26"/>
  <c r="G160" i="26"/>
  <c r="I160" i="26"/>
  <c r="J160" i="26"/>
  <c r="K160" i="26"/>
  <c r="L160" i="26"/>
  <c r="M160" i="26"/>
  <c r="N160" i="26"/>
  <c r="O160" i="26"/>
  <c r="P160" i="26"/>
  <c r="D162" i="26"/>
  <c r="D16" i="26"/>
  <c r="E162" i="26"/>
  <c r="E16" i="26"/>
  <c r="F162" i="26"/>
  <c r="F16" i="26"/>
  <c r="G162" i="26"/>
  <c r="G16" i="26"/>
  <c r="J162" i="26"/>
  <c r="J16" i="26"/>
  <c r="K162" i="26"/>
  <c r="K16" i="26" s="1"/>
  <c r="M162" i="26"/>
  <c r="M16" i="26"/>
  <c r="M117" i="26" s="1"/>
  <c r="N162" i="26"/>
  <c r="N16" i="26" s="1"/>
  <c r="O162" i="26"/>
  <c r="O16" i="26"/>
  <c r="M85" i="26"/>
  <c r="K117" i="26"/>
  <c r="N55" i="26"/>
  <c r="G55" i="26"/>
  <c r="G151" i="26" s="1"/>
  <c r="G117" i="26"/>
  <c r="M55" i="26"/>
  <c r="M147" i="26" s="1"/>
  <c r="K148" i="26"/>
  <c r="F108" i="26"/>
  <c r="F86" i="26"/>
  <c r="F148" i="26"/>
  <c r="E108" i="26"/>
  <c r="J61" i="26"/>
  <c r="J63" i="26" s="1"/>
  <c r="M67" i="26"/>
  <c r="I67" i="26"/>
  <c r="N49" i="26"/>
  <c r="N61" i="26"/>
  <c r="J49" i="26"/>
  <c r="I61" i="26"/>
  <c r="I63" i="26" s="1"/>
  <c r="I66" i="26"/>
  <c r="M74" i="26"/>
  <c r="M18" i="26" s="1"/>
  <c r="M84" i="26" s="1"/>
  <c r="P63" i="26"/>
  <c r="P146" i="26" s="1"/>
  <c r="P150" i="26" s="1"/>
  <c r="P66" i="26"/>
  <c r="D108" i="26"/>
  <c r="D82" i="26"/>
  <c r="D73" i="26" s="1"/>
  <c r="O20" i="26"/>
  <c r="F20" i="26"/>
  <c r="J65" i="26"/>
  <c r="N14" i="26"/>
  <c r="J67" i="26"/>
  <c r="M61" i="26"/>
  <c r="M63" i="26" s="1"/>
  <c r="P14" i="26"/>
  <c r="G85" i="26"/>
  <c r="M151" i="26"/>
  <c r="G56" i="26"/>
  <c r="G47" i="26" s="1"/>
  <c r="G50" i="26" s="1"/>
  <c r="G93" i="26"/>
  <c r="G94" i="26" s="1"/>
  <c r="G147" i="26"/>
  <c r="J66" i="26" l="1"/>
  <c r="D74" i="26"/>
  <c r="D18" i="26" s="1"/>
  <c r="I74" i="26"/>
  <c r="I18" i="26" s="1"/>
  <c r="E74" i="26"/>
  <c r="E18" i="26" s="1"/>
  <c r="R63" i="26"/>
  <c r="O74" i="26"/>
  <c r="O18" i="26" s="1"/>
  <c r="F74" i="26"/>
  <c r="F18" i="26" s="1"/>
  <c r="C66" i="26"/>
  <c r="P55" i="26"/>
  <c r="P110" i="26"/>
  <c r="P117" i="26"/>
  <c r="L61" i="26"/>
  <c r="L66" i="26" s="1"/>
  <c r="L49" i="26"/>
  <c r="L81" i="26"/>
  <c r="L82" i="26"/>
  <c r="L73" i="26" s="1"/>
  <c r="L74" i="26" s="1"/>
  <c r="L18" i="26" s="1"/>
  <c r="L14" i="26"/>
  <c r="F55" i="26"/>
  <c r="F110" i="26"/>
  <c r="F117" i="26"/>
  <c r="C22" i="26"/>
  <c r="C120" i="26" s="1"/>
  <c r="C80" i="26"/>
  <c r="J108" i="26"/>
  <c r="J148" i="26"/>
  <c r="E55" i="26"/>
  <c r="E117" i="26"/>
  <c r="E110" i="26"/>
  <c r="O63" i="26"/>
  <c r="O66" i="26"/>
  <c r="N65" i="26"/>
  <c r="N67" i="26"/>
  <c r="N66" i="26"/>
  <c r="N63" i="26"/>
  <c r="D63" i="26"/>
  <c r="D65" i="26"/>
  <c r="D66" i="26"/>
  <c r="D67" i="26"/>
  <c r="E60" i="26"/>
  <c r="G87" i="26"/>
  <c r="G91" i="26" s="1"/>
  <c r="G92" i="26" s="1"/>
  <c r="M145" i="26"/>
  <c r="M149" i="26" s="1"/>
  <c r="N147" i="26"/>
  <c r="N84" i="26"/>
  <c r="N78" i="26" s="1"/>
  <c r="N56" i="26"/>
  <c r="N93" i="26"/>
  <c r="N94" i="26" s="1"/>
  <c r="K55" i="26"/>
  <c r="I86" i="26"/>
  <c r="I148" i="26"/>
  <c r="I146" i="26" s="1"/>
  <c r="I150" i="26" s="1"/>
  <c r="I108" i="26"/>
  <c r="I85" i="26"/>
  <c r="L117" i="26"/>
  <c r="L55" i="26"/>
  <c r="C14" i="26"/>
  <c r="C82" i="26"/>
  <c r="C73" i="26" s="1"/>
  <c r="C74" i="26" s="1"/>
  <c r="C18" i="26" s="1"/>
  <c r="C81" i="26"/>
  <c r="K20" i="26"/>
  <c r="K110" i="26" s="1"/>
  <c r="K108" i="26"/>
  <c r="N80" i="26"/>
  <c r="N20" i="26" s="1"/>
  <c r="N110" i="26" s="1"/>
  <c r="K61" i="26"/>
  <c r="K49" i="26"/>
  <c r="J86" i="26"/>
  <c r="J55" i="26"/>
  <c r="J117" i="26"/>
  <c r="I55" i="26"/>
  <c r="M148" i="26"/>
  <c r="M146" i="26" s="1"/>
  <c r="M150" i="26" s="1"/>
  <c r="M108" i="26"/>
  <c r="M66" i="26"/>
  <c r="M65" i="26"/>
  <c r="J146" i="26"/>
  <c r="J150" i="26" s="1"/>
  <c r="O55" i="26"/>
  <c r="O117" i="26"/>
  <c r="O110" i="26"/>
  <c r="D55" i="26"/>
  <c r="D117" i="26"/>
  <c r="L67" i="26"/>
  <c r="L65" i="26"/>
  <c r="L63" i="26"/>
  <c r="M78" i="26"/>
  <c r="R146" i="26"/>
  <c r="R150" i="26" s="1"/>
  <c r="L85" i="26"/>
  <c r="M80" i="26"/>
  <c r="M20" i="26" s="1"/>
  <c r="M110" i="26" s="1"/>
  <c r="M86" i="26"/>
  <c r="M56" i="26"/>
  <c r="M93" i="26"/>
  <c r="M94" i="26" s="1"/>
  <c r="J110" i="26"/>
  <c r="G110" i="26"/>
  <c r="K85" i="26"/>
  <c r="R110" i="26"/>
  <c r="R55" i="26"/>
  <c r="R151" i="26" s="1"/>
  <c r="R117" i="26"/>
  <c r="G155" i="26"/>
  <c r="N117" i="26"/>
  <c r="O86" i="26"/>
  <c r="O148" i="26"/>
  <c r="C65" i="26"/>
  <c r="E151" i="26"/>
  <c r="R85" i="26"/>
  <c r="R22" i="26"/>
  <c r="R120" i="26" s="1"/>
  <c r="N151" i="26"/>
  <c r="K151" i="26" l="1"/>
  <c r="I93" i="26"/>
  <c r="I94" i="26" s="1"/>
  <c r="I56" i="26"/>
  <c r="I84" i="26"/>
  <c r="I78" i="26" s="1"/>
  <c r="I147" i="26"/>
  <c r="I145" i="26" s="1"/>
  <c r="I149" i="26" s="1"/>
  <c r="D146" i="26"/>
  <c r="D150" i="26" s="1"/>
  <c r="K93" i="26"/>
  <c r="K94" i="26" s="1"/>
  <c r="K84" i="26"/>
  <c r="K78" i="26" s="1"/>
  <c r="K147" i="26"/>
  <c r="K56" i="26"/>
  <c r="N145" i="26"/>
  <c r="N149" i="26" s="1"/>
  <c r="N146" i="26"/>
  <c r="N150" i="26" s="1"/>
  <c r="E85" i="26"/>
  <c r="F147" i="26"/>
  <c r="F56" i="26"/>
  <c r="F93" i="26"/>
  <c r="F94" i="26" s="1"/>
  <c r="F151" i="26"/>
  <c r="F84" i="26"/>
  <c r="F78" i="26" s="1"/>
  <c r="N85" i="26"/>
  <c r="J84" i="26"/>
  <c r="J78" i="26" s="1"/>
  <c r="J56" i="26"/>
  <c r="J93" i="26"/>
  <c r="J94" i="26" s="1"/>
  <c r="J147" i="26"/>
  <c r="J145" i="26" s="1"/>
  <c r="J149" i="26" s="1"/>
  <c r="E84" i="26"/>
  <c r="E78" i="26" s="1"/>
  <c r="E56" i="26"/>
  <c r="E93" i="26"/>
  <c r="E94" i="26" s="1"/>
  <c r="E147" i="26"/>
  <c r="L56" i="26"/>
  <c r="L93" i="26"/>
  <c r="L94" i="26" s="1"/>
  <c r="L147" i="26"/>
  <c r="L145" i="26" s="1"/>
  <c r="L149" i="26" s="1"/>
  <c r="L84" i="26"/>
  <c r="L78" i="26" s="1"/>
  <c r="I151" i="26"/>
  <c r="N155" i="26"/>
  <c r="N41" i="26"/>
  <c r="N47" i="26"/>
  <c r="N50" i="26" s="1"/>
  <c r="E66" i="26"/>
  <c r="E63" i="26"/>
  <c r="F60" i="26"/>
  <c r="E65" i="26"/>
  <c r="E67" i="26"/>
  <c r="J85" i="26"/>
  <c r="C20" i="26"/>
  <c r="C110" i="26" s="1"/>
  <c r="O147" i="26"/>
  <c r="O151" i="26"/>
  <c r="O84" i="26"/>
  <c r="O78" i="26" s="1"/>
  <c r="O56" i="26"/>
  <c r="O93" i="26"/>
  <c r="O94" i="26" s="1"/>
  <c r="C151" i="26"/>
  <c r="C108" i="26"/>
  <c r="C55" i="26"/>
  <c r="C85" i="26"/>
  <c r="C148" i="26"/>
  <c r="C146" i="26" s="1"/>
  <c r="C150" i="26" s="1"/>
  <c r="N87" i="26"/>
  <c r="N91" i="26" s="1"/>
  <c r="N92" i="26" s="1"/>
  <c r="N129" i="26" s="1"/>
  <c r="J151" i="26"/>
  <c r="C86" i="26"/>
  <c r="L151" i="26"/>
  <c r="L108" i="26"/>
  <c r="L20" i="26"/>
  <c r="L110" i="26" s="1"/>
  <c r="L86" i="26"/>
  <c r="L148" i="26"/>
  <c r="L146" i="26" s="1"/>
  <c r="L150" i="26" s="1"/>
  <c r="P85" i="26"/>
  <c r="M41" i="26"/>
  <c r="M47" i="26"/>
  <c r="M50" i="26" s="1"/>
  <c r="M155" i="26"/>
  <c r="D147" i="26"/>
  <c r="D145" i="26" s="1"/>
  <c r="D149" i="26" s="1"/>
  <c r="D93" i="26"/>
  <c r="D94" i="26" s="1"/>
  <c r="D56" i="26"/>
  <c r="D84" i="26"/>
  <c r="D78" i="26" s="1"/>
  <c r="O145" i="26"/>
  <c r="O149" i="26" s="1"/>
  <c r="O146" i="26"/>
  <c r="O150" i="26" s="1"/>
  <c r="D151" i="26"/>
  <c r="G99" i="26"/>
  <c r="G98" i="26"/>
  <c r="G103" i="26"/>
  <c r="G100" i="26"/>
  <c r="G129" i="26"/>
  <c r="R56" i="26"/>
  <c r="R93" i="26"/>
  <c r="R94" i="26" s="1"/>
  <c r="R84" i="26"/>
  <c r="R78" i="26" s="1"/>
  <c r="R147" i="26"/>
  <c r="R145" i="26" s="1"/>
  <c r="R149" i="26" s="1"/>
  <c r="D85" i="26"/>
  <c r="M87" i="26"/>
  <c r="M91" i="26" s="1"/>
  <c r="M92" i="26" s="1"/>
  <c r="O85" i="26"/>
  <c r="K66" i="26"/>
  <c r="K63" i="26"/>
  <c r="F85" i="26"/>
  <c r="P56" i="26"/>
  <c r="P147" i="26"/>
  <c r="P145" i="26" s="1"/>
  <c r="P149" i="26" s="1"/>
  <c r="P93" i="26"/>
  <c r="P94" i="26" s="1"/>
  <c r="P84" i="26"/>
  <c r="P78" i="26" s="1"/>
  <c r="P151" i="26"/>
  <c r="N34" i="26" l="1"/>
  <c r="N130" i="26"/>
  <c r="M98" i="26"/>
  <c r="M100" i="26"/>
  <c r="M129" i="26"/>
  <c r="M99" i="26"/>
  <c r="M103" i="26"/>
  <c r="L87" i="26"/>
  <c r="L91" i="26" s="1"/>
  <c r="L92" i="26" s="1"/>
  <c r="F155" i="26"/>
  <c r="F47" i="26"/>
  <c r="F50" i="26" s="1"/>
  <c r="P87" i="26"/>
  <c r="P91" i="26" s="1"/>
  <c r="P92" i="26" s="1"/>
  <c r="K146" i="26"/>
  <c r="K150" i="26" s="1"/>
  <c r="K145" i="26"/>
  <c r="K149" i="26" s="1"/>
  <c r="D87" i="26"/>
  <c r="D91" i="26" s="1"/>
  <c r="D92" i="26" s="1"/>
  <c r="N144" i="26"/>
  <c r="N43" i="26"/>
  <c r="N42" i="26"/>
  <c r="E87" i="26"/>
  <c r="E91" i="26" s="1"/>
  <c r="E92" i="26" s="1"/>
  <c r="K47" i="26"/>
  <c r="K50" i="26" s="1"/>
  <c r="K41" i="26"/>
  <c r="K155" i="26"/>
  <c r="G102" i="26"/>
  <c r="G24" i="26" s="1"/>
  <c r="D155" i="26"/>
  <c r="D41" i="26"/>
  <c r="D47" i="26"/>
  <c r="D50" i="26" s="1"/>
  <c r="K87" i="26"/>
  <c r="K91" i="26" s="1"/>
  <c r="K92" i="26" s="1"/>
  <c r="R87" i="26"/>
  <c r="R91" i="26" s="1"/>
  <c r="R92" i="26" s="1"/>
  <c r="O41" i="26"/>
  <c r="O47" i="26"/>
  <c r="O50" i="26" s="1"/>
  <c r="O155" i="26"/>
  <c r="L47" i="26"/>
  <c r="L50" i="26" s="1"/>
  <c r="L41" i="26"/>
  <c r="J47" i="26"/>
  <c r="J50" i="26" s="1"/>
  <c r="J41" i="26"/>
  <c r="J155" i="26"/>
  <c r="J87" i="26"/>
  <c r="J91" i="26" s="1"/>
  <c r="J92" i="26" s="1"/>
  <c r="I47" i="26"/>
  <c r="I50" i="26" s="1"/>
  <c r="I41" i="26"/>
  <c r="I155" i="26"/>
  <c r="F87" i="26"/>
  <c r="F91" i="26" s="1"/>
  <c r="F92" i="26" s="1"/>
  <c r="P155" i="26"/>
  <c r="P41" i="26"/>
  <c r="P47" i="26"/>
  <c r="P50" i="26" s="1"/>
  <c r="O87" i="26"/>
  <c r="O91" i="26" s="1"/>
  <c r="O92" i="26" s="1"/>
  <c r="F66" i="26"/>
  <c r="F41" i="26" s="1"/>
  <c r="G60" i="26"/>
  <c r="F65" i="26"/>
  <c r="F63" i="26"/>
  <c r="F67" i="26"/>
  <c r="C147" i="26"/>
  <c r="C145" i="26" s="1"/>
  <c r="C149" i="26" s="1"/>
  <c r="C84" i="26"/>
  <c r="C78" i="26" s="1"/>
  <c r="C93" i="26"/>
  <c r="C94" i="26" s="1"/>
  <c r="C56" i="26"/>
  <c r="E146" i="26"/>
  <c r="E150" i="26" s="1"/>
  <c r="E145" i="26"/>
  <c r="E149" i="26" s="1"/>
  <c r="E41" i="26"/>
  <c r="E155" i="26"/>
  <c r="E47" i="26"/>
  <c r="E50" i="26" s="1"/>
  <c r="M43" i="26"/>
  <c r="M144" i="26"/>
  <c r="M42" i="26"/>
  <c r="I87" i="26"/>
  <c r="I91" i="26" s="1"/>
  <c r="I92" i="26" s="1"/>
  <c r="R155" i="26"/>
  <c r="R41" i="26"/>
  <c r="R47" i="26"/>
  <c r="R50" i="26" s="1"/>
  <c r="G130" i="26"/>
  <c r="G34" i="26"/>
  <c r="L155" i="26"/>
  <c r="N98" i="26"/>
  <c r="N99" i="26"/>
  <c r="N103" i="26"/>
  <c r="N100" i="26"/>
  <c r="F144" i="26" l="1"/>
  <c r="F42" i="26"/>
  <c r="C47" i="26"/>
  <c r="C50" i="26" s="1"/>
  <c r="C41" i="26"/>
  <c r="C155" i="26"/>
  <c r="I98" i="26"/>
  <c r="I100" i="26"/>
  <c r="I99" i="26"/>
  <c r="I103" i="26"/>
  <c r="I129" i="26"/>
  <c r="C87" i="26"/>
  <c r="C91" i="26" s="1"/>
  <c r="C92" i="26" s="1"/>
  <c r="M130" i="26"/>
  <c r="M34" i="26"/>
  <c r="E99" i="26"/>
  <c r="E103" i="26"/>
  <c r="E100" i="26"/>
  <c r="E98" i="26"/>
  <c r="E129" i="26"/>
  <c r="G63" i="26"/>
  <c r="G66" i="26"/>
  <c r="G41" i="26" s="1"/>
  <c r="G67" i="26"/>
  <c r="G65" i="26"/>
  <c r="K43" i="26"/>
  <c r="K42" i="26"/>
  <c r="K144" i="26"/>
  <c r="E144" i="26"/>
  <c r="E42" i="26"/>
  <c r="E43" i="26"/>
  <c r="O42" i="26"/>
  <c r="O144" i="26"/>
  <c r="O43" i="26"/>
  <c r="I43" i="26"/>
  <c r="I42" i="26"/>
  <c r="I144" i="26"/>
  <c r="J42" i="26"/>
  <c r="J43" i="26"/>
  <c r="J144" i="26"/>
  <c r="D144" i="26"/>
  <c r="D42" i="26"/>
  <c r="D43" i="26"/>
  <c r="L99" i="26"/>
  <c r="L98" i="26"/>
  <c r="L100" i="26"/>
  <c r="L129" i="26"/>
  <c r="L103" i="26"/>
  <c r="K100" i="26"/>
  <c r="K98" i="26"/>
  <c r="K99" i="26"/>
  <c r="K129" i="26"/>
  <c r="K103" i="26"/>
  <c r="M102" i="26"/>
  <c r="M24" i="26" s="1"/>
  <c r="D98" i="26"/>
  <c r="D99" i="26"/>
  <c r="D100" i="26"/>
  <c r="D103" i="26"/>
  <c r="D129" i="26"/>
  <c r="O99" i="26"/>
  <c r="O100" i="26"/>
  <c r="O98" i="26"/>
  <c r="O102" i="26" s="1"/>
  <c r="O24" i="26" s="1"/>
  <c r="O103" i="26"/>
  <c r="O129" i="26"/>
  <c r="G33" i="26"/>
  <c r="G131" i="26"/>
  <c r="G132" i="26"/>
  <c r="F145" i="26"/>
  <c r="F149" i="26" s="1"/>
  <c r="F146" i="26"/>
  <c r="F150" i="26" s="1"/>
  <c r="P42" i="26"/>
  <c r="P144" i="26"/>
  <c r="P43" i="26"/>
  <c r="L144" i="26"/>
  <c r="L43" i="26"/>
  <c r="L42" i="26"/>
  <c r="G25" i="26"/>
  <c r="G107" i="26"/>
  <c r="G109" i="26" s="1"/>
  <c r="G111" i="26" s="1"/>
  <c r="G122" i="26"/>
  <c r="G128" i="26" s="1"/>
  <c r="N33" i="26"/>
  <c r="N131" i="26"/>
  <c r="N132" i="26"/>
  <c r="F98" i="26"/>
  <c r="F103" i="26"/>
  <c r="F99" i="26"/>
  <c r="F100" i="26"/>
  <c r="F129" i="26"/>
  <c r="N102" i="26"/>
  <c r="N24" i="26" s="1"/>
  <c r="R144" i="26"/>
  <c r="R43" i="26"/>
  <c r="R42" i="26"/>
  <c r="J100" i="26"/>
  <c r="J98" i="26"/>
  <c r="J99" i="26"/>
  <c r="J103" i="26"/>
  <c r="J129" i="26"/>
  <c r="R99" i="26"/>
  <c r="R100" i="26"/>
  <c r="R98" i="26"/>
  <c r="R103" i="26"/>
  <c r="R129" i="26"/>
  <c r="P99" i="26"/>
  <c r="P100" i="26"/>
  <c r="P103" i="26"/>
  <c r="P98" i="26"/>
  <c r="P129" i="26"/>
  <c r="I102" i="26" l="1"/>
  <c r="I24" i="26" s="1"/>
  <c r="J102" i="26"/>
  <c r="J24" i="26" s="1"/>
  <c r="J122" i="26" s="1"/>
  <c r="J128" i="26" s="1"/>
  <c r="F43" i="26"/>
  <c r="E102" i="26"/>
  <c r="E24" i="26" s="1"/>
  <c r="E25" i="26" s="1"/>
  <c r="O122" i="26"/>
  <c r="O128" i="26" s="1"/>
  <c r="O107" i="26"/>
  <c r="O109" i="26" s="1"/>
  <c r="O111" i="26" s="1"/>
  <c r="O25" i="26"/>
  <c r="J107" i="26"/>
  <c r="J109" i="26" s="1"/>
  <c r="J111" i="26" s="1"/>
  <c r="J25" i="26"/>
  <c r="E122" i="26"/>
  <c r="E128" i="26" s="1"/>
  <c r="E107" i="26"/>
  <c r="E109" i="26" s="1"/>
  <c r="E111" i="26" s="1"/>
  <c r="L102" i="26"/>
  <c r="L24" i="26" s="1"/>
  <c r="E34" i="26"/>
  <c r="E130" i="26"/>
  <c r="C100" i="26"/>
  <c r="C98" i="26"/>
  <c r="C99" i="26"/>
  <c r="C129" i="26"/>
  <c r="C103" i="26"/>
  <c r="G26" i="26"/>
  <c r="G152" i="26"/>
  <c r="R102" i="26"/>
  <c r="R24" i="26" s="1"/>
  <c r="O130" i="26"/>
  <c r="O34" i="26"/>
  <c r="K34" i="26"/>
  <c r="K130" i="26"/>
  <c r="P130" i="26"/>
  <c r="P34" i="26"/>
  <c r="P102" i="26"/>
  <c r="P24" i="26" s="1"/>
  <c r="K102" i="26"/>
  <c r="K24" i="26" s="1"/>
  <c r="C144" i="26"/>
  <c r="C42" i="26"/>
  <c r="C43" i="26"/>
  <c r="G113" i="26"/>
  <c r="G145" i="26"/>
  <c r="G149" i="26" s="1"/>
  <c r="G43" i="26" s="1"/>
  <c r="G146" i="26"/>
  <c r="G150" i="26" s="1"/>
  <c r="I130" i="26"/>
  <c r="I34" i="26"/>
  <c r="D34" i="26"/>
  <c r="D130" i="26"/>
  <c r="I25" i="26"/>
  <c r="I107" i="26"/>
  <c r="I109" i="26" s="1"/>
  <c r="I111" i="26"/>
  <c r="I122" i="26"/>
  <c r="I128" i="26" s="1"/>
  <c r="G138" i="26"/>
  <c r="G137" i="26" s="1"/>
  <c r="G127" i="26"/>
  <c r="M107" i="26"/>
  <c r="M109" i="26" s="1"/>
  <c r="M111" i="26" s="1"/>
  <c r="M25" i="26"/>
  <c r="M122" i="26"/>
  <c r="M128" i="26" s="1"/>
  <c r="L34" i="26"/>
  <c r="L130" i="26"/>
  <c r="M131" i="26"/>
  <c r="M33" i="26"/>
  <c r="M132" i="26"/>
  <c r="F102" i="26"/>
  <c r="F24" i="26" s="1"/>
  <c r="J130" i="26"/>
  <c r="J34" i="26"/>
  <c r="N32" i="26"/>
  <c r="N133" i="26"/>
  <c r="D102" i="26"/>
  <c r="D24" i="26" s="1"/>
  <c r="N122" i="26"/>
  <c r="N128" i="26" s="1"/>
  <c r="N107" i="26"/>
  <c r="N109" i="26" s="1"/>
  <c r="N111" i="26" s="1"/>
  <c r="N25" i="26"/>
  <c r="R34" i="26"/>
  <c r="R130" i="26"/>
  <c r="F130" i="26"/>
  <c r="F34" i="26"/>
  <c r="G32" i="26"/>
  <c r="G133" i="26"/>
  <c r="G42" i="26"/>
  <c r="G144" i="26"/>
  <c r="N26" i="26" l="1"/>
  <c r="N152" i="26"/>
  <c r="N113" i="26"/>
  <c r="J113" i="26"/>
  <c r="J26" i="26"/>
  <c r="J152" i="26"/>
  <c r="O26" i="26"/>
  <c r="O113" i="26"/>
  <c r="O152" i="26"/>
  <c r="E26" i="26"/>
  <c r="E152" i="26"/>
  <c r="E113" i="26"/>
  <c r="K122" i="26"/>
  <c r="K128" i="26" s="1"/>
  <c r="K107" i="26"/>
  <c r="K109" i="26" s="1"/>
  <c r="K111" i="26" s="1"/>
  <c r="K25" i="26"/>
  <c r="I131" i="26"/>
  <c r="I33" i="26"/>
  <c r="I132" i="26"/>
  <c r="F33" i="26"/>
  <c r="F131" i="26"/>
  <c r="F132" i="26"/>
  <c r="P122" i="26"/>
  <c r="P128" i="26" s="1"/>
  <c r="P107" i="26"/>
  <c r="P109" i="26" s="1"/>
  <c r="P111" i="26" s="1"/>
  <c r="P25" i="26"/>
  <c r="L122" i="26"/>
  <c r="L128" i="26" s="1"/>
  <c r="L107" i="26"/>
  <c r="L109" i="26" s="1"/>
  <c r="L111" i="26" s="1"/>
  <c r="L25" i="26"/>
  <c r="J127" i="26"/>
  <c r="J138" i="26"/>
  <c r="J137" i="26" s="1"/>
  <c r="R33" i="26"/>
  <c r="R131" i="26"/>
  <c r="R132" i="26"/>
  <c r="E33" i="26"/>
  <c r="E131" i="26"/>
  <c r="E132" i="26"/>
  <c r="K33" i="26"/>
  <c r="K131" i="26"/>
  <c r="K132" i="26"/>
  <c r="O127" i="26"/>
  <c r="O138" i="26"/>
  <c r="O137" i="26" s="1"/>
  <c r="R25" i="26"/>
  <c r="R107" i="26"/>
  <c r="R109" i="26" s="1"/>
  <c r="R111" i="26" s="1"/>
  <c r="R122" i="26"/>
  <c r="R128" i="26" s="1"/>
  <c r="L33" i="26"/>
  <c r="L131" i="26"/>
  <c r="L132" i="26"/>
  <c r="P131" i="26"/>
  <c r="P33" i="26"/>
  <c r="P132" i="26"/>
  <c r="G27" i="26"/>
  <c r="G134" i="26"/>
  <c r="G37" i="26" s="1"/>
  <c r="G135" i="26" s="1"/>
  <c r="M26" i="26"/>
  <c r="M152" i="26"/>
  <c r="M113" i="26"/>
  <c r="I127" i="26"/>
  <c r="I138" i="26"/>
  <c r="I137" i="26" s="1"/>
  <c r="N127" i="26"/>
  <c r="N138" i="26"/>
  <c r="J33" i="26"/>
  <c r="J131" i="26"/>
  <c r="J132" i="26"/>
  <c r="C34" i="26"/>
  <c r="C130" i="26"/>
  <c r="M133" i="26"/>
  <c r="M32" i="26"/>
  <c r="M138" i="26"/>
  <c r="M137" i="26" s="1"/>
  <c r="M127" i="26"/>
  <c r="D131" i="26"/>
  <c r="D33" i="26"/>
  <c r="D132" i="26"/>
  <c r="E138" i="26"/>
  <c r="E137" i="26" s="1"/>
  <c r="E127" i="26"/>
  <c r="G153" i="26"/>
  <c r="G154" i="26"/>
  <c r="I26" i="26"/>
  <c r="I113" i="26"/>
  <c r="I152" i="26"/>
  <c r="F122" i="26"/>
  <c r="F128" i="26" s="1"/>
  <c r="F107" i="26"/>
  <c r="F109" i="26" s="1"/>
  <c r="F111" i="26"/>
  <c r="F25" i="26"/>
  <c r="D25" i="26"/>
  <c r="D107" i="26"/>
  <c r="D109" i="26" s="1"/>
  <c r="D111" i="26" s="1"/>
  <c r="D122" i="26"/>
  <c r="D128" i="26" s="1"/>
  <c r="O131" i="26"/>
  <c r="O33" i="26"/>
  <c r="O132" i="26"/>
  <c r="C102" i="26"/>
  <c r="C24" i="26" s="1"/>
  <c r="P26" i="26" l="1"/>
  <c r="P113" i="26"/>
  <c r="P152" i="26"/>
  <c r="K26" i="26"/>
  <c r="K152" i="26"/>
  <c r="K113" i="26"/>
  <c r="R26" i="26"/>
  <c r="R113" i="26"/>
  <c r="R152" i="26"/>
  <c r="L26" i="26"/>
  <c r="L113" i="26"/>
  <c r="L152" i="26"/>
  <c r="G31" i="26"/>
  <c r="G30" i="26"/>
  <c r="R32" i="26"/>
  <c r="R133" i="26"/>
  <c r="J153" i="26"/>
  <c r="J154" i="26"/>
  <c r="D133" i="26"/>
  <c r="D32" i="26"/>
  <c r="P133" i="26"/>
  <c r="P32" i="26"/>
  <c r="O133" i="26"/>
  <c r="O32" i="26"/>
  <c r="L127" i="26"/>
  <c r="L138" i="26"/>
  <c r="L137" i="26" s="1"/>
  <c r="K127" i="26"/>
  <c r="K138" i="26"/>
  <c r="K137" i="26" s="1"/>
  <c r="P138" i="26"/>
  <c r="P137" i="26" s="1"/>
  <c r="P127" i="26"/>
  <c r="I32" i="26"/>
  <c r="I133" i="26"/>
  <c r="E27" i="26"/>
  <c r="E139" i="26" s="1"/>
  <c r="E140" i="26" s="1"/>
  <c r="E134" i="26"/>
  <c r="E37" i="26" s="1"/>
  <c r="E135" i="26" s="1"/>
  <c r="J27" i="26"/>
  <c r="J139" i="26" s="1"/>
  <c r="J140" i="26" s="1"/>
  <c r="J134" i="26"/>
  <c r="J37" i="26" s="1"/>
  <c r="J135" i="26" s="1"/>
  <c r="F133" i="26"/>
  <c r="F32" i="26"/>
  <c r="N137" i="26"/>
  <c r="I154" i="26"/>
  <c r="I153" i="26"/>
  <c r="C131" i="26"/>
  <c r="C33" i="26"/>
  <c r="C132" i="26"/>
  <c r="G139" i="26"/>
  <c r="G140" i="26" s="1"/>
  <c r="E153" i="26"/>
  <c r="E154" i="26"/>
  <c r="N27" i="26"/>
  <c r="N139" i="26" s="1"/>
  <c r="N140" i="26" s="1"/>
  <c r="N134" i="26"/>
  <c r="N37" i="26" s="1"/>
  <c r="N135" i="26" s="1"/>
  <c r="O27" i="26"/>
  <c r="O134" i="26"/>
  <c r="O37" i="26" s="1"/>
  <c r="O135" i="26" s="1"/>
  <c r="D26" i="26"/>
  <c r="D113" i="26"/>
  <c r="D152" i="26"/>
  <c r="J32" i="26"/>
  <c r="J133" i="26"/>
  <c r="M134" i="26"/>
  <c r="M37" i="26" s="1"/>
  <c r="M135" i="26" s="1"/>
  <c r="M27" i="26"/>
  <c r="R127" i="26"/>
  <c r="R138" i="26"/>
  <c r="R137" i="26" s="1"/>
  <c r="E32" i="26"/>
  <c r="E133" i="26"/>
  <c r="N154" i="26"/>
  <c r="N153" i="26"/>
  <c r="F138" i="26"/>
  <c r="F137" i="26" s="1"/>
  <c r="F127" i="26"/>
  <c r="F26" i="26"/>
  <c r="F152" i="26"/>
  <c r="F113" i="26"/>
  <c r="K133" i="26"/>
  <c r="K32" i="26"/>
  <c r="I134" i="26"/>
  <c r="I37" i="26" s="1"/>
  <c r="I135" i="26" s="1"/>
  <c r="I27" i="26"/>
  <c r="C122" i="26"/>
  <c r="C128" i="26" s="1"/>
  <c r="C25" i="26"/>
  <c r="C107" i="26"/>
  <c r="C109" i="26" s="1"/>
  <c r="C111" i="26" s="1"/>
  <c r="D138" i="26"/>
  <c r="D137" i="26" s="1"/>
  <c r="D127" i="26"/>
  <c r="M153" i="26"/>
  <c r="M154" i="26"/>
  <c r="L32" i="26"/>
  <c r="L133" i="26"/>
  <c r="O153" i="26"/>
  <c r="O154" i="26"/>
  <c r="C138" i="26" l="1"/>
  <c r="C137" i="26" s="1"/>
  <c r="C127" i="26"/>
  <c r="D154" i="26"/>
  <c r="D153" i="26"/>
  <c r="E31" i="26"/>
  <c r="E30" i="26"/>
  <c r="F27" i="26"/>
  <c r="F134" i="26"/>
  <c r="F37" i="26" s="1"/>
  <c r="F135" i="26" s="1"/>
  <c r="C26" i="26"/>
  <c r="C113" i="26"/>
  <c r="C152" i="26"/>
  <c r="D27" i="26"/>
  <c r="D139" i="26" s="1"/>
  <c r="D140" i="26" s="1"/>
  <c r="D134" i="26"/>
  <c r="D37" i="26" s="1"/>
  <c r="D135" i="26" s="1"/>
  <c r="G29" i="26"/>
  <c r="G39" i="26"/>
  <c r="G119" i="26"/>
  <c r="K27" i="26"/>
  <c r="K134" i="26"/>
  <c r="K37" i="26" s="1"/>
  <c r="K135" i="26" s="1"/>
  <c r="R134" i="26"/>
  <c r="R37" i="26" s="1"/>
  <c r="R135" i="26" s="1"/>
  <c r="R27" i="26"/>
  <c r="R139" i="26" s="1"/>
  <c r="R140" i="26" s="1"/>
  <c r="F154" i="26"/>
  <c r="F153" i="26"/>
  <c r="I30" i="26"/>
  <c r="I31" i="26"/>
  <c r="C32" i="26"/>
  <c r="C133" i="26"/>
  <c r="K154" i="26"/>
  <c r="K153" i="26"/>
  <c r="M31" i="26"/>
  <c r="M30" i="26"/>
  <c r="I139" i="26"/>
  <c r="I140" i="26" s="1"/>
  <c r="O31" i="26"/>
  <c r="O30" i="26"/>
  <c r="O139" i="26"/>
  <c r="O140" i="26" s="1"/>
  <c r="L134" i="26"/>
  <c r="L37" i="26" s="1"/>
  <c r="L135" i="26" s="1"/>
  <c r="L27" i="26"/>
  <c r="P153" i="26"/>
  <c r="P154" i="26"/>
  <c r="L154" i="26"/>
  <c r="L153" i="26"/>
  <c r="P134" i="26"/>
  <c r="P37" i="26" s="1"/>
  <c r="P135" i="26" s="1"/>
  <c r="P27" i="26"/>
  <c r="K139" i="26"/>
  <c r="K140" i="26" s="1"/>
  <c r="N31" i="26"/>
  <c r="N30" i="26"/>
  <c r="J31" i="26"/>
  <c r="J30" i="26"/>
  <c r="M139" i="26"/>
  <c r="M140" i="26" s="1"/>
  <c r="R154" i="26"/>
  <c r="R153" i="26"/>
  <c r="F31" i="26" l="1"/>
  <c r="F30" i="26"/>
  <c r="L30" i="26"/>
  <c r="L31" i="26"/>
  <c r="L139" i="26"/>
  <c r="L140" i="26" s="1"/>
  <c r="E39" i="26"/>
  <c r="E119" i="26"/>
  <c r="E29" i="26"/>
  <c r="I119" i="26"/>
  <c r="I39" i="26"/>
  <c r="I29" i="26"/>
  <c r="R30" i="26"/>
  <c r="R31" i="26"/>
  <c r="D30" i="26"/>
  <c r="D31" i="26"/>
  <c r="O119" i="26"/>
  <c r="O29" i="26"/>
  <c r="O39" i="26"/>
  <c r="C153" i="26"/>
  <c r="C154" i="26"/>
  <c r="J39" i="26"/>
  <c r="J29" i="26"/>
  <c r="J119" i="26"/>
  <c r="K31" i="26"/>
  <c r="K30" i="26"/>
  <c r="P30" i="26"/>
  <c r="P31" i="26"/>
  <c r="P139" i="26"/>
  <c r="P140" i="26" s="1"/>
  <c r="C27" i="26"/>
  <c r="C134" i="26"/>
  <c r="C37" i="26" s="1"/>
  <c r="C135" i="26" s="1"/>
  <c r="F139" i="26"/>
  <c r="F140" i="26" s="1"/>
  <c r="N119" i="26"/>
  <c r="N39" i="26"/>
  <c r="N29" i="26"/>
  <c r="M39" i="26"/>
  <c r="M119" i="26"/>
  <c r="M29" i="26"/>
  <c r="G38" i="26"/>
  <c r="G121" i="26"/>
  <c r="J38" i="26" l="1"/>
  <c r="J121" i="26"/>
  <c r="E38" i="26"/>
  <c r="E121" i="26"/>
  <c r="O38" i="26"/>
  <c r="O121" i="26"/>
  <c r="C31" i="26"/>
  <c r="C30" i="26"/>
  <c r="C139" i="26"/>
  <c r="C140" i="26" s="1"/>
  <c r="M38" i="26"/>
  <c r="M121" i="26"/>
  <c r="L39" i="26"/>
  <c r="L29" i="26"/>
  <c r="L119" i="26"/>
  <c r="P119" i="26"/>
  <c r="P29" i="26"/>
  <c r="P39" i="26"/>
  <c r="F29" i="26"/>
  <c r="F39" i="26"/>
  <c r="F119" i="26"/>
  <c r="N38" i="26"/>
  <c r="N121" i="26"/>
  <c r="D29" i="26"/>
  <c r="D119" i="26"/>
  <c r="D39" i="26"/>
  <c r="R119" i="26"/>
  <c r="R29" i="26"/>
  <c r="R39" i="26"/>
  <c r="K29" i="26"/>
  <c r="K39" i="26"/>
  <c r="K119" i="26"/>
  <c r="I121" i="26"/>
  <c r="I38" i="26"/>
  <c r="C29" i="26" l="1"/>
  <c r="C39" i="26"/>
  <c r="C119" i="26"/>
  <c r="D38" i="26"/>
  <c r="D121" i="26"/>
  <c r="F38" i="26"/>
  <c r="F121" i="26"/>
  <c r="P38" i="26"/>
  <c r="P121" i="26"/>
  <c r="L38" i="26"/>
  <c r="L121" i="26"/>
  <c r="R38" i="26"/>
  <c r="R121" i="26"/>
  <c r="K38" i="26"/>
  <c r="K121" i="26"/>
  <c r="C38" i="26" l="1"/>
  <c r="C121" i="26"/>
</calcChain>
</file>

<file path=xl/sharedStrings.xml><?xml version="1.0" encoding="utf-8"?>
<sst xmlns="http://schemas.openxmlformats.org/spreadsheetml/2006/main" count="267" uniqueCount="178">
  <si>
    <t>K</t>
  </si>
  <si>
    <t>JJ</t>
  </si>
  <si>
    <t>g</t>
  </si>
  <si>
    <t>PERFORMANCE SUMMARY</t>
  </si>
  <si>
    <t>Note: gray cells contain formulas, don't change!</t>
  </si>
  <si>
    <t>Photon Energy</t>
  </si>
  <si>
    <t>keV</t>
  </si>
  <si>
    <t>Electron Energy</t>
  </si>
  <si>
    <t>GeV</t>
  </si>
  <si>
    <t>Bunch Charge</t>
  </si>
  <si>
    <t>pC</t>
  </si>
  <si>
    <t>Repetition Rate</t>
  </si>
  <si>
    <t>Hz</t>
  </si>
  <si>
    <t>Peak Current</t>
  </si>
  <si>
    <t>A</t>
  </si>
  <si>
    <t>Average Electron Beam Power</t>
  </si>
  <si>
    <t>W</t>
  </si>
  <si>
    <t>Radiation Wavelength</t>
  </si>
  <si>
    <t>nm</t>
  </si>
  <si>
    <t>harmonic number</t>
  </si>
  <si>
    <r>
      <t>b</t>
    </r>
    <r>
      <rPr>
        <i/>
        <vertAlign val="subscript"/>
        <sz val="10"/>
        <rFont val="Arial"/>
        <family val="2"/>
      </rPr>
      <t>xy,ext</t>
    </r>
    <r>
      <rPr>
        <sz val="10"/>
        <rFont val="Arial"/>
        <family val="2"/>
      </rPr>
      <t xml:space="preserve"> (quad) (Used)</t>
    </r>
  </si>
  <si>
    <t>m</t>
  </si>
  <si>
    <r>
      <t>e</t>
    </r>
    <r>
      <rPr>
        <i/>
        <vertAlign val="subscript"/>
        <sz val="10"/>
        <rFont val="Arial"/>
        <family val="2"/>
      </rPr>
      <t>n</t>
    </r>
    <r>
      <rPr>
        <sz val="10"/>
        <rFont val="Arial"/>
        <family val="2"/>
      </rPr>
      <t xml:space="preserve"> (Used)</t>
    </r>
  </si>
  <si>
    <t>µm</t>
  </si>
  <si>
    <r>
      <t>s</t>
    </r>
    <r>
      <rPr>
        <vertAlign val="subscript"/>
        <sz val="10"/>
        <rFont val="Symbol"/>
        <family val="1"/>
        <charset val="2"/>
      </rPr>
      <t>g</t>
    </r>
    <r>
      <rPr>
        <sz val="10"/>
        <rFont val="Symbol"/>
        <family val="1"/>
        <charset val="2"/>
      </rPr>
      <t>/g</t>
    </r>
  </si>
  <si>
    <r>
      <t>x10</t>
    </r>
    <r>
      <rPr>
        <vertAlign val="superscript"/>
        <sz val="10"/>
        <rFont val="MS Sans Serif"/>
        <family val="2"/>
      </rPr>
      <t>-4</t>
    </r>
  </si>
  <si>
    <t xml:space="preserve">Longitudinal Bunch Shape (Flat-Top or Gaussian) </t>
  </si>
  <si>
    <t>Flat-Top</t>
  </si>
  <si>
    <r>
      <t>s</t>
    </r>
    <r>
      <rPr>
        <vertAlign val="subscript"/>
        <sz val="10"/>
        <rFont val="Arial"/>
        <family val="2"/>
      </rPr>
      <t>z</t>
    </r>
  </si>
  <si>
    <r>
      <t>L</t>
    </r>
    <r>
      <rPr>
        <i/>
        <vertAlign val="subscript"/>
        <sz val="10"/>
        <rFont val="Arial"/>
        <family val="2"/>
      </rPr>
      <t>G,3D</t>
    </r>
  </si>
  <si>
    <r>
      <t>r</t>
    </r>
    <r>
      <rPr>
        <sz val="10"/>
        <rFont val="Arial"/>
        <family val="2"/>
      </rPr>
      <t xml:space="preserve"> (3D)</t>
    </r>
  </si>
  <si>
    <r>
      <t>L</t>
    </r>
    <r>
      <rPr>
        <vertAlign val="subscript"/>
        <sz val="10"/>
        <rFont val="Arial"/>
        <family val="2"/>
      </rPr>
      <t>sat</t>
    </r>
    <r>
      <rPr>
        <sz val="10"/>
        <rFont val="Arial"/>
        <family val="2"/>
      </rPr>
      <t xml:space="preserve"> (Including Breaks)</t>
    </r>
  </si>
  <si>
    <t>Peak Coherent Power per Pulse</t>
  </si>
  <si>
    <t>GW</t>
  </si>
  <si>
    <t>Average FEL Energy Loss per Electron</t>
  </si>
  <si>
    <t>MeV</t>
  </si>
  <si>
    <r>
      <t>E</t>
    </r>
    <r>
      <rPr>
        <i/>
        <vertAlign val="subscript"/>
        <sz val="10"/>
        <rFont val="Arial"/>
        <family val="2"/>
      </rPr>
      <t>xray</t>
    </r>
    <r>
      <rPr>
        <sz val="10"/>
        <rFont val="Arial"/>
        <family val="2"/>
      </rPr>
      <t xml:space="preserve"> (Coherent energy per pulse)</t>
    </r>
  </si>
  <si>
    <t>mJ</t>
  </si>
  <si>
    <t>Average Coherent Power</t>
  </si>
  <si>
    <t>µrad</t>
  </si>
  <si>
    <r>
      <t>Rayley Length (</t>
    </r>
    <r>
      <rPr>
        <i/>
        <sz val="10"/>
        <rFont val="Arial"/>
        <family val="2"/>
      </rPr>
      <t>L</t>
    </r>
    <r>
      <rPr>
        <i/>
        <vertAlign val="subscript"/>
        <sz val="10"/>
        <rFont val="Arial"/>
        <family val="2"/>
      </rPr>
      <t>R</t>
    </r>
    <r>
      <rPr>
        <sz val="10"/>
        <rFont val="Arial"/>
        <family val="2"/>
      </rPr>
      <t>)</t>
    </r>
  </si>
  <si>
    <t>Absorber location after Undulator End</t>
  </si>
  <si>
    <t>FWHM Beam Size at Absorber</t>
  </si>
  <si>
    <t>mm</t>
  </si>
  <si>
    <t>Peak Coherent Photon Density at Absorber</t>
  </si>
  <si>
    <r>
      <t>photons/nm</t>
    </r>
    <r>
      <rPr>
        <vertAlign val="superscript"/>
        <sz val="10"/>
        <rFont val="MS Sans Serif"/>
        <family val="2"/>
      </rPr>
      <t>2</t>
    </r>
  </si>
  <si>
    <t>Density at Absorber</t>
  </si>
  <si>
    <r>
      <t>J/mm</t>
    </r>
    <r>
      <rPr>
        <vertAlign val="superscript"/>
        <sz val="10"/>
        <rFont val="Arial"/>
        <family val="2"/>
      </rPr>
      <t>2</t>
    </r>
  </si>
  <si>
    <t>Spontaneous Energy per Pulse</t>
  </si>
  <si>
    <t>Average Spontaneous Power</t>
  </si>
  <si>
    <r>
      <t>Incoherent Energy per mm</t>
    </r>
    <r>
      <rPr>
        <vertAlign val="superscript"/>
        <sz val="10"/>
        <rFont val="MS Sans Serif"/>
        <family val="2"/>
      </rPr>
      <t>2</t>
    </r>
    <r>
      <rPr>
        <sz val="10"/>
        <rFont val="Arial"/>
        <family val="2"/>
      </rPr>
      <t xml:space="preserve"> per pulse @absorber</t>
    </r>
  </si>
  <si>
    <t>UNDULATOR TYPES</t>
  </si>
  <si>
    <r>
      <t>Undulator gap (</t>
    </r>
    <r>
      <rPr>
        <i/>
        <sz val="10"/>
        <rFont val="Arial"/>
        <family val="2"/>
      </rPr>
      <t>g</t>
    </r>
    <r>
      <rPr>
        <sz val="10"/>
        <rFont val="Arial"/>
        <family val="2"/>
      </rPr>
      <t>)</t>
    </r>
  </si>
  <si>
    <r>
      <t>l</t>
    </r>
    <r>
      <rPr>
        <i/>
        <vertAlign val="subscript"/>
        <sz val="10"/>
        <rFont val="Arial"/>
        <family val="2"/>
      </rPr>
      <t>u</t>
    </r>
  </si>
  <si>
    <r>
      <t>k</t>
    </r>
    <r>
      <rPr>
        <vertAlign val="subscript"/>
        <sz val="10"/>
        <rFont val="Arial"/>
        <family val="2"/>
      </rPr>
      <t>u</t>
    </r>
  </si>
  <si>
    <r>
      <t>m</t>
    </r>
    <r>
      <rPr>
        <vertAlign val="superscript"/>
        <sz val="10"/>
        <rFont val="MS Sans Serif"/>
        <family val="2"/>
      </rPr>
      <t>-1</t>
    </r>
  </si>
  <si>
    <r>
      <t>g /</t>
    </r>
    <r>
      <rPr>
        <i/>
        <sz val="10"/>
        <rFont val="Symbol"/>
        <family val="1"/>
        <charset val="2"/>
      </rPr>
      <t>l</t>
    </r>
    <r>
      <rPr>
        <i/>
        <vertAlign val="subscript"/>
        <sz val="10"/>
        <rFont val="Arial"/>
        <family val="2"/>
      </rPr>
      <t>u</t>
    </r>
  </si>
  <si>
    <r>
      <t>B</t>
    </r>
    <r>
      <rPr>
        <vertAlign val="subscript"/>
        <sz val="10"/>
        <rFont val="MS Sans Serif"/>
        <family val="2"/>
      </rPr>
      <t>u</t>
    </r>
    <r>
      <rPr>
        <sz val="10"/>
        <rFont val="MS sans serif"/>
        <family val="2"/>
      </rPr>
      <t xml:space="preserve"> Correction (Br)</t>
    </r>
  </si>
  <si>
    <t>%</t>
  </si>
  <si>
    <r>
      <t>B</t>
    </r>
    <r>
      <rPr>
        <vertAlign val="subscript"/>
        <sz val="10"/>
        <rFont val="MS Sans Serif"/>
        <family val="2"/>
      </rPr>
      <t>u</t>
    </r>
    <r>
      <rPr>
        <sz val="10"/>
        <rFont val="MS sans serif"/>
        <family val="2"/>
      </rPr>
      <t xml:space="preserve"> Degradation (Gaps between Blocks)</t>
    </r>
  </si>
  <si>
    <r>
      <t>B</t>
    </r>
    <r>
      <rPr>
        <vertAlign val="subscript"/>
        <sz val="10"/>
        <rFont val="MS Sans Serif"/>
        <family val="2"/>
      </rPr>
      <t>u</t>
    </r>
    <r>
      <rPr>
        <sz val="10"/>
        <rFont val="MS sans serif"/>
        <family val="2"/>
      </rPr>
      <t xml:space="preserve"> Shimming Correction</t>
    </r>
  </si>
  <si>
    <t>helical</t>
  </si>
  <si>
    <r>
      <t>B</t>
    </r>
    <r>
      <rPr>
        <vertAlign val="subscript"/>
        <sz val="10"/>
        <rFont val="Arial"/>
        <family val="2"/>
      </rPr>
      <t>u</t>
    </r>
  </si>
  <si>
    <t>T</t>
  </si>
  <si>
    <t>UNDULATOR LINE PARAMETERS</t>
  </si>
  <si>
    <r>
      <t>N</t>
    </r>
    <r>
      <rPr>
        <vertAlign val="subscript"/>
        <sz val="10"/>
        <rFont val="Arial"/>
        <family val="2"/>
      </rPr>
      <t>seg</t>
    </r>
  </si>
  <si>
    <r>
      <t>N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seg</t>
    </r>
  </si>
  <si>
    <r>
      <t>L</t>
    </r>
    <r>
      <rPr>
        <vertAlign val="subscript"/>
        <sz val="10"/>
        <rFont val="Arial"/>
        <family val="2"/>
      </rPr>
      <t>seg</t>
    </r>
  </si>
  <si>
    <r>
      <t>L</t>
    </r>
    <r>
      <rPr>
        <vertAlign val="subscript"/>
        <sz val="10"/>
        <rFont val="Arial"/>
        <family val="2"/>
      </rPr>
      <t>u,mag</t>
    </r>
  </si>
  <si>
    <r>
      <t>L</t>
    </r>
    <r>
      <rPr>
        <vertAlign val="subscript"/>
        <sz val="10"/>
        <rFont val="Arial"/>
        <family val="2"/>
      </rPr>
      <t>break</t>
    </r>
  </si>
  <si>
    <r>
      <t>L</t>
    </r>
    <r>
      <rPr>
        <vertAlign val="subscript"/>
        <sz val="10"/>
        <rFont val="Arial"/>
        <family val="2"/>
      </rPr>
      <t>u,seg</t>
    </r>
  </si>
  <si>
    <r>
      <t>N</t>
    </r>
    <r>
      <rPr>
        <vertAlign val="subscript"/>
        <sz val="10"/>
        <rFont val="Arial"/>
        <family val="2"/>
      </rPr>
      <t>p</t>
    </r>
  </si>
  <si>
    <r>
      <t>L</t>
    </r>
    <r>
      <rPr>
        <vertAlign val="subscript"/>
        <sz val="10"/>
        <rFont val="Arial"/>
        <family val="2"/>
      </rPr>
      <t>u</t>
    </r>
  </si>
  <si>
    <t>ELECTRON BEAM PARAMETERS</t>
  </si>
  <si>
    <r>
      <t>L</t>
    </r>
    <r>
      <rPr>
        <vertAlign val="subscript"/>
        <sz val="10"/>
        <rFont val="Arial"/>
        <family val="2"/>
      </rPr>
      <t>FODO</t>
    </r>
  </si>
  <si>
    <t>|IG|</t>
  </si>
  <si>
    <r>
      <t>|f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>|</t>
    </r>
  </si>
  <si>
    <r>
      <t>b</t>
    </r>
    <r>
      <rPr>
        <i/>
        <vertAlign val="subscript"/>
        <sz val="10"/>
        <rFont val="Arial"/>
        <family val="2"/>
      </rPr>
      <t>xy,ext</t>
    </r>
    <r>
      <rPr>
        <i/>
        <sz val="10"/>
        <rFont val="Arial"/>
        <family val="2"/>
      </rPr>
      <t xml:space="preserve"> (quad)</t>
    </r>
  </si>
  <si>
    <r>
      <t>e</t>
    </r>
    <r>
      <rPr>
        <i/>
        <vertAlign val="subscript"/>
        <sz val="10"/>
        <rFont val="Arial"/>
        <family val="2"/>
      </rPr>
      <t>n</t>
    </r>
  </si>
  <si>
    <r>
      <t xml:space="preserve">Use LCLS </t>
    </r>
    <r>
      <rPr>
        <i/>
        <sz val="10"/>
        <rFont val="Symbol"/>
        <family val="1"/>
        <charset val="2"/>
      </rPr>
      <t>e</t>
    </r>
    <r>
      <rPr>
        <i/>
        <vertAlign val="subscript"/>
        <sz val="10"/>
        <rFont val="Arial"/>
        <family val="2"/>
      </rPr>
      <t>n</t>
    </r>
  </si>
  <si>
    <r>
      <t>s</t>
    </r>
    <r>
      <rPr>
        <i/>
        <vertAlign val="subscript"/>
        <sz val="10"/>
        <rFont val="Arial"/>
        <family val="2"/>
      </rPr>
      <t>x,y</t>
    </r>
  </si>
  <si>
    <r>
      <t>s</t>
    </r>
    <r>
      <rPr>
        <vertAlign val="subscript"/>
        <sz val="10"/>
        <rFont val="Symbol"/>
        <family val="1"/>
        <charset val="2"/>
      </rPr>
      <t>g</t>
    </r>
  </si>
  <si>
    <r>
      <t>B</t>
    </r>
    <r>
      <rPr>
        <sz val="10"/>
        <rFont val="Symbol"/>
        <family val="1"/>
        <charset val="2"/>
      </rPr>
      <t>r</t>
    </r>
  </si>
  <si>
    <t>Tm</t>
  </si>
  <si>
    <r>
      <t>N</t>
    </r>
    <r>
      <rPr>
        <vertAlign val="subscript"/>
        <sz val="10"/>
        <rFont val="Arial"/>
        <family val="2"/>
      </rPr>
      <t>e</t>
    </r>
  </si>
  <si>
    <r>
      <t>x10</t>
    </r>
    <r>
      <rPr>
        <vertAlign val="superscript"/>
        <sz val="10"/>
        <rFont val="MS Sans Serif"/>
        <family val="2"/>
      </rPr>
      <t>9</t>
    </r>
  </si>
  <si>
    <r>
      <t>b</t>
    </r>
    <r>
      <rPr>
        <i/>
        <vertAlign val="subscript"/>
        <sz val="10"/>
        <rFont val="Arial"/>
        <family val="2"/>
      </rPr>
      <t>xy</t>
    </r>
  </si>
  <si>
    <r>
      <t>P</t>
    </r>
    <r>
      <rPr>
        <vertAlign val="subscript"/>
        <sz val="10"/>
        <rFont val="Arial"/>
        <family val="2"/>
      </rPr>
      <t>Beam</t>
    </r>
  </si>
  <si>
    <r>
      <t>n</t>
    </r>
    <r>
      <rPr>
        <vertAlign val="subscript"/>
        <sz val="10"/>
        <rFont val="Arial"/>
        <family val="2"/>
      </rPr>
      <t>e</t>
    </r>
  </si>
  <si>
    <r>
      <t>10</t>
    </r>
    <r>
      <rPr>
        <vertAlign val="superscript"/>
        <sz val="10"/>
        <rFont val="Arial"/>
        <family val="2"/>
      </rPr>
      <t>22</t>
    </r>
    <r>
      <rPr>
        <sz val="10"/>
        <rFont val="Arial"/>
        <family val="2"/>
      </rPr>
      <t xml:space="preserve"> m</t>
    </r>
    <r>
      <rPr>
        <vertAlign val="superscript"/>
        <sz val="10"/>
        <rFont val="Arial"/>
        <family val="2"/>
      </rPr>
      <t>-3</t>
    </r>
  </si>
  <si>
    <t>1D FEL PARAMETERS</t>
  </si>
  <si>
    <r>
      <t>r</t>
    </r>
    <r>
      <rPr>
        <i/>
        <vertAlign val="subscript"/>
        <sz val="10"/>
        <rFont val="Arial"/>
        <family val="2"/>
      </rPr>
      <t>1D</t>
    </r>
  </si>
  <si>
    <r>
      <t>L</t>
    </r>
    <r>
      <rPr>
        <i/>
        <vertAlign val="subscript"/>
        <sz val="10"/>
        <rFont val="Arial"/>
        <family val="2"/>
      </rPr>
      <t>G,1D</t>
    </r>
  </si>
  <si>
    <t>x</t>
  </si>
  <si>
    <t>3D FEL CORRECTIONS</t>
  </si>
  <si>
    <r>
      <t>h</t>
    </r>
    <r>
      <rPr>
        <vertAlign val="subscript"/>
        <sz val="10"/>
        <rFont val="MS Sans Serif"/>
        <family val="2"/>
      </rPr>
      <t>d</t>
    </r>
  </si>
  <si>
    <r>
      <t>h</t>
    </r>
    <r>
      <rPr>
        <vertAlign val="subscript"/>
        <sz val="10"/>
        <rFont val="Symbol"/>
        <family val="1"/>
        <charset val="2"/>
      </rPr>
      <t>e</t>
    </r>
  </si>
  <si>
    <r>
      <t>h</t>
    </r>
    <r>
      <rPr>
        <vertAlign val="subscript"/>
        <sz val="10"/>
        <rFont val="Symbol"/>
        <family val="1"/>
        <charset val="2"/>
      </rPr>
      <t>g</t>
    </r>
  </si>
  <si>
    <r>
      <t>h</t>
    </r>
    <r>
      <rPr>
        <vertAlign val="subscript"/>
        <sz val="10"/>
        <rFont val="Symbol"/>
        <family val="1"/>
        <charset val="2"/>
      </rPr>
      <t>w</t>
    </r>
  </si>
  <si>
    <t>h</t>
  </si>
  <si>
    <r>
      <t>D</t>
    </r>
    <r>
      <rPr>
        <i/>
        <sz val="10"/>
        <rFont val="Arial"/>
        <family val="2"/>
      </rPr>
      <t>L</t>
    </r>
    <r>
      <rPr>
        <i/>
        <vertAlign val="subscript"/>
        <sz val="10"/>
        <rFont val="Arial"/>
        <family val="2"/>
      </rPr>
      <t>G</t>
    </r>
    <r>
      <rPr>
        <i/>
        <sz val="10"/>
        <rFont val="Arial"/>
        <family val="2"/>
      </rPr>
      <t>/L</t>
    </r>
    <r>
      <rPr>
        <i/>
        <vertAlign val="subscript"/>
        <sz val="10"/>
        <rFont val="Arial"/>
        <family val="2"/>
      </rPr>
      <t>G</t>
    </r>
  </si>
  <si>
    <t>3D FEL PARAMETERS</t>
  </si>
  <si>
    <r>
      <t>r</t>
    </r>
    <r>
      <rPr>
        <i/>
        <vertAlign val="subscript"/>
        <sz val="10"/>
        <rFont val="Arial"/>
        <family val="2"/>
      </rPr>
      <t>3D</t>
    </r>
  </si>
  <si>
    <t>Energy Correction</t>
  </si>
  <si>
    <r>
      <t>P</t>
    </r>
    <r>
      <rPr>
        <i/>
        <vertAlign val="subscript"/>
        <sz val="10"/>
        <rFont val="Arial"/>
        <family val="2"/>
      </rPr>
      <t>sat</t>
    </r>
  </si>
  <si>
    <t>Dn</t>
  </si>
  <si>
    <r>
      <t>10</t>
    </r>
    <r>
      <rPr>
        <vertAlign val="superscript"/>
        <sz val="10"/>
        <rFont val="Arial"/>
        <family val="2"/>
      </rPr>
      <t>12</t>
    </r>
    <r>
      <rPr>
        <sz val="10"/>
        <rFont val="Arial"/>
        <family val="2"/>
      </rPr>
      <t xml:space="preserve"> Hz</t>
    </r>
  </si>
  <si>
    <r>
      <t>L</t>
    </r>
    <r>
      <rPr>
        <vertAlign val="subscript"/>
        <sz val="10"/>
        <rFont val="Arial"/>
        <family val="2"/>
      </rPr>
      <t>sat</t>
    </r>
  </si>
  <si>
    <t>PostSat</t>
  </si>
  <si>
    <t>COHERENT X-RAY PULSE PARAMETERS</t>
  </si>
  <si>
    <r>
      <t>e</t>
    </r>
    <r>
      <rPr>
        <vertAlign val="subscript"/>
        <sz val="10"/>
        <rFont val="Arial"/>
        <family val="2"/>
      </rPr>
      <t>ph</t>
    </r>
  </si>
  <si>
    <t>pm</t>
  </si>
  <si>
    <t>After Burner Efficiency</t>
  </si>
  <si>
    <t>Coherent Photons per Pulse</t>
  </si>
  <si>
    <r>
      <t>x10</t>
    </r>
    <r>
      <rPr>
        <vertAlign val="superscript"/>
        <sz val="10"/>
        <rFont val="MS Sans Serif"/>
        <family val="2"/>
      </rPr>
      <t>12</t>
    </r>
  </si>
  <si>
    <t>Pulse Length (FWHM)</t>
  </si>
  <si>
    <t>fs</t>
  </si>
  <si>
    <t>Pulse Photon Rate</t>
  </si>
  <si>
    <r>
      <t>x10</t>
    </r>
    <r>
      <rPr>
        <vertAlign val="superscript"/>
        <sz val="10"/>
        <rFont val="MS Sans Serif"/>
        <family val="2"/>
      </rPr>
      <t>10</t>
    </r>
    <r>
      <rPr>
        <sz val="10"/>
        <rFont val="MS sans serif"/>
        <family val="2"/>
      </rPr>
      <t>/fs</t>
    </r>
  </si>
  <si>
    <r>
      <t xml:space="preserve">Cooperation Length = </t>
    </r>
    <r>
      <rPr>
        <i/>
        <sz val="10"/>
        <rFont val="Arial"/>
        <family val="2"/>
      </rPr>
      <t>4</t>
    </r>
    <r>
      <rPr>
        <i/>
        <sz val="10"/>
        <rFont val="Symbol"/>
        <family val="1"/>
        <charset val="2"/>
      </rPr>
      <t>p</t>
    </r>
    <r>
      <rPr>
        <i/>
        <sz val="10"/>
        <rFont val="Arial"/>
        <family val="2"/>
      </rPr>
      <t xml:space="preserve"> L</t>
    </r>
    <r>
      <rPr>
        <i/>
        <vertAlign val="subscript"/>
        <sz val="10"/>
        <rFont val="Arial"/>
        <family val="2"/>
      </rPr>
      <t>G</t>
    </r>
    <r>
      <rPr>
        <i/>
        <sz val="10"/>
        <rFont val="Arial"/>
        <family val="2"/>
      </rPr>
      <t xml:space="preserve"> </t>
    </r>
    <r>
      <rPr>
        <i/>
        <sz val="10"/>
        <rFont val="Symbol"/>
        <family val="1"/>
        <charset val="2"/>
      </rPr>
      <t>l</t>
    </r>
    <r>
      <rPr>
        <i/>
        <vertAlign val="subscript"/>
        <sz val="10"/>
        <rFont val="Arial"/>
        <family val="2"/>
      </rPr>
      <t>r</t>
    </r>
    <r>
      <rPr>
        <i/>
        <sz val="10"/>
        <rFont val="Arial"/>
        <family val="2"/>
      </rPr>
      <t>/</t>
    </r>
    <r>
      <rPr>
        <i/>
        <sz val="10"/>
        <rFont val="Symbol"/>
        <family val="1"/>
        <charset val="2"/>
      </rPr>
      <t>l</t>
    </r>
    <r>
      <rPr>
        <i/>
        <vertAlign val="subscript"/>
        <sz val="10"/>
        <rFont val="Arial"/>
        <family val="2"/>
      </rPr>
      <t>u</t>
    </r>
    <r>
      <rPr>
        <i/>
        <sz val="10"/>
        <rFont val="Arial"/>
        <family val="2"/>
      </rPr>
      <t>/c</t>
    </r>
  </si>
  <si>
    <t>Optimum Self-Seeding</t>
  </si>
  <si>
    <r>
      <t xml:space="preserve">Self-Seeding Monochromotor Bandwidth 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Dl</t>
    </r>
  </si>
  <si>
    <t>Slice Photon Bandwidth</t>
  </si>
  <si>
    <t>Longitudinal Coherence Length (FWHM)</t>
  </si>
  <si>
    <r>
      <t>s</t>
    </r>
    <r>
      <rPr>
        <i/>
        <vertAlign val="subscript"/>
        <sz val="10"/>
        <rFont val="Arial"/>
        <family val="2"/>
      </rPr>
      <t>D</t>
    </r>
  </si>
  <si>
    <r>
      <t>D</t>
    </r>
    <r>
      <rPr>
        <sz val="10"/>
        <rFont val="Arial"/>
        <family val="2"/>
      </rPr>
      <t>z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(Source position relative to end of last undulator)</t>
    </r>
  </si>
  <si>
    <t>RMS beam size at absorber</t>
  </si>
  <si>
    <t>Projected rms electron beam gamma spread</t>
  </si>
  <si>
    <t>Projected Photon Bandwidth (rms)</t>
  </si>
  <si>
    <r>
      <t>l</t>
    </r>
    <r>
      <rPr>
        <i/>
        <sz val="10"/>
        <rFont val="Arial"/>
        <family val="2"/>
      </rPr>
      <t>/</t>
    </r>
    <r>
      <rPr>
        <i/>
        <sz val="10"/>
        <rFont val="Symbol"/>
        <family val="1"/>
        <charset val="2"/>
      </rPr>
      <t>Dl</t>
    </r>
    <r>
      <rPr>
        <sz val="10"/>
        <rFont val="Arial"/>
        <family val="2"/>
      </rPr>
      <t xml:space="preserve"> (rms)</t>
    </r>
  </si>
  <si>
    <t>Peak Brightness</t>
  </si>
  <si>
    <r>
      <t>Ph/(s×mm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×mrad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×0.1%BW)</t>
    </r>
  </si>
  <si>
    <t>Average Brightness</t>
  </si>
  <si>
    <t>SPONTANEOUS X-RAY PULSE PARAMETERS (ALL WAVELENGTHS)</t>
  </si>
  <si>
    <t>Peak Spontaneous Power per Pulse</t>
  </si>
  <si>
    <r>
      <t>s</t>
    </r>
    <r>
      <rPr>
        <vertAlign val="subscript"/>
        <sz val="10"/>
        <rFont val="MS Sans Serif"/>
        <family val="2"/>
      </rPr>
      <t>ph,x</t>
    </r>
    <r>
      <rPr>
        <sz val="10"/>
        <rFont val="Arial"/>
        <family val="2"/>
      </rPr>
      <t xml:space="preserve"> (incoherent photon)</t>
    </r>
  </si>
  <si>
    <r>
      <t>s</t>
    </r>
    <r>
      <rPr>
        <vertAlign val="subscript"/>
        <sz val="10"/>
        <rFont val="MS Sans Serif"/>
        <family val="2"/>
      </rPr>
      <t>ph,y</t>
    </r>
    <r>
      <rPr>
        <sz val="10"/>
        <rFont val="Arial"/>
        <family val="2"/>
      </rPr>
      <t xml:space="preserve"> (incoherent photon)</t>
    </r>
  </si>
  <si>
    <r>
      <t>s</t>
    </r>
    <r>
      <rPr>
        <vertAlign val="subscript"/>
        <sz val="10"/>
        <rFont val="MS Sans Serif"/>
        <family val="2"/>
      </rPr>
      <t>ph,x'</t>
    </r>
    <r>
      <rPr>
        <sz val="10"/>
        <rFont val="Arial"/>
        <family val="2"/>
      </rPr>
      <t xml:space="preserve"> (incoherent photon)</t>
    </r>
  </si>
  <si>
    <r>
      <t>s</t>
    </r>
    <r>
      <rPr>
        <vertAlign val="subscript"/>
        <sz val="10"/>
        <rFont val="MS Sans Serif"/>
        <family val="2"/>
      </rPr>
      <t>ph,y'</t>
    </r>
    <r>
      <rPr>
        <sz val="10"/>
        <rFont val="Arial"/>
        <family val="2"/>
      </rPr>
      <t xml:space="preserve"> (incoherent photon)</t>
    </r>
  </si>
  <si>
    <r>
      <t>s</t>
    </r>
    <r>
      <rPr>
        <vertAlign val="subscript"/>
        <sz val="10"/>
        <rFont val="MS Sans Serif"/>
        <family val="2"/>
      </rPr>
      <t>ph,x</t>
    </r>
    <r>
      <rPr>
        <sz val="10"/>
        <rFont val="Arial"/>
        <family val="2"/>
      </rPr>
      <t xml:space="preserve"> (incoherent photon @ absorber)</t>
    </r>
  </si>
  <si>
    <r>
      <t>s</t>
    </r>
    <r>
      <rPr>
        <vertAlign val="subscript"/>
        <sz val="10"/>
        <rFont val="MS Sans Serif"/>
        <family val="2"/>
      </rPr>
      <t>ph,y</t>
    </r>
    <r>
      <rPr>
        <sz val="10"/>
        <rFont val="Arial"/>
        <family val="2"/>
      </rPr>
      <t xml:space="preserve"> (incoherent photon @ absorber)</t>
    </r>
  </si>
  <si>
    <r>
      <rPr>
        <sz val="10"/>
        <rFont val="Arial"/>
        <family val="2"/>
      </rPr>
      <t>d&lt;(</t>
    </r>
    <r>
      <rPr>
        <sz val="10"/>
        <rFont val="Symbol"/>
        <family val="1"/>
        <charset val="2"/>
      </rPr>
      <t>Dg</t>
    </r>
    <r>
      <rPr>
        <vertAlign val="subscript"/>
        <sz val="10"/>
        <rFont val="Arial"/>
        <family val="2"/>
      </rPr>
      <t>spont 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&gt;/dz</t>
    </r>
  </si>
  <si>
    <t>1/m</t>
  </si>
  <si>
    <r>
      <t>s</t>
    </r>
    <r>
      <rPr>
        <vertAlign val="subscript"/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,spont,@sat</t>
    </r>
  </si>
  <si>
    <r>
      <t>s</t>
    </r>
    <r>
      <rPr>
        <vertAlign val="subscript"/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,spont,@sat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1D</t>
    </r>
    <r>
      <rPr>
        <sz val="10"/>
        <rFont val="Symbol"/>
        <family val="1"/>
        <charset val="2"/>
      </rPr>
      <t>g</t>
    </r>
  </si>
  <si>
    <r>
      <t>s</t>
    </r>
    <r>
      <rPr>
        <vertAlign val="subscript"/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,spont,@sat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3D</t>
    </r>
    <r>
      <rPr>
        <sz val="10"/>
        <rFont val="Symbol"/>
        <family val="1"/>
        <charset val="2"/>
      </rPr>
      <t>g</t>
    </r>
  </si>
  <si>
    <r>
      <t>E</t>
    </r>
    <r>
      <rPr>
        <i/>
        <vertAlign val="subscript"/>
        <sz val="10"/>
        <rFont val="Arial"/>
        <family val="2"/>
      </rPr>
      <t>critical</t>
    </r>
  </si>
  <si>
    <t>PHYSICS CONSTANTS</t>
  </si>
  <si>
    <t>e</t>
  </si>
  <si>
    <t>C</t>
  </si>
  <si>
    <r>
      <t>r</t>
    </r>
    <r>
      <rPr>
        <vertAlign val="subscript"/>
        <sz val="10"/>
        <rFont val="Arial"/>
        <family val="2"/>
      </rPr>
      <t>e</t>
    </r>
  </si>
  <si>
    <r>
      <t>m</t>
    </r>
    <r>
      <rPr>
        <vertAlign val="subscript"/>
        <sz val="10"/>
        <rFont val="MS Sans Serif"/>
        <family val="2"/>
      </rPr>
      <t>e</t>
    </r>
    <r>
      <rPr>
        <sz val="10"/>
        <rFont val="Arial"/>
        <family val="2"/>
      </rPr>
      <t>c</t>
    </r>
    <r>
      <rPr>
        <vertAlign val="superscript"/>
        <sz val="10"/>
        <rFont val="MS Sans Serif"/>
        <family val="2"/>
      </rPr>
      <t>2</t>
    </r>
    <r>
      <rPr>
        <sz val="10"/>
        <rFont val="Arial"/>
        <family val="2"/>
      </rPr>
      <t>/e</t>
    </r>
  </si>
  <si>
    <t>hbar</t>
  </si>
  <si>
    <t>Js</t>
  </si>
  <si>
    <t>c</t>
  </si>
  <si>
    <t>m/s</t>
  </si>
  <si>
    <t>MW</t>
  </si>
  <si>
    <t>Seeding position (no breaks)</t>
  </si>
  <si>
    <t>Seed Power</t>
  </si>
  <si>
    <r>
      <t>s</t>
    </r>
    <r>
      <rPr>
        <i/>
        <vertAlign val="subscript"/>
        <sz val="10"/>
        <rFont val="Arial"/>
        <family val="2"/>
      </rPr>
      <t>x',</t>
    </r>
    <r>
      <rPr>
        <i/>
        <vertAlign val="subscript"/>
        <sz val="10"/>
        <rFont val="Symbol"/>
        <family val="1"/>
        <charset val="2"/>
      </rPr>
      <t>¥</t>
    </r>
    <r>
      <rPr>
        <sz val="10"/>
        <rFont val="Arial"/>
        <family val="2"/>
      </rPr>
      <t xml:space="preserve"> (rms far field divergence)</t>
    </r>
  </si>
  <si>
    <r>
      <t>s</t>
    </r>
    <r>
      <rPr>
        <i/>
        <vertAlign val="subscript"/>
        <sz val="10"/>
        <rFont val="Arial"/>
        <family val="2"/>
      </rPr>
      <t>x,z0</t>
    </r>
    <r>
      <rPr>
        <sz val="10"/>
        <rFont val="Arial"/>
        <family val="2"/>
      </rPr>
      <t xml:space="preserve"> (rms waist size)</t>
    </r>
  </si>
  <si>
    <r>
      <t>w</t>
    </r>
    <r>
      <rPr>
        <i/>
        <vertAlign val="subscript"/>
        <sz val="10"/>
        <rFont val="Arial"/>
        <family val="2"/>
      </rPr>
      <t>0</t>
    </r>
  </si>
  <si>
    <r>
      <t>s</t>
    </r>
    <r>
      <rPr>
        <vertAlign val="subscript"/>
        <sz val="10"/>
        <rFont val="Symbol"/>
        <family val="1"/>
        <charset val="2"/>
      </rPr>
      <t>g</t>
    </r>
    <r>
      <rPr>
        <sz val="10"/>
        <rFont val="Arial"/>
        <family val="2"/>
      </rPr>
      <t xml:space="preserve"> at 3000 A</t>
    </r>
  </si>
  <si>
    <r>
      <t>e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ph</t>
    </r>
  </si>
  <si>
    <r>
      <t>L</t>
    </r>
    <r>
      <rPr>
        <vertAlign val="subscript"/>
        <sz val="10"/>
        <rFont val="Arial"/>
        <family val="2"/>
      </rPr>
      <t>Quad</t>
    </r>
  </si>
  <si>
    <r>
      <t>L</t>
    </r>
    <r>
      <rPr>
        <vertAlign val="subscript"/>
        <sz val="10"/>
        <rFont val="Arial"/>
        <family val="2"/>
      </rPr>
      <t>postSat</t>
    </r>
  </si>
  <si>
    <r>
      <t>s</t>
    </r>
    <r>
      <rPr>
        <i/>
        <vertAlign val="subscript"/>
        <sz val="10"/>
        <rFont val="Arial"/>
        <family val="2"/>
      </rPr>
      <t>T',</t>
    </r>
    <r>
      <rPr>
        <i/>
        <vertAlign val="subscript"/>
        <sz val="10"/>
        <rFont val="Symbol"/>
        <family val="1"/>
        <charset val="2"/>
      </rPr>
      <t>¥</t>
    </r>
    <r>
      <rPr>
        <sz val="10"/>
        <rFont val="Arial"/>
        <family val="2"/>
      </rPr>
      <t xml:space="preserve"> =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r',</t>
    </r>
    <r>
      <rPr>
        <vertAlign val="subscript"/>
        <sz val="10"/>
        <rFont val="Symbol"/>
        <family val="1"/>
        <charset val="2"/>
      </rPr>
      <t>¥</t>
    </r>
    <r>
      <rPr>
        <sz val="10"/>
        <rFont val="Arial"/>
        <family val="2"/>
      </rPr>
      <t xml:space="preserve"> (rms far field divergence)</t>
    </r>
  </si>
  <si>
    <r>
      <t>Far Field FWHM Divergence (</t>
    </r>
    <r>
      <rPr>
        <i/>
        <sz val="10"/>
        <rFont val="Symbol"/>
        <family val="1"/>
        <charset val="2"/>
      </rPr>
      <t>q</t>
    </r>
    <r>
      <rPr>
        <i/>
        <vertAlign val="subscript"/>
        <sz val="10"/>
        <rFont val="Arial"/>
        <family val="2"/>
      </rPr>
      <t>FWHMx,,</t>
    </r>
    <r>
      <rPr>
        <i/>
        <vertAlign val="subscript"/>
        <sz val="10"/>
        <rFont val="Symbol"/>
        <family val="1"/>
        <charset val="2"/>
      </rPr>
      <t>¥</t>
    </r>
    <r>
      <rPr>
        <sz val="10"/>
        <rFont val="Arial"/>
        <family val="2"/>
      </rPr>
      <t>) at Saturation</t>
    </r>
  </si>
  <si>
    <r>
      <t>rms Waste Size (</t>
    </r>
    <r>
      <rPr>
        <i/>
        <sz val="10"/>
        <rFont val="Symbol"/>
        <family val="1"/>
        <charset val="2"/>
      </rPr>
      <t>s</t>
    </r>
    <r>
      <rPr>
        <i/>
        <vertAlign val="subscript"/>
        <sz val="10"/>
        <rFont val="Arial"/>
        <family val="2"/>
      </rPr>
      <t>x,z0</t>
    </r>
    <r>
      <rPr>
        <sz val="10"/>
        <rFont val="Arial"/>
        <family val="2"/>
      </rPr>
      <t>)</t>
    </r>
  </si>
  <si>
    <t>Pulse E</t>
  </si>
  <si>
    <t>Energy</t>
  </si>
  <si>
    <t>Num und</t>
  </si>
  <si>
    <t>Und period</t>
  </si>
  <si>
    <t>KPP</t>
  </si>
  <si>
    <t>150% emit</t>
  </si>
  <si>
    <t>HXR</t>
  </si>
  <si>
    <t>SXR</t>
  </si>
  <si>
    <t>Rep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</si>
</sst>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_(* #,##0.0_);_(* \(#,##0.0\);_(* &quot;-&quot;??_);_(@_)"/>
    <numFmt numFmtId="168" formatCode="0.0E+00"/>
    <numFmt numFmtId="169" formatCode="0.00000"/>
    <numFmt numFmtId="170" formatCode="0.000000"/>
    <numFmt numFmtId="171" formatCode="_(* #,##0.0000_);_(* \(#,##0.0000\);_(* &quot;-&quot;??_);_(@_)"/>
    <numFmt numFmtId="172" formatCode="_(* #,##0_);_(* \(#,##0\);_(* &quot;-&quot;??_);_(@_)"/>
    <numFmt numFmtId="173" formatCode="_(* #,##0.000_);_(* \(#,##0.000\);_(* &quot;-&quot;??_);_(@_)"/>
    <numFmt numFmtId="174" formatCode="0.000E+00"/>
    <numFmt numFmtId="175" formatCode="0.00000E+00"/>
    <numFmt numFmtId="176" formatCode="0.0000E+0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C000"/>
      <name val="Arial"/>
      <family val="2"/>
    </font>
    <font>
      <sz val="10"/>
      <color rgb="FF7030A0"/>
      <name val="Arial"/>
      <family val="2"/>
    </font>
    <font>
      <sz val="10"/>
      <color theme="1"/>
      <name val="Arial"/>
      <family val="2"/>
    </font>
    <font>
      <i/>
      <sz val="10"/>
      <name val="Symbol"/>
      <family val="1"/>
      <charset val="2"/>
    </font>
    <font>
      <i/>
      <vertAlign val="subscript"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  <font>
      <vertAlign val="superscript"/>
      <sz val="10"/>
      <name val="MS Sans Serif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sz val="10"/>
      <name val="MS sans serif"/>
      <family val="2"/>
    </font>
    <font>
      <vertAlign val="subscript"/>
      <sz val="10"/>
      <name val="MS Sans Serif"/>
      <family val="2"/>
    </font>
    <font>
      <sz val="10"/>
      <color theme="1"/>
      <name val="MS sans serif"/>
      <family val="2"/>
    </font>
    <font>
      <i/>
      <vertAlign val="subscript"/>
      <sz val="10"/>
      <name val="Symbol"/>
      <family val="1"/>
      <charset val="2"/>
    </font>
    <font>
      <sz val="11"/>
      <color theme="1"/>
      <name val="Calibri"/>
      <family val="2"/>
      <scheme val="minor"/>
    </font>
    <font>
      <b/>
      <sz val="10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1"/>
    <xf numFmtId="0" fontId="1" fillId="0" borderId="0" xfId="1" applyBorder="1" applyAlignment="1">
      <alignment horizontal="center"/>
    </xf>
    <xf numFmtId="0" fontId="2" fillId="2" borderId="0" xfId="1" applyFont="1" applyFill="1"/>
    <xf numFmtId="166" fontId="1" fillId="2" borderId="0" xfId="1" applyNumberFormat="1" applyFill="1" applyBorder="1" applyAlignment="1">
      <alignment horizontal="center"/>
    </xf>
    <xf numFmtId="0" fontId="1" fillId="2" borderId="0" xfId="1" applyFill="1"/>
    <xf numFmtId="0" fontId="3" fillId="3" borderId="0" xfId="1" applyFont="1" applyFill="1" applyAlignment="1">
      <alignment horizontal="left"/>
    </xf>
    <xf numFmtId="164" fontId="3" fillId="0" borderId="0" xfId="1" applyNumberFormat="1" applyFont="1" applyFill="1" applyBorder="1" applyAlignment="1"/>
    <xf numFmtId="0" fontId="3" fillId="3" borderId="0" xfId="1" applyFont="1" applyFill="1" applyAlignment="1"/>
    <xf numFmtId="0" fontId="3" fillId="0" borderId="0" xfId="1" applyFont="1"/>
    <xf numFmtId="0" fontId="1" fillId="3" borderId="0" xfId="1" applyFill="1" applyAlignment="1">
      <alignment horizontal="left"/>
    </xf>
    <xf numFmtId="2" fontId="4" fillId="0" borderId="0" xfId="1" applyNumberFormat="1" applyFont="1" applyFill="1" applyBorder="1" applyAlignment="1"/>
    <xf numFmtId="0" fontId="1" fillId="3" borderId="0" xfId="1" applyFill="1" applyAlignment="1"/>
    <xf numFmtId="0" fontId="1" fillId="3" borderId="0" xfId="1" applyFont="1" applyFill="1" applyAlignment="1">
      <alignment horizontal="left"/>
    </xf>
    <xf numFmtId="1" fontId="1" fillId="0" borderId="0" xfId="1" applyNumberFormat="1" applyBorder="1" applyAlignment="1"/>
    <xf numFmtId="1" fontId="1" fillId="3" borderId="0" xfId="1" applyNumberFormat="1" applyFill="1" applyBorder="1" applyAlignment="1"/>
    <xf numFmtId="0" fontId="1" fillId="0" borderId="0" xfId="1" applyAlignment="1"/>
    <xf numFmtId="164" fontId="1" fillId="3" borderId="0" xfId="1" applyNumberFormat="1" applyFill="1" applyBorder="1" applyAlignment="1">
      <alignment horizontal="right"/>
    </xf>
    <xf numFmtId="0" fontId="5" fillId="3" borderId="0" xfId="1" applyFont="1" applyFill="1" applyAlignment="1">
      <alignment horizontal="left"/>
    </xf>
    <xf numFmtId="2" fontId="1" fillId="3" borderId="0" xfId="1" applyNumberFormat="1" applyFill="1" applyBorder="1" applyAlignment="1"/>
    <xf numFmtId="0" fontId="7" fillId="3" borderId="0" xfId="1" applyFont="1" applyFill="1"/>
    <xf numFmtId="165" fontId="1" fillId="3" borderId="0" xfId="1" applyNumberFormat="1" applyFill="1" applyBorder="1"/>
    <xf numFmtId="1" fontId="1" fillId="0" borderId="0" xfId="1" applyNumberFormat="1" applyBorder="1" applyAlignment="1">
      <alignment horizontal="right"/>
    </xf>
    <xf numFmtId="0" fontId="7" fillId="3" borderId="0" xfId="1" applyFont="1" applyFill="1" applyAlignment="1">
      <alignment horizontal="left"/>
    </xf>
    <xf numFmtId="2" fontId="1" fillId="3" borderId="0" xfId="1" applyNumberFormat="1" applyFill="1" applyBorder="1" applyAlignment="1">
      <alignment horizontal="right"/>
    </xf>
    <xf numFmtId="0" fontId="1" fillId="0" borderId="0" xfId="1" applyBorder="1"/>
    <xf numFmtId="0" fontId="11" fillId="3" borderId="0" xfId="1" applyFont="1" applyFill="1" applyAlignment="1">
      <alignment horizontal="left"/>
    </xf>
    <xf numFmtId="164" fontId="1" fillId="3" borderId="0" xfId="1" applyNumberFormat="1" applyFill="1" applyBorder="1"/>
    <xf numFmtId="0" fontId="1" fillId="3" borderId="0" xfId="1" applyFill="1"/>
    <xf numFmtId="2" fontId="1" fillId="3" borderId="0" xfId="1" applyNumberFormat="1" applyFill="1" applyBorder="1"/>
    <xf numFmtId="166" fontId="1" fillId="3" borderId="0" xfId="1" applyNumberFormat="1" applyFill="1" applyBorder="1"/>
    <xf numFmtId="166" fontId="1" fillId="0" borderId="0" xfId="1" applyNumberFormat="1" applyBorder="1"/>
    <xf numFmtId="168" fontId="1" fillId="3" borderId="0" xfId="1" applyNumberFormat="1" applyFill="1" applyBorder="1"/>
    <xf numFmtId="164" fontId="1" fillId="2" borderId="0" xfId="1" applyNumberFormat="1" applyFill="1" applyBorder="1" applyAlignment="1">
      <alignment horizontal="right"/>
    </xf>
    <xf numFmtId="164" fontId="1" fillId="0" borderId="0" xfId="1" applyNumberFormat="1" applyBorder="1" applyAlignment="1">
      <alignment horizontal="right"/>
    </xf>
    <xf numFmtId="169" fontId="1" fillId="3" borderId="0" xfId="1" applyNumberFormat="1" applyFill="1" applyBorder="1" applyAlignment="1">
      <alignment horizontal="right"/>
    </xf>
    <xf numFmtId="0" fontId="13" fillId="3" borderId="0" xfId="1" applyFont="1" applyFill="1"/>
    <xf numFmtId="164" fontId="15" fillId="0" borderId="0" xfId="1" applyNumberFormat="1" applyFont="1" applyFill="1" applyBorder="1"/>
    <xf numFmtId="0" fontId="1" fillId="0" borderId="0" xfId="1" applyFont="1"/>
    <xf numFmtId="164" fontId="13" fillId="0" borderId="0" xfId="1" applyNumberFormat="1" applyFont="1" applyFill="1" applyBorder="1"/>
    <xf numFmtId="166" fontId="1" fillId="3" borderId="0" xfId="1" applyNumberFormat="1" applyFill="1" applyBorder="1" applyAlignment="1">
      <alignment horizontal="right"/>
    </xf>
    <xf numFmtId="1" fontId="1" fillId="2" borderId="0" xfId="1" applyNumberFormat="1" applyFill="1" applyBorder="1" applyAlignment="1">
      <alignment horizontal="right"/>
    </xf>
    <xf numFmtId="0" fontId="0" fillId="3" borderId="0" xfId="0" applyFill="1" applyAlignment="1">
      <alignment horizontal="left"/>
    </xf>
    <xf numFmtId="164" fontId="1" fillId="0" borderId="0" xfId="1" applyNumberFormat="1" applyBorder="1"/>
    <xf numFmtId="164" fontId="0" fillId="2" borderId="0" xfId="0" applyNumberFormat="1" applyFill="1" applyAlignment="1">
      <alignment horizontal="right"/>
    </xf>
    <xf numFmtId="0" fontId="1" fillId="3" borderId="0" xfId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0" fontId="1" fillId="2" borderId="0" xfId="0" applyFont="1" applyFill="1"/>
    <xf numFmtId="165" fontId="0" fillId="2" borderId="0" xfId="0" applyNumberFormat="1" applyFill="1" applyAlignment="1">
      <alignment horizontal="right"/>
    </xf>
    <xf numFmtId="2" fontId="0" fillId="4" borderId="0" xfId="0" applyNumberFormat="1" applyFill="1" applyAlignment="1"/>
    <xf numFmtId="1" fontId="0" fillId="0" borderId="0" xfId="0" applyNumberFormat="1" applyAlignment="1">
      <alignment horizontal="right"/>
    </xf>
    <xf numFmtId="165" fontId="0" fillId="3" borderId="0" xfId="0" applyNumberFormat="1" applyFill="1" applyAlignment="1">
      <alignment horizontal="right"/>
    </xf>
    <xf numFmtId="0" fontId="1" fillId="3" borderId="0" xfId="1" applyFont="1" applyFill="1" applyAlignment="1"/>
    <xf numFmtId="1" fontId="1" fillId="3" borderId="0" xfId="1" applyNumberForma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2" fontId="0" fillId="3" borderId="0" xfId="0" applyNumberFormat="1" applyFill="1" applyAlignment="1">
      <alignment horizontal="right"/>
    </xf>
    <xf numFmtId="169" fontId="1" fillId="0" borderId="0" xfId="1" applyNumberFormat="1" applyBorder="1" applyAlignment="1">
      <alignment horizontal="right"/>
    </xf>
    <xf numFmtId="170" fontId="1" fillId="3" borderId="0" xfId="1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" fontId="0" fillId="3" borderId="0" xfId="0" applyNumberFormat="1" applyFill="1" applyAlignment="1"/>
    <xf numFmtId="165" fontId="1" fillId="3" borderId="0" xfId="1" applyNumberFormat="1" applyFill="1" applyBorder="1" applyAlignment="1">
      <alignment horizontal="right"/>
    </xf>
    <xf numFmtId="171" fontId="1" fillId="0" borderId="0" xfId="1" applyNumberFormat="1" applyBorder="1"/>
    <xf numFmtId="172" fontId="0" fillId="0" borderId="0" xfId="2" applyNumberFormat="1" applyFont="1" applyFill="1" applyBorder="1" applyAlignment="1"/>
    <xf numFmtId="0" fontId="1" fillId="3" borderId="0" xfId="1" applyFont="1" applyFill="1"/>
    <xf numFmtId="165" fontId="1" fillId="3" borderId="0" xfId="1" applyNumberFormat="1" applyFill="1" applyBorder="1" applyAlignment="1"/>
    <xf numFmtId="172" fontId="0" fillId="3" borderId="0" xfId="2" applyNumberFormat="1" applyFont="1" applyFill="1" applyBorder="1" applyAlignment="1">
      <alignment horizontal="right"/>
    </xf>
    <xf numFmtId="168" fontId="1" fillId="3" borderId="0" xfId="1" applyNumberFormat="1" applyFill="1" applyBorder="1" applyAlignment="1">
      <alignment horizontal="right"/>
    </xf>
    <xf numFmtId="168" fontId="4" fillId="3" borderId="0" xfId="1" applyNumberFormat="1" applyFont="1" applyFill="1" applyBorder="1" applyAlignment="1">
      <alignment horizontal="right"/>
    </xf>
    <xf numFmtId="43" fontId="0" fillId="0" borderId="0" xfId="2" applyNumberFormat="1" applyFont="1" applyFill="1" applyBorder="1" applyAlignment="1">
      <alignment horizontal="right"/>
    </xf>
    <xf numFmtId="0" fontId="7" fillId="3" borderId="0" xfId="0" applyFont="1" applyFill="1"/>
    <xf numFmtId="164" fontId="0" fillId="3" borderId="0" xfId="0" applyNumberFormat="1" applyFill="1" applyAlignment="1">
      <alignment horizontal="right"/>
    </xf>
    <xf numFmtId="174" fontId="13" fillId="3" borderId="0" xfId="1" applyNumberFormat="1" applyFont="1" applyFill="1" applyBorder="1" applyAlignment="1">
      <alignment horizontal="right"/>
    </xf>
    <xf numFmtId="175" fontId="1" fillId="3" borderId="0" xfId="1" applyNumberFormat="1" applyFill="1" applyBorder="1" applyAlignment="1">
      <alignment horizontal="right"/>
    </xf>
    <xf numFmtId="0" fontId="13" fillId="3" borderId="0" xfId="1" applyFont="1" applyFill="1" applyBorder="1" applyAlignment="1">
      <alignment horizontal="right"/>
    </xf>
    <xf numFmtId="176" fontId="13" fillId="3" borderId="0" xfId="1" applyNumberFormat="1" applyFont="1" applyFill="1" applyBorder="1" applyAlignment="1">
      <alignment horizontal="right"/>
    </xf>
    <xf numFmtId="167" fontId="0" fillId="0" borderId="0" xfId="2" applyNumberFormat="1" applyFont="1" applyFill="1" applyAlignment="1"/>
    <xf numFmtId="164" fontId="0" fillId="0" borderId="0" xfId="0" applyNumberFormat="1" applyFill="1" applyAlignment="1"/>
    <xf numFmtId="172" fontId="0" fillId="0" borderId="0" xfId="2" applyNumberFormat="1" applyFont="1" applyFill="1" applyAlignment="1"/>
    <xf numFmtId="173" fontId="0" fillId="0" borderId="0" xfId="2" applyNumberFormat="1" applyFont="1" applyFill="1" applyAlignment="1"/>
    <xf numFmtId="0" fontId="1" fillId="3" borderId="0" xfId="0" applyFont="1" applyFill="1"/>
    <xf numFmtId="0" fontId="11" fillId="2" borderId="0" xfId="1" applyFont="1" applyFill="1" applyAlignment="1">
      <alignment horizontal="left"/>
    </xf>
    <xf numFmtId="165" fontId="1" fillId="2" borderId="0" xfId="1" applyNumberFormat="1" applyFill="1" applyBorder="1"/>
    <xf numFmtId="165" fontId="1" fillId="0" borderId="0" xfId="1" applyNumberFormat="1" applyBorder="1"/>
    <xf numFmtId="166" fontId="1" fillId="2" borderId="0" xfId="1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2" fontId="1" fillId="0" borderId="0" xfId="1" applyNumberFormat="1" applyBorder="1" applyAlignment="1">
      <alignment horizontal="right"/>
    </xf>
    <xf numFmtId="2" fontId="1" fillId="2" borderId="0" xfId="1" applyNumberFormat="1" applyFill="1" applyBorder="1" applyAlignment="1">
      <alignment horizontal="center"/>
    </xf>
    <xf numFmtId="0" fontId="1" fillId="0" borderId="0" xfId="1" applyFill="1" applyAlignment="1"/>
    <xf numFmtId="0" fontId="1" fillId="0" borderId="0" xfId="1" applyFont="1" applyFill="1" applyAlignment="1"/>
    <xf numFmtId="164" fontId="0" fillId="0" borderId="0" xfId="0" applyNumberFormat="1" applyAlignment="1">
      <alignment horizontal="right"/>
    </xf>
    <xf numFmtId="164" fontId="1" fillId="2" borderId="0" xfId="1" applyNumberFormat="1" applyFont="1" applyFill="1"/>
    <xf numFmtId="166" fontId="0" fillId="3" borderId="0" xfId="0" applyNumberFormat="1" applyFill="1" applyAlignment="1"/>
    <xf numFmtId="171" fontId="0" fillId="3" borderId="0" xfId="2" applyNumberFormat="1" applyFont="1" applyFill="1" applyBorder="1" applyAlignment="1">
      <alignment horizontal="right"/>
    </xf>
    <xf numFmtId="2" fontId="1" fillId="3" borderId="0" xfId="1" applyNumberFormat="1" applyFont="1" applyFill="1" applyBorder="1"/>
    <xf numFmtId="165" fontId="1" fillId="3" borderId="0" xfId="1" applyNumberFormat="1" applyFont="1" applyFill="1" applyBorder="1" applyAlignment="1">
      <alignment horizontal="right"/>
    </xf>
    <xf numFmtId="1" fontId="1" fillId="3" borderId="0" xfId="1" applyNumberFormat="1" applyFont="1" applyFill="1" applyBorder="1"/>
    <xf numFmtId="0" fontId="1" fillId="5" borderId="0" xfId="1" applyFill="1" applyBorder="1" applyAlignment="1">
      <alignment horizontal="center"/>
    </xf>
    <xf numFmtId="166" fontId="1" fillId="5" borderId="0" xfId="1" applyNumberFormat="1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166" fontId="1" fillId="6" borderId="0" xfId="1" applyNumberFormat="1" applyFill="1" applyBorder="1" applyAlignment="1">
      <alignment horizontal="center"/>
    </xf>
    <xf numFmtId="0" fontId="1" fillId="7" borderId="0" xfId="1" applyFill="1" applyBorder="1" applyAlignment="1">
      <alignment horizontal="center"/>
    </xf>
    <xf numFmtId="166" fontId="1" fillId="7" borderId="0" xfId="1" applyNumberFormat="1" applyFill="1" applyBorder="1" applyAlignment="1">
      <alignment horizontal="center"/>
    </xf>
    <xf numFmtId="0" fontId="1" fillId="5" borderId="0" xfId="1" applyFill="1" applyBorder="1"/>
    <xf numFmtId="164" fontId="18" fillId="3" borderId="0" xfId="1" applyNumberFormat="1" applyFont="1" applyFill="1" applyBorder="1" applyAlignment="1">
      <alignment horizontal="right"/>
    </xf>
    <xf numFmtId="164" fontId="18" fillId="3" borderId="0" xfId="1" applyNumberFormat="1" applyFont="1" applyFill="1" applyBorder="1"/>
    <xf numFmtId="165" fontId="18" fillId="3" borderId="0" xfId="1" applyNumberFormat="1" applyFont="1" applyFill="1" applyBorder="1" applyAlignment="1">
      <alignment horizontal="right"/>
    </xf>
    <xf numFmtId="2" fontId="18" fillId="3" borderId="0" xfId="1" applyNumberFormat="1" applyFont="1" applyFill="1" applyBorder="1"/>
    <xf numFmtId="0" fontId="1" fillId="8" borderId="1" xfId="1" applyFill="1" applyBorder="1"/>
    <xf numFmtId="172" fontId="4" fillId="8" borderId="2" xfId="3" applyNumberFormat="1" applyFont="1" applyFill="1" applyBorder="1" applyAlignment="1"/>
    <xf numFmtId="0" fontId="1" fillId="8" borderId="3" xfId="1" applyFill="1" applyBorder="1"/>
    <xf numFmtId="0" fontId="1" fillId="8" borderId="4" xfId="1" applyFill="1" applyBorder="1"/>
  </cellXfs>
  <cellStyles count="4">
    <cellStyle name="Comma" xfId="3" builtinId="3"/>
    <cellStyle name="Comm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7"/>
  <sheetViews>
    <sheetView tabSelected="1" zoomScale="90" zoomScaleNormal="90" workbookViewId="0">
      <selection activeCell="C32" sqref="C32"/>
    </sheetView>
  </sheetViews>
  <sheetFormatPr baseColWidth="10" defaultColWidth="9.1640625" defaultRowHeight="13"/>
  <cols>
    <col min="1" max="1" width="47" style="1" customWidth="1"/>
    <col min="2" max="2" width="8.83203125" style="1" customWidth="1"/>
    <col min="3" max="7" width="12.6640625" style="25" customWidth="1"/>
    <col min="8" max="8" width="4.33203125" style="25" customWidth="1"/>
    <col min="9" max="16" width="11.83203125" style="25" customWidth="1"/>
    <col min="17" max="17" width="3.5" style="25" customWidth="1"/>
    <col min="18" max="18" width="12.5" style="25" customWidth="1"/>
    <col min="19" max="19" width="4.83203125" style="25" customWidth="1"/>
    <col min="20" max="16384" width="9.1640625" style="1"/>
  </cols>
  <sheetData>
    <row r="1" spans="1:19">
      <c r="B1" s="107" t="s">
        <v>177</v>
      </c>
      <c r="C1" s="108">
        <v>93000</v>
      </c>
    </row>
    <row r="2" spans="1:19" ht="14" thickBot="1">
      <c r="B2" s="109" t="s">
        <v>10</v>
      </c>
      <c r="C2" s="110">
        <v>60</v>
      </c>
    </row>
    <row r="3" spans="1:19">
      <c r="B3" s="25"/>
    </row>
    <row r="4" spans="1:19">
      <c r="A4" s="1" t="s">
        <v>3</v>
      </c>
      <c r="C4" s="102" t="s">
        <v>176</v>
      </c>
      <c r="D4" s="96" t="s">
        <v>172</v>
      </c>
      <c r="E4" s="96">
        <v>39</v>
      </c>
      <c r="F4" s="2"/>
      <c r="G4" s="2"/>
      <c r="H4" s="2"/>
      <c r="I4" s="98" t="s">
        <v>175</v>
      </c>
      <c r="J4" s="98" t="s">
        <v>172</v>
      </c>
      <c r="K4" s="98">
        <v>26</v>
      </c>
      <c r="L4" s="2"/>
      <c r="M4" s="2"/>
      <c r="N4" s="2"/>
      <c r="O4" s="2"/>
      <c r="P4" s="2"/>
      <c r="Q4" s="2"/>
      <c r="R4" s="100"/>
      <c r="S4" s="2"/>
    </row>
    <row r="5" spans="1:19">
      <c r="C5" s="102"/>
      <c r="D5" s="96" t="s">
        <v>170</v>
      </c>
      <c r="E5" s="96">
        <v>3.9</v>
      </c>
      <c r="F5" s="2"/>
      <c r="G5" s="2"/>
      <c r="H5" s="2"/>
      <c r="I5" s="98"/>
      <c r="J5" s="98" t="s">
        <v>170</v>
      </c>
      <c r="K5" s="98">
        <v>4</v>
      </c>
      <c r="L5" s="2"/>
      <c r="M5" s="2"/>
      <c r="N5" s="2"/>
      <c r="O5" s="2"/>
      <c r="P5" s="2"/>
      <c r="Q5" s="2"/>
      <c r="R5" s="100" t="s">
        <v>173</v>
      </c>
      <c r="S5" s="2"/>
    </row>
    <row r="6" spans="1:19">
      <c r="A6" s="3" t="s">
        <v>4</v>
      </c>
      <c r="B6" s="5"/>
      <c r="C6" s="102"/>
      <c r="D6" s="97" t="s">
        <v>171</v>
      </c>
      <c r="E6" s="97">
        <v>19</v>
      </c>
      <c r="F6" s="4"/>
      <c r="G6" s="4"/>
      <c r="H6" s="4"/>
      <c r="I6" s="99"/>
      <c r="J6" s="99" t="s">
        <v>171</v>
      </c>
      <c r="K6" s="99">
        <v>30</v>
      </c>
      <c r="L6" s="4"/>
      <c r="M6" s="4"/>
      <c r="N6" s="4"/>
      <c r="O6" s="4"/>
      <c r="P6" s="4"/>
      <c r="Q6" s="4"/>
      <c r="R6" s="101" t="s">
        <v>174</v>
      </c>
      <c r="S6" s="4"/>
    </row>
    <row r="7" spans="1:19">
      <c r="A7" s="3"/>
      <c r="B7" s="5"/>
      <c r="C7" s="86" t="s">
        <v>169</v>
      </c>
      <c r="D7" s="86" t="s">
        <v>169</v>
      </c>
      <c r="E7" s="86" t="s">
        <v>169</v>
      </c>
      <c r="F7" s="86" t="s">
        <v>169</v>
      </c>
      <c r="G7" s="86" t="s">
        <v>169</v>
      </c>
      <c r="H7" s="86"/>
      <c r="I7" s="86" t="s">
        <v>169</v>
      </c>
      <c r="J7" s="86" t="s">
        <v>169</v>
      </c>
      <c r="K7" s="86" t="s">
        <v>169</v>
      </c>
      <c r="L7" s="86" t="s">
        <v>169</v>
      </c>
      <c r="M7" s="86" t="s">
        <v>169</v>
      </c>
      <c r="N7" s="86" t="s">
        <v>169</v>
      </c>
      <c r="O7" s="86" t="s">
        <v>169</v>
      </c>
      <c r="P7" s="86" t="s">
        <v>169</v>
      </c>
      <c r="Q7" s="86"/>
      <c r="R7" s="86" t="s">
        <v>169</v>
      </c>
      <c r="S7" s="86"/>
    </row>
    <row r="8" spans="1:19" s="9" customFormat="1">
      <c r="A8" s="6" t="s">
        <v>5</v>
      </c>
      <c r="B8" s="8" t="s">
        <v>6</v>
      </c>
      <c r="C8" s="7">
        <v>0.25</v>
      </c>
      <c r="D8" s="7">
        <v>0.5</v>
      </c>
      <c r="E8" s="7">
        <v>0.75</v>
      </c>
      <c r="F8" s="7">
        <v>1</v>
      </c>
      <c r="G8" s="7">
        <v>1.25</v>
      </c>
      <c r="H8" s="7"/>
      <c r="I8" s="7">
        <v>1</v>
      </c>
      <c r="J8" s="7">
        <v>1.5</v>
      </c>
      <c r="K8" s="7">
        <v>2</v>
      </c>
      <c r="L8" s="7">
        <v>3</v>
      </c>
      <c r="M8" s="7">
        <v>4</v>
      </c>
      <c r="N8" s="7">
        <v>4.5</v>
      </c>
      <c r="O8" s="7">
        <v>5</v>
      </c>
      <c r="P8" s="7">
        <v>5.5</v>
      </c>
      <c r="Q8" s="7"/>
      <c r="R8" s="7">
        <v>5</v>
      </c>
      <c r="S8" s="7"/>
    </row>
    <row r="9" spans="1:19" s="9" customFormat="1">
      <c r="A9" s="6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10" t="s">
        <v>7</v>
      </c>
      <c r="B10" s="12" t="s">
        <v>8</v>
      </c>
      <c r="C10" s="11">
        <f>$K$5</f>
        <v>4</v>
      </c>
      <c r="D10" s="11">
        <f>$K$5</f>
        <v>4</v>
      </c>
      <c r="E10" s="11">
        <v>4</v>
      </c>
      <c r="F10" s="11">
        <f>$K$5</f>
        <v>4</v>
      </c>
      <c r="G10" s="11">
        <v>4</v>
      </c>
      <c r="H10" s="11"/>
      <c r="I10" s="11">
        <v>3.5</v>
      </c>
      <c r="J10" s="11">
        <f>$K$5</f>
        <v>4</v>
      </c>
      <c r="K10" s="11">
        <f t="shared" ref="K10:P10" si="0">$K$5</f>
        <v>4</v>
      </c>
      <c r="L10" s="11">
        <f t="shared" si="0"/>
        <v>4</v>
      </c>
      <c r="M10" s="11">
        <f t="shared" si="0"/>
        <v>4</v>
      </c>
      <c r="N10" s="11">
        <f t="shared" si="0"/>
        <v>4</v>
      </c>
      <c r="O10" s="11">
        <f t="shared" si="0"/>
        <v>4</v>
      </c>
      <c r="P10" s="11">
        <f t="shared" si="0"/>
        <v>4</v>
      </c>
      <c r="Q10" s="11"/>
      <c r="R10" s="11">
        <v>4</v>
      </c>
      <c r="S10" s="11"/>
    </row>
    <row r="11" spans="1:19">
      <c r="A11" s="13" t="s">
        <v>9</v>
      </c>
      <c r="B11" s="12" t="s">
        <v>10</v>
      </c>
      <c r="C11" s="15">
        <f>$C$2</f>
        <v>60</v>
      </c>
      <c r="D11" s="15">
        <f t="shared" ref="D11:N11" si="1">$C$2</f>
        <v>60</v>
      </c>
      <c r="E11" s="15">
        <f t="shared" si="1"/>
        <v>60</v>
      </c>
      <c r="F11" s="15">
        <f t="shared" si="1"/>
        <v>60</v>
      </c>
      <c r="G11" s="15">
        <f t="shared" si="1"/>
        <v>60</v>
      </c>
      <c r="H11" s="15"/>
      <c r="I11" s="15">
        <f t="shared" si="1"/>
        <v>60</v>
      </c>
      <c r="J11" s="15">
        <f t="shared" si="1"/>
        <v>60</v>
      </c>
      <c r="K11" s="15">
        <f t="shared" si="1"/>
        <v>60</v>
      </c>
      <c r="L11" s="15">
        <f t="shared" si="1"/>
        <v>60</v>
      </c>
      <c r="M11" s="15">
        <f t="shared" si="1"/>
        <v>60</v>
      </c>
      <c r="N11" s="15">
        <f t="shared" si="1"/>
        <v>60</v>
      </c>
      <c r="O11" s="14">
        <v>20</v>
      </c>
      <c r="P11" s="14">
        <v>10</v>
      </c>
      <c r="Q11" s="14"/>
      <c r="R11" s="14">
        <v>20</v>
      </c>
      <c r="S11" s="14"/>
    </row>
    <row r="12" spans="1:19">
      <c r="A12" s="10" t="s">
        <v>11</v>
      </c>
      <c r="B12" s="12" t="s">
        <v>12</v>
      </c>
      <c r="C12" s="15">
        <f>$C$1</f>
        <v>93000</v>
      </c>
      <c r="D12" s="15">
        <f t="shared" ref="D12:P12" si="2">$C$1</f>
        <v>93000</v>
      </c>
      <c r="E12" s="15">
        <f t="shared" si="2"/>
        <v>93000</v>
      </c>
      <c r="F12" s="15">
        <f t="shared" si="2"/>
        <v>93000</v>
      </c>
      <c r="G12" s="15">
        <f t="shared" si="2"/>
        <v>93000</v>
      </c>
      <c r="H12" s="15"/>
      <c r="I12" s="15">
        <f t="shared" si="2"/>
        <v>93000</v>
      </c>
      <c r="J12" s="15">
        <f t="shared" si="2"/>
        <v>93000</v>
      </c>
      <c r="K12" s="15">
        <f t="shared" si="2"/>
        <v>93000</v>
      </c>
      <c r="L12" s="15">
        <f t="shared" si="2"/>
        <v>93000</v>
      </c>
      <c r="M12" s="15">
        <f t="shared" si="2"/>
        <v>93000</v>
      </c>
      <c r="N12" s="15">
        <f t="shared" si="2"/>
        <v>93000</v>
      </c>
      <c r="O12" s="15">
        <f t="shared" si="2"/>
        <v>93000</v>
      </c>
      <c r="P12" s="15">
        <f t="shared" si="2"/>
        <v>93000</v>
      </c>
      <c r="Q12" s="15"/>
      <c r="R12" s="15">
        <f t="shared" ref="R12" si="3">MIN(900000,120000/R10/R11*1000)</f>
        <v>900000</v>
      </c>
      <c r="S12" s="15"/>
    </row>
    <row r="13" spans="1:19">
      <c r="A13" s="10" t="s">
        <v>13</v>
      </c>
      <c r="B13" s="12" t="s">
        <v>14</v>
      </c>
      <c r="C13" s="15">
        <f t="shared" ref="C13:G13" si="4">400+MIN(C11*5,400)</f>
        <v>700</v>
      </c>
      <c r="D13" s="15">
        <f t="shared" si="4"/>
        <v>700</v>
      </c>
      <c r="E13" s="15">
        <f t="shared" si="4"/>
        <v>700</v>
      </c>
      <c r="F13" s="15">
        <f t="shared" si="4"/>
        <v>700</v>
      </c>
      <c r="G13" s="15">
        <f t="shared" si="4"/>
        <v>700</v>
      </c>
      <c r="H13" s="15"/>
      <c r="I13" s="15">
        <f t="shared" ref="I13:P13" si="5">400+MIN(I11*5,400)</f>
        <v>700</v>
      </c>
      <c r="J13" s="15">
        <f t="shared" si="5"/>
        <v>700</v>
      </c>
      <c r="K13" s="15">
        <f t="shared" si="5"/>
        <v>700</v>
      </c>
      <c r="L13" s="15">
        <f t="shared" si="5"/>
        <v>700</v>
      </c>
      <c r="M13" s="15">
        <f t="shared" si="5"/>
        <v>700</v>
      </c>
      <c r="N13" s="15">
        <f t="shared" si="5"/>
        <v>700</v>
      </c>
      <c r="O13" s="15">
        <f t="shared" si="5"/>
        <v>500</v>
      </c>
      <c r="P13" s="15">
        <f t="shared" si="5"/>
        <v>450</v>
      </c>
      <c r="Q13" s="15"/>
      <c r="R13" s="15">
        <f t="shared" ref="R13" si="6">400+MIN(R11*5,400)</f>
        <v>500</v>
      </c>
      <c r="S13" s="15"/>
    </row>
    <row r="14" spans="1:19">
      <c r="A14" s="10" t="s">
        <v>15</v>
      </c>
      <c r="B14" s="12" t="s">
        <v>16</v>
      </c>
      <c r="C14" s="15">
        <f>C10*C12*C11/10^3</f>
        <v>22320</v>
      </c>
      <c r="D14" s="15">
        <f>D10*D12*D11/10^3</f>
        <v>22320</v>
      </c>
      <c r="E14" s="15">
        <f>E10*E12*E11/10^3</f>
        <v>22320</v>
      </c>
      <c r="F14" s="15">
        <f>F10*F12*F11/10^3</f>
        <v>22320</v>
      </c>
      <c r="G14" s="15">
        <f>G10*G12*G11/10^3</f>
        <v>22320</v>
      </c>
      <c r="H14" s="15"/>
      <c r="I14" s="15">
        <f>I10*I12*I11/10^3</f>
        <v>19530</v>
      </c>
      <c r="J14" s="15">
        <f t="shared" ref="J14:P14" si="7">J10*J12*J11/10^3</f>
        <v>22320</v>
      </c>
      <c r="K14" s="15">
        <f t="shared" si="7"/>
        <v>22320</v>
      </c>
      <c r="L14" s="15">
        <f t="shared" si="7"/>
        <v>22320</v>
      </c>
      <c r="M14" s="15">
        <f t="shared" si="7"/>
        <v>22320</v>
      </c>
      <c r="N14" s="15">
        <f t="shared" si="7"/>
        <v>22320</v>
      </c>
      <c r="O14" s="15">
        <f t="shared" si="7"/>
        <v>7440</v>
      </c>
      <c r="P14" s="15">
        <f t="shared" si="7"/>
        <v>3720</v>
      </c>
      <c r="Q14" s="15"/>
      <c r="R14" s="15">
        <f t="shared" ref="R14" si="8">R10*R12*R11/10^3</f>
        <v>72000</v>
      </c>
      <c r="S14" s="15"/>
    </row>
    <row r="15" spans="1:19">
      <c r="B15" s="16"/>
    </row>
    <row r="16" spans="1:19" hidden="1">
      <c r="A16" s="10" t="s">
        <v>17</v>
      </c>
      <c r="B16" s="12" t="s">
        <v>18</v>
      </c>
      <c r="C16" s="17">
        <f>(2*PI()*C162*C163)/(C8*C159)*10^-3*10^9</f>
        <v>4.9593697442968239</v>
      </c>
      <c r="D16" s="17">
        <f>(2*PI()*D162*D163)/(D8*D159)*10^-3*10^9</f>
        <v>2.4796848721484119</v>
      </c>
      <c r="E16" s="17">
        <f>(2*PI()*E162*E163)/(E8*E159)*10^-3*10^9</f>
        <v>1.6531232480989415</v>
      </c>
      <c r="F16" s="17">
        <f>(2*PI()*F162*F163)/(F8*F159)*10^-3*10^9</f>
        <v>1.239842436074206</v>
      </c>
      <c r="G16" s="17">
        <f>(2*PI()*G162*G163)/(G8*G159)*10^-3*10^9</f>
        <v>0.99187394885936475</v>
      </c>
      <c r="H16" s="17"/>
      <c r="I16" s="17">
        <f>(2*PI()*I162*I163)/(I8*I159)*10^-3*10^9</f>
        <v>1.239842436074206</v>
      </c>
      <c r="J16" s="17">
        <f t="shared" ref="J16:P16" si="9">(2*PI()*J162*J163)/(J8*J159)*10^-3*10^9</f>
        <v>0.82656162404947076</v>
      </c>
      <c r="K16" s="17">
        <f t="shared" si="9"/>
        <v>0.61992121803710298</v>
      </c>
      <c r="L16" s="17">
        <f t="shared" si="9"/>
        <v>0.41328081202473538</v>
      </c>
      <c r="M16" s="17">
        <f t="shared" si="9"/>
        <v>0.30996060901855149</v>
      </c>
      <c r="N16" s="17">
        <f t="shared" si="9"/>
        <v>0.27552054134982351</v>
      </c>
      <c r="O16" s="17">
        <f t="shared" si="9"/>
        <v>0.24796848721484119</v>
      </c>
      <c r="P16" s="17">
        <f t="shared" si="9"/>
        <v>0.22542589746803743</v>
      </c>
      <c r="Q16" s="17"/>
      <c r="R16" s="17">
        <f t="shared" ref="R16" si="10">(2*PI()*R162*R163)/(R8*R159)*10^-3*10^9</f>
        <v>0.24796848721484119</v>
      </c>
      <c r="S16" s="17"/>
    </row>
    <row r="17" spans="1:19" hidden="1">
      <c r="A17" s="10" t="s">
        <v>19</v>
      </c>
      <c r="B17" s="12"/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4"/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/>
      <c r="R17" s="14">
        <v>1</v>
      </c>
      <c r="S17" s="14"/>
    </row>
    <row r="18" spans="1:19" ht="15" hidden="1">
      <c r="A18" s="18" t="s">
        <v>20</v>
      </c>
      <c r="B18" s="12" t="s">
        <v>21</v>
      </c>
      <c r="C18" s="91">
        <f>C74</f>
        <v>27.106050841741691</v>
      </c>
      <c r="D18" s="91">
        <f>D74</f>
        <v>27.106050841741691</v>
      </c>
      <c r="E18" s="91">
        <f>E74</f>
        <v>27.106050841741691</v>
      </c>
      <c r="F18" s="91">
        <f>F74</f>
        <v>27.106050841741691</v>
      </c>
      <c r="G18" s="91">
        <f>G74</f>
        <v>27.106050841741691</v>
      </c>
      <c r="H18" s="91"/>
      <c r="I18" s="91">
        <f>I74</f>
        <v>12.61435393606904</v>
      </c>
      <c r="J18" s="91">
        <f t="shared" ref="J18:P18" si="11">J74</f>
        <v>14.149161613868824</v>
      </c>
      <c r="K18" s="91">
        <f t="shared" si="11"/>
        <v>14.149161613868824</v>
      </c>
      <c r="L18" s="91">
        <f t="shared" si="11"/>
        <v>14.149161613868824</v>
      </c>
      <c r="M18" s="91">
        <f t="shared" si="11"/>
        <v>14.149161613868824</v>
      </c>
      <c r="N18" s="91">
        <f t="shared" si="11"/>
        <v>14.149161613868824</v>
      </c>
      <c r="O18" s="91">
        <f t="shared" si="11"/>
        <v>14.149161613868824</v>
      </c>
      <c r="P18" s="91">
        <f t="shared" si="11"/>
        <v>14.149161613868824</v>
      </c>
      <c r="Q18" s="91"/>
      <c r="R18" s="91">
        <v>27</v>
      </c>
      <c r="S18" s="91"/>
    </row>
    <row r="19" spans="1:19" ht="15" hidden="1">
      <c r="A19" s="18" t="s">
        <v>22</v>
      </c>
      <c r="B19" s="12" t="s">
        <v>23</v>
      </c>
      <c r="C19" s="19">
        <f>C11^0.4/20</f>
        <v>0.25717603983775211</v>
      </c>
      <c r="D19" s="19">
        <f t="shared" ref="D19:G19" si="12">D11^0.4/20</f>
        <v>0.25717603983775211</v>
      </c>
      <c r="E19" s="19">
        <f t="shared" si="12"/>
        <v>0.25717603983775211</v>
      </c>
      <c r="F19" s="19">
        <f t="shared" si="12"/>
        <v>0.25717603983775211</v>
      </c>
      <c r="G19" s="19">
        <f t="shared" si="12"/>
        <v>0.25717603983775211</v>
      </c>
      <c r="H19" s="19"/>
      <c r="I19" s="19">
        <f t="shared" ref="I19:P19" si="13">I11^0.4/20</f>
        <v>0.25717603983775211</v>
      </c>
      <c r="J19" s="19">
        <f t="shared" si="13"/>
        <v>0.25717603983775211</v>
      </c>
      <c r="K19" s="19">
        <f t="shared" si="13"/>
        <v>0.25717603983775211</v>
      </c>
      <c r="L19" s="19">
        <f t="shared" si="13"/>
        <v>0.25717603983775211</v>
      </c>
      <c r="M19" s="19">
        <f t="shared" si="13"/>
        <v>0.25717603983775211</v>
      </c>
      <c r="N19" s="19">
        <f t="shared" si="13"/>
        <v>0.25717603983775211</v>
      </c>
      <c r="O19" s="19">
        <f t="shared" si="13"/>
        <v>0.16572270086699933</v>
      </c>
      <c r="P19" s="19">
        <f t="shared" si="13"/>
        <v>0.12559432157547903</v>
      </c>
      <c r="Q19" s="19"/>
      <c r="R19" s="19">
        <f>R11^0.4/15*1.5</f>
        <v>0.33144540173399867</v>
      </c>
      <c r="S19" s="19"/>
    </row>
    <row r="20" spans="1:19" ht="17" hidden="1">
      <c r="A20" s="20" t="s">
        <v>24</v>
      </c>
      <c r="B20" s="12" t="s">
        <v>25</v>
      </c>
      <c r="C20" s="27">
        <f>C80/C81*10000+200000/4000000000*10000</f>
        <v>1.3942483550000002</v>
      </c>
      <c r="D20" s="27">
        <f>D80/D81*10000+200000/4000000000*10000</f>
        <v>1.3942483550000002</v>
      </c>
      <c r="E20" s="27">
        <f>E80/E81*10000+200000/4000000000*10000</f>
        <v>1.3942483550000002</v>
      </c>
      <c r="F20" s="27">
        <f>F80/F81*10000+200000/4000000000*10000</f>
        <v>1.3942483550000002</v>
      </c>
      <c r="G20" s="27">
        <f>G80/G81*10000+200000/4000000000*10000</f>
        <v>1.3942483550000002</v>
      </c>
      <c r="H20" s="27"/>
      <c r="I20" s="27">
        <f t="shared" ref="I20:P20" si="14">I80/I81*10000+200000/4000000000*10000</f>
        <v>1.5219981200000001</v>
      </c>
      <c r="J20" s="27">
        <f t="shared" si="14"/>
        <v>1.3942483550000002</v>
      </c>
      <c r="K20" s="27">
        <f t="shared" si="14"/>
        <v>1.3942483550000002</v>
      </c>
      <c r="L20" s="27">
        <f t="shared" si="14"/>
        <v>1.3942483550000002</v>
      </c>
      <c r="M20" s="27">
        <f t="shared" si="14"/>
        <v>1.3942483550000002</v>
      </c>
      <c r="N20" s="27">
        <f t="shared" si="14"/>
        <v>1.3942483550000002</v>
      </c>
      <c r="O20" s="27">
        <f t="shared" si="14"/>
        <v>1.138748825</v>
      </c>
      <c r="P20" s="27">
        <f t="shared" si="14"/>
        <v>1.0748739425</v>
      </c>
      <c r="Q20" s="27"/>
      <c r="R20" s="27">
        <f t="shared" ref="R20" si="15">R80/R81*10000+200000/4000000000*10000</f>
        <v>1.138748825</v>
      </c>
      <c r="S20" s="27"/>
    </row>
    <row r="21" spans="1:19" hidden="1">
      <c r="A21" s="10" t="s">
        <v>26</v>
      </c>
      <c r="B21" s="12"/>
      <c r="C21" s="22" t="s">
        <v>27</v>
      </c>
      <c r="D21" s="22" t="s">
        <v>27</v>
      </c>
      <c r="E21" s="22" t="s">
        <v>27</v>
      </c>
      <c r="F21" s="22" t="s">
        <v>27</v>
      </c>
      <c r="G21" s="22" t="s">
        <v>27</v>
      </c>
      <c r="H21" s="22"/>
      <c r="I21" s="22" t="s">
        <v>27</v>
      </c>
      <c r="J21" s="22" t="s">
        <v>27</v>
      </c>
      <c r="K21" s="22" t="s">
        <v>27</v>
      </c>
      <c r="L21" s="22" t="s">
        <v>27</v>
      </c>
      <c r="M21" s="22" t="s">
        <v>27</v>
      </c>
      <c r="N21" s="22" t="s">
        <v>27</v>
      </c>
      <c r="O21" s="22" t="s">
        <v>27</v>
      </c>
      <c r="P21" s="22" t="s">
        <v>27</v>
      </c>
      <c r="Q21" s="22"/>
      <c r="R21" s="22" t="s">
        <v>27</v>
      </c>
      <c r="S21" s="22"/>
    </row>
    <row r="22" spans="1:19" ht="15" hidden="1">
      <c r="A22" s="23" t="s">
        <v>28</v>
      </c>
      <c r="B22" s="12" t="s">
        <v>23</v>
      </c>
      <c r="C22" s="24">
        <f>C163*(C11*10^-12)/C13/SQRT(IF(C21="Flat-Top",12,2*PI()))*10^6</f>
        <v>7.4179395568851261</v>
      </c>
      <c r="D22" s="24">
        <f>D163*(D11*10^-12)/D13/SQRT(IF(D21="Flat-Top",12,2*PI()))*10^6</f>
        <v>7.4179395568851261</v>
      </c>
      <c r="E22" s="24">
        <f>E163*(E11*10^-12)/E13/SQRT(IF(E21="Flat-Top",12,2*PI()))*10^6</f>
        <v>7.4179395568851261</v>
      </c>
      <c r="F22" s="24">
        <f>F163*(F11*10^-12)/F13/SQRT(IF(F21="Flat-Top",12,2*PI()))*10^6</f>
        <v>7.4179395568851261</v>
      </c>
      <c r="G22" s="24">
        <f>G163*(G11*10^-12)/G13/SQRT(IF(G21="Flat-Top",12,2*PI()))*10^6</f>
        <v>7.4179395568851261</v>
      </c>
      <c r="H22" s="24"/>
      <c r="I22" s="24">
        <f>I163*(I11*10^-12)/I13/SQRT(IF(I21="Flat-Top",12,2*PI()))*10^6</f>
        <v>7.4179395568851261</v>
      </c>
      <c r="J22" s="24">
        <f t="shared" ref="J22:P22" si="16">J163*(J11*10^-12)/J13/SQRT(IF(J21="Flat-Top",12,2*PI()))*10^6</f>
        <v>7.4179395568851261</v>
      </c>
      <c r="K22" s="24">
        <f t="shared" si="16"/>
        <v>7.4179395568851261</v>
      </c>
      <c r="L22" s="24">
        <f t="shared" si="16"/>
        <v>7.4179395568851261</v>
      </c>
      <c r="M22" s="24">
        <f t="shared" si="16"/>
        <v>7.4179395568851261</v>
      </c>
      <c r="N22" s="24">
        <f t="shared" si="16"/>
        <v>7.4179395568851261</v>
      </c>
      <c r="O22" s="24">
        <f t="shared" si="16"/>
        <v>3.4617051265463918</v>
      </c>
      <c r="P22" s="24">
        <f t="shared" si="16"/>
        <v>1.923169514747995</v>
      </c>
      <c r="Q22" s="24"/>
      <c r="R22" s="24">
        <f t="shared" ref="R22" si="17">R163*(R11*10^-12)/R13/SQRT(IF(R21="Flat-Top",12,2*PI()))*10^6</f>
        <v>3.4617051265463918</v>
      </c>
      <c r="S22" s="24"/>
    </row>
    <row r="23" spans="1:19" hidden="1">
      <c r="B23" s="16"/>
    </row>
    <row r="24" spans="1:19" ht="15" hidden="1">
      <c r="A24" s="26" t="s">
        <v>29</v>
      </c>
      <c r="B24" s="12" t="s">
        <v>21</v>
      </c>
      <c r="C24" s="27">
        <f>C92*(1+C102)*(1+C103)</f>
        <v>1.4270769745106446</v>
      </c>
      <c r="D24" s="27">
        <f>D92*(1+D102)*(1+D103)</f>
        <v>1.7792076758372479</v>
      </c>
      <c r="E24" s="27">
        <f>E92*(1+E102)*(1+E103)</f>
        <v>2.0403365401097866</v>
      </c>
      <c r="F24" s="27">
        <f>F92*(1+F102)*(1+F103)</f>
        <v>2.2642100887146128</v>
      </c>
      <c r="G24" s="27">
        <f>G92*(1+G102)*(1+G103)</f>
        <v>2.4729314524722716</v>
      </c>
      <c r="H24" s="27"/>
      <c r="I24" s="27">
        <f>I92*(1+I102)*(1+I103)</f>
        <v>1.3545686154147225</v>
      </c>
      <c r="J24" s="27">
        <f t="shared" ref="J24:P24" si="18">J92*(1+J102)*(1+J103)</f>
        <v>1.6075378328110828</v>
      </c>
      <c r="K24" s="27">
        <f t="shared" si="18"/>
        <v>1.8108189491039746</v>
      </c>
      <c r="L24" s="27">
        <f t="shared" si="18"/>
        <v>2.265511985276992</v>
      </c>
      <c r="M24" s="27">
        <f t="shared" si="18"/>
        <v>2.977994358667178</v>
      </c>
      <c r="N24" s="27">
        <f t="shared" si="18"/>
        <v>3.6202092956641727</v>
      </c>
      <c r="O24" s="27">
        <f t="shared" si="18"/>
        <v>4.2203774095328281</v>
      </c>
      <c r="P24" s="27">
        <f t="shared" si="18"/>
        <v>6.3562180943256568</v>
      </c>
      <c r="Q24" s="27"/>
      <c r="R24" s="27">
        <f t="shared" ref="R24" si="19">R92*(1+R102)*(1+R103)</f>
        <v>7.3433434211878881</v>
      </c>
      <c r="S24" s="27"/>
    </row>
    <row r="25" spans="1:19" ht="15" hidden="1">
      <c r="A25" s="18" t="s">
        <v>30</v>
      </c>
      <c r="B25" s="12" t="s">
        <v>25</v>
      </c>
      <c r="C25" s="27">
        <f>C48/(4*PI()*C24*SQRT(3))*10^4</f>
        <v>12.555867287644048</v>
      </c>
      <c r="D25" s="27">
        <f>D48/(4*PI()*D24*SQRT(3))*10^4</f>
        <v>10.070881181858896</v>
      </c>
      <c r="E25" s="27">
        <f>E48/(4*PI()*E24*SQRT(3))*10^4</f>
        <v>8.78197726157671</v>
      </c>
      <c r="F25" s="27">
        <f>F48/(4*PI()*F24*SQRT(3))*10^4</f>
        <v>7.9136601283233228</v>
      </c>
      <c r="G25" s="27">
        <f>G48/(4*PI()*G24*SQRT(3))*10^4</f>
        <v>7.2457281754796856</v>
      </c>
      <c r="H25" s="27"/>
      <c r="I25" s="27">
        <f>I48/(4*PI()*I24*SQRT(3))*10^4</f>
        <v>8.8186447440672477</v>
      </c>
      <c r="J25" s="27">
        <f t="shared" ref="J25:P25" si="20">J48/(4*PI()*J24*SQRT(3))*10^4</f>
        <v>7.4309040552511343</v>
      </c>
      <c r="K25" s="27">
        <f t="shared" si="20"/>
        <v>6.5967165887657178</v>
      </c>
      <c r="L25" s="27">
        <f t="shared" si="20"/>
        <v>5.2727416488794194</v>
      </c>
      <c r="M25" s="27">
        <f t="shared" si="20"/>
        <v>4.0112431261124915</v>
      </c>
      <c r="N25" s="27">
        <f t="shared" si="20"/>
        <v>3.2996598884799977</v>
      </c>
      <c r="O25" s="27">
        <f t="shared" si="20"/>
        <v>2.8304244482551599</v>
      </c>
      <c r="P25" s="27">
        <f t="shared" si="20"/>
        <v>1.8793344129380145</v>
      </c>
      <c r="Q25" s="27"/>
      <c r="R25" s="27">
        <f t="shared" ref="R25" si="21">R48/(4*PI()*R24*SQRT(3))*10^4</f>
        <v>1.6267058090105162</v>
      </c>
      <c r="S25" s="27"/>
    </row>
    <row r="26" spans="1:19" ht="15" hidden="1">
      <c r="A26" s="10" t="s">
        <v>31</v>
      </c>
      <c r="B26" s="12" t="s">
        <v>21</v>
      </c>
      <c r="C26" s="24">
        <f>C111*C67/C63</f>
        <v>36.117461603743784</v>
      </c>
      <c r="D26" s="24">
        <f>D111*D67/D63</f>
        <v>43.449294720049409</v>
      </c>
      <c r="E26" s="24">
        <f>E111*E67/E63</f>
        <v>48.766234190240823</v>
      </c>
      <c r="F26" s="24">
        <f>F111*F67/F63</f>
        <v>53.282464450305419</v>
      </c>
      <c r="G26" s="24">
        <f>G111*G67/G63</f>
        <v>57.487162566850884</v>
      </c>
      <c r="H26" s="24"/>
      <c r="I26" s="24">
        <f>I111*I67/I63</f>
        <v>32.023375311665298</v>
      </c>
      <c r="J26" s="24">
        <f t="shared" ref="J26:P26" si="22">J111*J67/J63</f>
        <v>37.301342354265621</v>
      </c>
      <c r="K26" s="24">
        <f t="shared" si="22"/>
        <v>41.345272275543365</v>
      </c>
      <c r="L26" s="24">
        <f t="shared" si="22"/>
        <v>50.540254430334492</v>
      </c>
      <c r="M26" s="24">
        <f t="shared" si="22"/>
        <v>65.327890522118267</v>
      </c>
      <c r="N26" s="24">
        <f t="shared" si="22"/>
        <v>78.865208617709243</v>
      </c>
      <c r="O26" s="24">
        <f t="shared" si="22"/>
        <v>90.63436092194614</v>
      </c>
      <c r="P26" s="24">
        <f t="shared" si="22"/>
        <v>135.32861804748245</v>
      </c>
      <c r="Q26" s="24"/>
      <c r="R26" s="24">
        <f t="shared" ref="R26" si="23">R111*R67/R63</f>
        <v>157.70135545375678</v>
      </c>
      <c r="S26" s="24"/>
    </row>
    <row r="27" spans="1:19" ht="15" hidden="1">
      <c r="A27" s="28" t="s">
        <v>32</v>
      </c>
      <c r="B27" s="12" t="s">
        <v>33</v>
      </c>
      <c r="C27" s="92">
        <f>IF(AND(C112,C113&gt;C24),1+IF(C124,11.08,4.2*(1+C98)^-4)*LOG(C113/C24),1)*C109*EXP(MIN(0,C63-C111)/C24)*IF(C17=1,1,IF(C17=3,0.01,IF(C17=5,0.001,0)))</f>
        <v>8.9979542324025523</v>
      </c>
      <c r="D27" s="92">
        <f>IF(AND(D112,D113&gt;D24),1+IF(D124,11.08,4.2*(1+D98)^-4)*LOG(D113/D24),1)*D109*EXP(MIN(0,D63-D111)/D24)*IF(D17=1,1,IF(D17=3,0.01,IF(D17=5,0.001,0)))</f>
        <v>9.9918746686884479</v>
      </c>
      <c r="E27" s="92">
        <f>IF(AND(E112,E113&gt;E24),1+IF(E124,11.08,4.2*(1+E98)^-4)*LOG(E113/E24),1)*E109*EXP(MIN(0,E63-E111)/E24)*IF(E17=1,1,IF(E17=3,0.01,IF(E17=5,0.001,0)))</f>
        <v>9.8594899198590173</v>
      </c>
      <c r="F27" s="92">
        <f>IF(AND(F112,F113&gt;F24),1+IF(F124,11.08,4.2*(1+F98)^-4)*LOG(F113/F24),1)*F109*EXP(MIN(0,F63-F111)/F24)*IF(F17=1,1,IF(F17=3,0.01,IF(F17=5,0.001,0)))</f>
        <v>9.2734530872275975</v>
      </c>
      <c r="G27" s="92">
        <f>IF(AND(G112,G113&gt;G24),1+IF(G124,11.08,4.2*(1+G98)^-4)*LOG(G113/G24),1)*G109*EXP(MIN(0,G63-G111)/G24)*IF(G17=1,1,IF(G17=3,0.01,IF(G17=5,0.001,0)))</f>
        <v>8.4653787043254827</v>
      </c>
      <c r="H27" s="92"/>
      <c r="I27" s="92">
        <f>IF(AND(I112,I113&gt;I24),1+IF(I124,11.08,4.2*(1+I98)^-4)*LOG(I113/I24),1)*I109*EXP(MIN(0,I63-I111)/I24)*IF(I17=1,1,IF(I17=3,0.01,IF(I17=5,0.001,0)))</f>
        <v>13.031777193889933</v>
      </c>
      <c r="J27" s="92">
        <f t="shared" ref="J27:P27" si="24">IF(AND(J112,J113&gt;J24),1+IF(J124,11.08,4.2*(1+J98)^-4)*LOG(J113/J24),1)*J109*EXP(MIN(0,J63-J111)/J24)*IF(J17=1,1,IF(J17=3,0.01,IF(J17=5,0.001,0)))</f>
        <v>13.27577212040684</v>
      </c>
      <c r="K27" s="92">
        <f t="shared" si="24"/>
        <v>12.459901995501069</v>
      </c>
      <c r="L27" s="92">
        <f t="shared" si="24"/>
        <v>10.124625448770839</v>
      </c>
      <c r="M27" s="92">
        <f t="shared" si="24"/>
        <v>7.0498044205332535</v>
      </c>
      <c r="N27" s="92">
        <f t="shared" si="24"/>
        <v>5.1197160034941502</v>
      </c>
      <c r="O27" s="92">
        <f t="shared" si="24"/>
        <v>2.3193014806754819</v>
      </c>
      <c r="P27" s="92">
        <f t="shared" si="24"/>
        <v>0.29189582183391916</v>
      </c>
      <c r="Q27" s="92"/>
      <c r="R27" s="92">
        <f t="shared" ref="R27" si="25">IF(AND(R112,R113&gt;R24),1+IF(R124,11.08,4.2*(1+R98)^-4)*LOG(R113/R24),1)*R109*EXP(MIN(0,R63-R111)/R24)*IF(R17=1,1,IF(R17=3,0.01,IF(R17=5,0.001,0)))</f>
        <v>2.8502576077471128E-2</v>
      </c>
      <c r="S27" s="92"/>
    </row>
    <row r="28" spans="1:19" hidden="1">
      <c r="B28" s="16"/>
    </row>
    <row r="29" spans="1:19" hidden="1">
      <c r="A29" s="28" t="s">
        <v>34</v>
      </c>
      <c r="B29" s="12" t="s">
        <v>35</v>
      </c>
      <c r="C29" s="21">
        <f>(C30*10^-3)/(C11*10^-12)*10^-6</f>
        <v>12.854220332003649</v>
      </c>
      <c r="D29" s="21">
        <f>(D30*10^-3)/(D11*10^-12)*10^-6</f>
        <v>14.274106669554927</v>
      </c>
      <c r="E29" s="21">
        <f>(E30*10^-3)/(E11*10^-12)*10^-6</f>
        <v>14.084985599798598</v>
      </c>
      <c r="F29" s="21">
        <f>(F30*10^-3)/(F11*10^-12)*10^-6</f>
        <v>13.247790124610855</v>
      </c>
      <c r="G29" s="21">
        <f>(G30*10^-3)/(G11*10^-12)*10^-6</f>
        <v>12.093398149036405</v>
      </c>
      <c r="H29" s="21"/>
      <c r="I29" s="21">
        <f>(I30*10^-3)/(I11*10^-12)*10^-6</f>
        <v>9.3084122813499537</v>
      </c>
      <c r="J29" s="21">
        <f t="shared" ref="J29:P29" si="26">(J30*10^-3)/(J11*10^-12)*10^-6</f>
        <v>9.4826943717191714</v>
      </c>
      <c r="K29" s="21">
        <f t="shared" si="26"/>
        <v>8.8999299967864793</v>
      </c>
      <c r="L29" s="21">
        <f t="shared" si="26"/>
        <v>7.2318753205506008</v>
      </c>
      <c r="M29" s="21">
        <f t="shared" si="26"/>
        <v>5.0355745860951808</v>
      </c>
      <c r="N29" s="21">
        <f t="shared" si="26"/>
        <v>3.656940002495821</v>
      </c>
      <c r="O29" s="21">
        <f t="shared" si="26"/>
        <v>2.3193014806754815</v>
      </c>
      <c r="P29" s="21">
        <f t="shared" si="26"/>
        <v>0.32432869092657673</v>
      </c>
      <c r="Q29" s="21"/>
      <c r="R29" s="21">
        <f t="shared" ref="R29" si="27">(R30*10^-3)/(R11*10^-12)*10^-6</f>
        <v>2.8502576077471135E-2</v>
      </c>
      <c r="S29" s="21"/>
    </row>
    <row r="30" spans="1:19" ht="15">
      <c r="A30" s="26" t="s">
        <v>36</v>
      </c>
      <c r="B30" s="12" t="s">
        <v>37</v>
      </c>
      <c r="C30" s="103">
        <f>C27*SQRT(IF(C21="Flat-Top",12,2*PI()))*C22/C163*10^6</f>
        <v>0.77125321992021889</v>
      </c>
      <c r="D30" s="103">
        <f>D27*SQRT(IF(D21="Flat-Top",12,2*PI()))*D22/D163*10^6</f>
        <v>0.85644640017329565</v>
      </c>
      <c r="E30" s="103">
        <f>E27*SQRT(IF(E21="Flat-Top",12,2*PI()))*E22/E163*10^6</f>
        <v>0.84509913598791586</v>
      </c>
      <c r="F30" s="103">
        <f>F27*SQRT(IF(F21="Flat-Top",12,2*PI()))*F22/F163*10^6</f>
        <v>0.7948674074766513</v>
      </c>
      <c r="G30" s="103">
        <f>G27*SQRT(IF(G21="Flat-Top",12,2*PI()))*G22/G163*10^6</f>
        <v>0.72560388894218431</v>
      </c>
      <c r="H30" s="103"/>
      <c r="I30" s="103">
        <f>I27*SQRT(IF(I21="Flat-Top",12,2*PI()))*I22/I163*10^6/2</f>
        <v>0.55850473688099722</v>
      </c>
      <c r="J30" s="103">
        <f>J27*SQRT(IF(J21="Flat-Top",12,2*PI()))*J22/J163*10^6/2</f>
        <v>0.56896166230315037</v>
      </c>
      <c r="K30" s="103">
        <f t="shared" ref="K30:P30" si="28">K27*SQRT(IF(K21="Flat-Top",12,2*PI()))*K22/K163*10^6/2</f>
        <v>0.5339957998071887</v>
      </c>
      <c r="L30" s="103">
        <f t="shared" si="28"/>
        <v>0.43391251923303609</v>
      </c>
      <c r="M30" s="103">
        <f t="shared" si="28"/>
        <v>0.3021344751657109</v>
      </c>
      <c r="N30" s="103">
        <f t="shared" si="28"/>
        <v>0.21941640014974928</v>
      </c>
      <c r="O30" s="103">
        <f t="shared" si="28"/>
        <v>4.6386029613509634E-2</v>
      </c>
      <c r="P30" s="103">
        <f t="shared" si="28"/>
        <v>3.2432869092657675E-3</v>
      </c>
      <c r="Q30" s="103"/>
      <c r="R30" s="103">
        <f t="shared" ref="R30" si="29">R27*SQRT(IF(R21="Flat-Top",12,2*PI()))*R22/R163*10^6/2</f>
        <v>5.700515215494227E-4</v>
      </c>
      <c r="S30" s="17"/>
    </row>
    <row r="31" spans="1:19">
      <c r="A31" s="28" t="s">
        <v>38</v>
      </c>
      <c r="B31" s="12" t="s">
        <v>16</v>
      </c>
      <c r="C31" s="104">
        <f>C27*10^12*SQRT(12)*C22*10^-9/C163*C12</f>
        <v>71.726549452580372</v>
      </c>
      <c r="D31" s="104">
        <f>D27*10^12*SQRT(12)*D22*10^-9/D163*D12</f>
        <v>79.649515216116498</v>
      </c>
      <c r="E31" s="104">
        <f>E27*10^12*SQRT(12)*E22*10^-9/E163*E12</f>
        <v>78.594219646876184</v>
      </c>
      <c r="F31" s="104">
        <f>F27*10^12*SQRT(12)*F22*10^-9/F163*F12</f>
        <v>73.922668895328584</v>
      </c>
      <c r="G31" s="104">
        <f>G27*10^12*SQRT(12)*G22*10^-9/G163*G12</f>
        <v>67.481161671623141</v>
      </c>
      <c r="H31" s="104"/>
      <c r="I31" s="104">
        <f>I27*10^12*SQRT(12)*I22*10^-9/I163*I12/2</f>
        <v>51.940940529932739</v>
      </c>
      <c r="J31" s="104">
        <f>J27*10^12*SQRT(12)*J22*10^-9/J163*J12/2</f>
        <v>52.913434594192985</v>
      </c>
      <c r="K31" s="104">
        <f t="shared" ref="K31:P31" si="30">K27*10^12*SQRT(12)*K22*10^-9/K163*K12/2</f>
        <v>49.661609382068555</v>
      </c>
      <c r="L31" s="104">
        <f t="shared" si="30"/>
        <v>40.353864288672355</v>
      </c>
      <c r="M31" s="104">
        <f t="shared" si="30"/>
        <v>28.098506190411118</v>
      </c>
      <c r="N31" s="104">
        <f t="shared" si="30"/>
        <v>20.40572521392669</v>
      </c>
      <c r="O31" s="104">
        <f t="shared" si="30"/>
        <v>4.3139007540563963</v>
      </c>
      <c r="P31" s="104">
        <f t="shared" si="30"/>
        <v>0.3016256825617164</v>
      </c>
      <c r="Q31" s="104"/>
      <c r="R31" s="104">
        <f t="shared" ref="R31" si="31">R27*10^12*SQRT(12)*R22*10^-9/R163*R12/2</f>
        <v>0.51304636939448023</v>
      </c>
      <c r="S31" s="27"/>
    </row>
    <row r="32" spans="1:19" s="38" customFormat="1" ht="17">
      <c r="A32" s="13" t="s">
        <v>167</v>
      </c>
      <c r="B32" s="52" t="s">
        <v>39</v>
      </c>
      <c r="C32" s="94">
        <f>C132*SQRT(8*LN(2))</f>
        <v>41.539000418861136</v>
      </c>
      <c r="D32" s="94">
        <f>D132*SQRT(8*LN(2))</f>
        <v>22.030214062263369</v>
      </c>
      <c r="E32" s="94">
        <f>E132*SQRT(8*LN(2))</f>
        <v>15.322288856943114</v>
      </c>
      <c r="F32" s="94">
        <f>F132*SQRT(8*LN(2))</f>
        <v>11.870445172482555</v>
      </c>
      <c r="G32" s="94">
        <f>G132*SQRT(8*LN(2))</f>
        <v>9.7426001512502385</v>
      </c>
      <c r="H32" s="94"/>
      <c r="I32" s="94">
        <f>I132*SQRT(8*LN(2))</f>
        <v>15.754154613101131</v>
      </c>
      <c r="J32" s="94">
        <f t="shared" ref="J32:P32" si="32">J132*SQRT(8*LN(2))</f>
        <v>11.113275476480714</v>
      </c>
      <c r="K32" s="94">
        <f t="shared" si="32"/>
        <v>8.6458587111723446</v>
      </c>
      <c r="L32" s="94">
        <f t="shared" si="32"/>
        <v>6.0345307270662163</v>
      </c>
      <c r="M32" s="94">
        <f t="shared" si="32"/>
        <v>4.606188733497941</v>
      </c>
      <c r="N32" s="94">
        <f t="shared" si="32"/>
        <v>4.0794526871719983</v>
      </c>
      <c r="O32" s="94">
        <f t="shared" si="32"/>
        <v>4.0588345668755483</v>
      </c>
      <c r="P32" s="94">
        <f t="shared" si="32"/>
        <v>3.7935666316147136</v>
      </c>
      <c r="Q32" s="94"/>
      <c r="R32" s="94">
        <f t="shared" ref="R32" si="33">R132*SQRT(8*LN(2))</f>
        <v>2.60630225269608</v>
      </c>
      <c r="S32" s="94"/>
    </row>
    <row r="33" spans="1:19" s="38" customFormat="1" ht="15">
      <c r="A33" s="13" t="s">
        <v>168</v>
      </c>
      <c r="B33" s="52" t="s">
        <v>23</v>
      </c>
      <c r="C33" s="95">
        <f>C130</f>
        <v>22.372695232431088</v>
      </c>
      <c r="D33" s="95">
        <f>D130</f>
        <v>21.09238235280969</v>
      </c>
      <c r="E33" s="95">
        <f>E130</f>
        <v>20.217592930747379</v>
      </c>
      <c r="F33" s="95">
        <f>F130</f>
        <v>19.572547261861615</v>
      </c>
      <c r="G33" s="95">
        <f>G130</f>
        <v>19.077851542778308</v>
      </c>
      <c r="H33" s="95"/>
      <c r="I33" s="95">
        <f>I130</f>
        <v>14.747528817861324</v>
      </c>
      <c r="J33" s="95">
        <f t="shared" ref="J33:P33" si="34">J130</f>
        <v>13.937376047799622</v>
      </c>
      <c r="K33" s="95">
        <f t="shared" si="34"/>
        <v>13.436192801619827</v>
      </c>
      <c r="L33" s="95">
        <f t="shared" si="34"/>
        <v>12.833632509632066</v>
      </c>
      <c r="M33" s="95">
        <f t="shared" si="34"/>
        <v>12.609928869616502</v>
      </c>
      <c r="N33" s="95">
        <f t="shared" si="34"/>
        <v>12.656101305416017</v>
      </c>
      <c r="O33" s="95">
        <f t="shared" si="34"/>
        <v>11.448352739175622</v>
      </c>
      <c r="P33" s="95">
        <f t="shared" si="34"/>
        <v>11.1353520180252</v>
      </c>
      <c r="Q33" s="95"/>
      <c r="R33" s="95">
        <f t="shared" ref="R33" si="35">R130</f>
        <v>17.828695725326096</v>
      </c>
      <c r="S33" s="95"/>
    </row>
    <row r="34" spans="1:19" ht="15">
      <c r="A34" s="13" t="s">
        <v>40</v>
      </c>
      <c r="B34" s="12" t="s">
        <v>21</v>
      </c>
      <c r="C34" s="29">
        <f>C78*C129/C117</f>
        <v>1.2682941491961279</v>
      </c>
      <c r="D34" s="29">
        <f>D78*D129/D117</f>
        <v>2.2545747681559472</v>
      </c>
      <c r="E34" s="29">
        <f>E78*E129/E117</f>
        <v>3.1071593506753774</v>
      </c>
      <c r="F34" s="29">
        <f>F78*F129/F117</f>
        <v>3.8827378379532371</v>
      </c>
      <c r="G34" s="29">
        <f>G78*G129/G117</f>
        <v>4.6111824904662546</v>
      </c>
      <c r="H34" s="29"/>
      <c r="I34" s="29">
        <f>I78*I129/I117</f>
        <v>2.2043567127424191</v>
      </c>
      <c r="J34" s="29">
        <f t="shared" ref="J34:P34" si="36">J78*J129/J117</f>
        <v>2.953225856944746</v>
      </c>
      <c r="K34" s="29">
        <f t="shared" si="36"/>
        <v>3.6595342573976306</v>
      </c>
      <c r="L34" s="29">
        <f t="shared" si="36"/>
        <v>5.0079942337015515</v>
      </c>
      <c r="M34" s="29">
        <f t="shared" si="36"/>
        <v>6.4465689502995414</v>
      </c>
      <c r="N34" s="29">
        <f t="shared" si="36"/>
        <v>7.305597915046846</v>
      </c>
      <c r="O34" s="29">
        <f t="shared" si="36"/>
        <v>6.6420077164042599</v>
      </c>
      <c r="P34" s="29">
        <f t="shared" si="36"/>
        <v>6.9121627974043012</v>
      </c>
      <c r="Q34" s="29"/>
      <c r="R34" s="29">
        <f t="shared" ref="R34" si="37">R78*R129/R117</f>
        <v>16.108404168137426</v>
      </c>
      <c r="S34" s="29"/>
    </row>
    <row r="35" spans="1:19">
      <c r="B35" s="16"/>
    </row>
    <row r="36" spans="1:19">
      <c r="A36" s="28" t="s">
        <v>41</v>
      </c>
      <c r="B36" s="12" t="s">
        <v>21</v>
      </c>
      <c r="C36" s="25">
        <v>85</v>
      </c>
      <c r="D36" s="25">
        <v>85</v>
      </c>
      <c r="E36" s="25">
        <v>85</v>
      </c>
      <c r="F36" s="25">
        <v>85</v>
      </c>
      <c r="G36" s="25">
        <v>85</v>
      </c>
      <c r="I36" s="25">
        <v>70</v>
      </c>
      <c r="J36" s="25">
        <v>70</v>
      </c>
      <c r="K36" s="25">
        <v>70</v>
      </c>
      <c r="L36" s="25">
        <v>70</v>
      </c>
      <c r="M36" s="25">
        <v>70</v>
      </c>
      <c r="N36" s="25">
        <v>70</v>
      </c>
      <c r="O36" s="25">
        <v>70</v>
      </c>
      <c r="P36" s="25">
        <v>70</v>
      </c>
      <c r="R36" s="25">
        <v>90</v>
      </c>
    </row>
    <row r="37" spans="1:19" s="38" customFormat="1">
      <c r="A37" s="13" t="s">
        <v>42</v>
      </c>
      <c r="B37" s="52" t="s">
        <v>43</v>
      </c>
      <c r="C37" s="106">
        <f>SQRT(8*LN(2))*C130*SQRT(((C36-C134)/C34)^2+1)/1000</f>
        <v>4.4965427708457586</v>
      </c>
      <c r="D37" s="106">
        <f>SQRT(8*LN(2))*D130*SQRT(((D36-D134)/D34)^2+1)/1000</f>
        <v>2.304352754794079</v>
      </c>
      <c r="E37" s="106">
        <f>SQRT(8*LN(2))*E130*SQRT(((E36-E134)/E34)^2+1)/1000</f>
        <v>1.5623254798655943</v>
      </c>
      <c r="F37" s="106">
        <f>SQRT(8*LN(2))*F130*SQRT(((F36-F134)/F34)^2+1)/1000</f>
        <v>1.1838914356575267</v>
      </c>
      <c r="G37" s="106">
        <f>SQRT(8*LN(2))*G130*SQRT(((G36-G134)/G34)^2+1)/1000</f>
        <v>0.95151431632641648</v>
      </c>
      <c r="H37" s="106"/>
      <c r="I37" s="106">
        <f>SQRT(8*LN(2))*I130*SQRT(((I36-I134)/I34)^2+1)/1000</f>
        <v>1.8827576541666757</v>
      </c>
      <c r="J37" s="106">
        <f t="shared" ref="J37:P37" si="38">SQRT(8*LN(2))*J130*SQRT(((J36-J134)/J34)^2+1)/1000</f>
        <v>1.2989934573569093</v>
      </c>
      <c r="K37" s="106">
        <f t="shared" si="38"/>
        <v>0.99328521473693132</v>
      </c>
      <c r="L37" s="106">
        <f t="shared" si="38"/>
        <v>0.66587170252970573</v>
      </c>
      <c r="M37" s="106">
        <f t="shared" si="38"/>
        <v>0.47461209387930808</v>
      </c>
      <c r="N37" s="106">
        <f t="shared" si="38"/>
        <v>0.39303396409789387</v>
      </c>
      <c r="O37" s="106">
        <f t="shared" si="38"/>
        <v>0.36702856726883532</v>
      </c>
      <c r="P37" s="106">
        <f t="shared" si="38"/>
        <v>0.29947702873216087</v>
      </c>
      <c r="Q37" s="93"/>
      <c r="R37" s="93">
        <f t="shared" ref="R37" si="39">SQRT(8*LN(2))*R130*SQRT(((R36-R134)/R34)^2+1)/1000</f>
        <v>0.29010041005990927</v>
      </c>
      <c r="S37" s="93"/>
    </row>
    <row r="38" spans="1:19" ht="15">
      <c r="A38" s="28" t="s">
        <v>44</v>
      </c>
      <c r="B38" s="12" t="s">
        <v>45</v>
      </c>
      <c r="C38" s="29">
        <f>C119/(2*PI()*C135^2)</f>
        <v>0.84047446094016609</v>
      </c>
      <c r="D38" s="29">
        <f>D119/(2*PI()*D135^2)</f>
        <v>1.776876551543189</v>
      </c>
      <c r="E38" s="29">
        <f>E119/(2*PI()*E135^2)</f>
        <v>2.5428946036616957</v>
      </c>
      <c r="F38" s="29">
        <f>F119/(2*PI()*F135^2)</f>
        <v>3.1238914123145292</v>
      </c>
      <c r="G38" s="29">
        <f>G119/(2*PI()*G135^2)</f>
        <v>3.5317010297282811</v>
      </c>
      <c r="H38" s="29"/>
      <c r="I38" s="29">
        <f>I119/(2*PI()*I135^2)</f>
        <v>0.86788666283754712</v>
      </c>
      <c r="J38" s="29">
        <f t="shared" ref="J38:P38" si="40">J119/(2*PI()*J135^2)</f>
        <v>1.2382342560454267</v>
      </c>
      <c r="K38" s="29">
        <f t="shared" si="40"/>
        <v>1.4906816340487223</v>
      </c>
      <c r="L38" s="29">
        <f t="shared" si="40"/>
        <v>1.7969037080149819</v>
      </c>
      <c r="M38" s="29">
        <f t="shared" si="40"/>
        <v>1.8470884315404676</v>
      </c>
      <c r="N38" s="29">
        <f t="shared" si="40"/>
        <v>1.7386869953158124</v>
      </c>
      <c r="O38" s="29">
        <f t="shared" si="40"/>
        <v>0.37935206898674734</v>
      </c>
      <c r="P38" s="29">
        <f t="shared" si="40"/>
        <v>3.6217681541704259E-2</v>
      </c>
      <c r="Q38" s="29"/>
      <c r="R38" s="29">
        <f t="shared" ref="R38" si="41">R119/(2*PI()*R135^2)</f>
        <v>7.4622950546385488E-3</v>
      </c>
      <c r="S38" s="29"/>
    </row>
    <row r="39" spans="1:19" ht="15">
      <c r="A39" s="10" t="s">
        <v>46</v>
      </c>
      <c r="B39" s="12" t="s">
        <v>47</v>
      </c>
      <c r="C39" s="30">
        <f>C30*10^-3/(2*PI()*(C37/SQRT(8*LN(2)))^2)</f>
        <v>3.3664728194057606E-5</v>
      </c>
      <c r="D39" s="30">
        <f>D30*10^-3/(2*PI()*(D37/SQRT(8*LN(2)))^2)</f>
        <v>1.4234356645455369E-4</v>
      </c>
      <c r="E39" s="30">
        <f>E30*10^-3/(2*PI()*(E37/SQRT(8*LN(2)))^2)</f>
        <v>3.0556260649245776E-4</v>
      </c>
      <c r="F39" s="30">
        <f>F30*10^-3/(2*PI()*(F37/SQRT(8*LN(2)))^2)</f>
        <v>5.005028002192021E-4</v>
      </c>
      <c r="G39" s="30">
        <f>G30*10^-3/(2*PI()*(G37/SQRT(8*LN(2)))^2)</f>
        <v>7.0730141577103839E-4</v>
      </c>
      <c r="H39" s="30"/>
      <c r="I39" s="30">
        <f>I30*10^-3/(2*PI()*(I37/SQRT(8*LN(2)))^2)</f>
        <v>1.3905083362076716E-4</v>
      </c>
      <c r="J39" s="30">
        <f t="shared" ref="J39:P39" si="42">J30*10^-3/(2*PI()*(J37/SQRT(8*LN(2)))^2)</f>
        <v>2.9758062813980979E-4</v>
      </c>
      <c r="K39" s="30">
        <f t="shared" si="42"/>
        <v>4.7766726406404383E-4</v>
      </c>
      <c r="L39" s="30">
        <f t="shared" si="42"/>
        <v>8.6368751555236298E-4</v>
      </c>
      <c r="M39" s="30">
        <f t="shared" si="42"/>
        <v>1.1837452846077577E-3</v>
      </c>
      <c r="N39" s="30">
        <f t="shared" si="42"/>
        <v>1.2535581995373648E-3</v>
      </c>
      <c r="O39" s="30">
        <f t="shared" si="42"/>
        <v>3.0389464250958132E-4</v>
      </c>
      <c r="P39" s="30">
        <f t="shared" si="42"/>
        <v>3.1914931571202909E-5</v>
      </c>
      <c r="Q39" s="30"/>
      <c r="R39" s="30">
        <f t="shared" ref="R39" si="43">R30*10^-3/(2*PI()*(R37/SQRT(8*LN(2)))^2)</f>
        <v>5.9779599831564974E-6</v>
      </c>
      <c r="S39" s="30"/>
    </row>
    <row r="40" spans="1:19">
      <c r="B40" s="1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>
      <c r="A41" s="28" t="s">
        <v>48</v>
      </c>
      <c r="B41" s="12" t="s">
        <v>37</v>
      </c>
      <c r="C41" s="30">
        <f>0.633*C10^2*C56^2*C66*C48*C83*10^9*C159*1000000</f>
        <v>8.6166924527049146E-2</v>
      </c>
      <c r="D41" s="30">
        <f>0.633*D10^2*D56^2*D66*D48*D83*10^9*D159*1000000</f>
        <v>4.0129249821214588E-2</v>
      </c>
      <c r="E41" s="30">
        <f>0.633*E10^2*E56^2*E66*E48*E83*10^9*E159*1000000</f>
        <v>2.4783358252603083E-2</v>
      </c>
      <c r="F41" s="30">
        <f>0.633*F10^2*F56^2*F66*F48*F83*10^9*F159*1000000</f>
        <v>1.7110412468297333E-2</v>
      </c>
      <c r="G41" s="30">
        <f>0.633*G10^2*G56^2*G66*G48*G83*10^9*G159*1000000</f>
        <v>1.2506644997713883E-2</v>
      </c>
      <c r="H41" s="30"/>
      <c r="I41" s="30">
        <f>0.633*I10^2*I56^2*I66*I48*I83*10^9*I159*1000000</f>
        <v>5.5619917117274674E-2</v>
      </c>
      <c r="J41" s="30">
        <f t="shared" ref="J41:P41" si="44">0.633*J10^2*J56^2*J66*J48*J83*10^9*J159*1000000</f>
        <v>6.0554091312486048E-2</v>
      </c>
      <c r="K41" s="30">
        <f t="shared" si="44"/>
        <v>4.0188060079188084E-2</v>
      </c>
      <c r="L41" s="30">
        <f t="shared" si="44"/>
        <v>1.9822028845890148E-2</v>
      </c>
      <c r="M41" s="30">
        <f t="shared" si="44"/>
        <v>9.6390132292411643E-3</v>
      </c>
      <c r="N41" s="30">
        <f t="shared" si="44"/>
        <v>6.2446746903581695E-3</v>
      </c>
      <c r="O41" s="30">
        <f t="shared" si="44"/>
        <v>1.1764012864172611E-3</v>
      </c>
      <c r="P41" s="30">
        <f t="shared" si="44"/>
        <v>2.1790916623957589E-4</v>
      </c>
      <c r="Q41" s="30"/>
      <c r="R41" s="30">
        <f t="shared" ref="R41" si="45">0.633*R10^2*R56^2*R66*R48*R83*10^9*R159*1000000</f>
        <v>1.1764012864172611E-3</v>
      </c>
      <c r="S41" s="30"/>
    </row>
    <row r="42" spans="1:19">
      <c r="A42" s="28" t="s">
        <v>49</v>
      </c>
      <c r="B42" s="12" t="s">
        <v>16</v>
      </c>
      <c r="C42" s="29">
        <f>C41/1000*C12</f>
        <v>8.0135239810155703</v>
      </c>
      <c r="D42" s="29">
        <f>D41/1000*D12</f>
        <v>3.7320202333729564</v>
      </c>
      <c r="E42" s="29">
        <f>E41/1000*E12</f>
        <v>2.3048523174920867</v>
      </c>
      <c r="F42" s="29">
        <f>F41/1000*F12</f>
        <v>1.5912683595516521</v>
      </c>
      <c r="G42" s="29">
        <f>G41/1000*G12</f>
        <v>1.1631179847873911</v>
      </c>
      <c r="H42" s="29"/>
      <c r="I42" s="29">
        <f>I41/1000*I12</f>
        <v>5.1726522919065445</v>
      </c>
      <c r="J42" s="29">
        <f t="shared" ref="J42:P42" si="46">J41/1000*J12</f>
        <v>5.6315304920612022</v>
      </c>
      <c r="K42" s="29">
        <f t="shared" si="46"/>
        <v>3.7374895873644922</v>
      </c>
      <c r="L42" s="29">
        <f t="shared" si="46"/>
        <v>1.8434486826677838</v>
      </c>
      <c r="M42" s="29">
        <f t="shared" si="46"/>
        <v>0.8964282303194282</v>
      </c>
      <c r="N42" s="29">
        <f t="shared" si="46"/>
        <v>0.5807547462033098</v>
      </c>
      <c r="O42" s="29">
        <f t="shared" si="46"/>
        <v>0.10940531963680528</v>
      </c>
      <c r="P42" s="29">
        <f t="shared" si="46"/>
        <v>2.0265552460280559E-2</v>
      </c>
      <c r="Q42" s="29"/>
      <c r="R42" s="29">
        <f t="shared" ref="R42" si="47">R41/1000*R12</f>
        <v>1.0587611577755349</v>
      </c>
      <c r="S42" s="29"/>
    </row>
    <row r="43" spans="1:19" ht="15">
      <c r="A43" s="28" t="s">
        <v>50</v>
      </c>
      <c r="B43" s="12" t="s">
        <v>47</v>
      </c>
      <c r="C43" s="32">
        <f>C41*10^-3/(2*PI()*C149*C150)</f>
        <v>1.794851003684097E-8</v>
      </c>
      <c r="D43" s="32">
        <f>D41*10^-3/(2*PI()*D149*D150)</f>
        <v>1.1938795994181838E-8</v>
      </c>
      <c r="E43" s="32">
        <f>E41*10^-3/(2*PI()*E149*E150)</f>
        <v>9.1829898732479205E-9</v>
      </c>
      <c r="F43" s="32">
        <f>F41*10^-3/(2*PI()*F149*F150)</f>
        <v>7.4791583397558317E-9</v>
      </c>
      <c r="G43" s="32">
        <f>G41*10^-3/(2*PI()*G149*G150)</f>
        <v>6.2697963791930911E-9</v>
      </c>
      <c r="H43" s="32"/>
      <c r="I43" s="32">
        <f>I41*10^-3/(2*PI()*I149*I150)</f>
        <v>2.4963022202626994E-8</v>
      </c>
      <c r="J43" s="32">
        <f t="shared" ref="J43:P43" si="48">J41*10^-3/(2*PI()*J149*J150)</f>
        <v>3.7139469447160809E-8</v>
      </c>
      <c r="K43" s="32">
        <f t="shared" si="48"/>
        <v>2.9330897619862777E-8</v>
      </c>
      <c r="L43" s="32">
        <f t="shared" si="48"/>
        <v>1.9252801534596612E-8</v>
      </c>
      <c r="M43" s="32">
        <f t="shared" si="48"/>
        <v>1.225757252009151E-8</v>
      </c>
      <c r="N43" s="32">
        <f t="shared" si="48"/>
        <v>9.2233488098662956E-9</v>
      </c>
      <c r="O43" s="32">
        <f t="shared" si="48"/>
        <v>2.0817625656864815E-9</v>
      </c>
      <c r="P43" s="32">
        <f t="shared" si="48"/>
        <v>5.0393269840195247E-10</v>
      </c>
      <c r="Q43" s="32"/>
      <c r="R43" s="32">
        <f t="shared" ref="R43" si="49">R41*10^-3/(2*PI()*R149*R150)</f>
        <v>1.4262565528574401E-9</v>
      </c>
      <c r="S43" s="32"/>
    </row>
    <row r="44" spans="1:19">
      <c r="B44" s="16"/>
    </row>
    <row r="45" spans="1:19">
      <c r="A45" s="1" t="s">
        <v>51</v>
      </c>
      <c r="B45" s="16"/>
    </row>
    <row r="46" spans="1:19">
      <c r="B46" s="16"/>
    </row>
    <row r="47" spans="1:19">
      <c r="A47" s="10" t="s">
        <v>52</v>
      </c>
      <c r="B47" s="12" t="s">
        <v>43</v>
      </c>
      <c r="C47" s="33">
        <f>5.08/(2*1.54)*(1-SQRT(1+4*1.54*LN(C56/(3.44*(1-C52/100)*(1+C51/100)*(1+C53/100)))/5.08^2))*(C48*1000)</f>
        <v>7.3320844622934302</v>
      </c>
      <c r="D47" s="33">
        <f>5.08/(2*1.54)*(1-SQRT(1+4*1.54*LN(D56/(3.44*(1-D52/100)*(1+D51/100)*(1+D53/100)))/5.08^2))*(D48*1000)</f>
        <v>10.745023753621528</v>
      </c>
      <c r="E47" s="33">
        <f>5.08/(2*1.54)*(1-SQRT(1+4*1.54*LN(E56/(3.44*(1-E52/100)*(1+E51/100)*(1+E53/100)))/5.08^2))*(E48*1000)</f>
        <v>13.013999280844404</v>
      </c>
      <c r="F47" s="33">
        <f>5.08/(2*1.54)*(1-SQRT(1+4*1.54*LN(F56/(3.44*(1-F52/100)*(1+F51/100)*(1+F53/100)))/5.08^2))*(F48*1000)</f>
        <v>14.828934709262022</v>
      </c>
      <c r="G47" s="33">
        <f>5.08/(2*1.54)*(1-SQRT(1+4*1.54*LN(G56/(3.44*(1-G52/100)*(1+G51/100)*(1+G53/100)))/5.08^2))*(G48*1000)</f>
        <v>16.418013240121176</v>
      </c>
      <c r="H47" s="33"/>
      <c r="I47" s="33">
        <f>5.08/(2*1.54)*(1-SQRT(1+4*1.54*LN(I56/(3.44*(1-I52/100)*(1+I51/100)*(1+I53/100)))/5.08^2))*(I48*1000)</f>
        <v>6.734034412215979</v>
      </c>
      <c r="J47" s="33">
        <f t="shared" ref="J47:P47" si="50">5.08/(2*1.54)*(1-SQRT(1+4*1.54*LN(J56/(3.44*(1-J52/100)*(1+J51/100)*(1+J53/100)))/5.08^2))*(J48*1000)</f>
        <v>7.2910393902384296</v>
      </c>
      <c r="K47" s="33">
        <f t="shared" si="50"/>
        <v>8.5783622775299904</v>
      </c>
      <c r="L47" s="33">
        <f t="shared" si="50"/>
        <v>10.919190127337405</v>
      </c>
      <c r="M47" s="33">
        <f t="shared" si="50"/>
        <v>13.498552668527518</v>
      </c>
      <c r="N47" s="33">
        <f t="shared" si="50"/>
        <v>15.167085721340056</v>
      </c>
      <c r="O47" s="33">
        <f t="shared" si="50"/>
        <v>17.52704570924222</v>
      </c>
      <c r="P47" s="33">
        <f t="shared" si="50"/>
        <v>22.267869479055928</v>
      </c>
      <c r="Q47" s="33"/>
      <c r="R47" s="33">
        <f t="shared" ref="R47" si="51">5.08/(2*1.54)*(1-SQRT(1+4*1.54*LN(R56/(3.44*(1-R52/100)*(1+R51/100)*(1+R53/100)))/5.08^2))*(R48*1000)</f>
        <v>17.52704570924222</v>
      </c>
      <c r="S47" s="33"/>
    </row>
    <row r="48" spans="1:19" ht="15">
      <c r="A48" s="18" t="s">
        <v>53</v>
      </c>
      <c r="B48" s="12" t="s">
        <v>21</v>
      </c>
      <c r="C48" s="34">
        <v>3.9E-2</v>
      </c>
      <c r="D48" s="34">
        <v>3.9E-2</v>
      </c>
      <c r="E48" s="34">
        <v>3.9E-2</v>
      </c>
      <c r="F48" s="34">
        <v>3.9E-2</v>
      </c>
      <c r="G48" s="34">
        <v>3.9E-2</v>
      </c>
      <c r="H48" s="34"/>
      <c r="I48" s="34">
        <f>$K4/1000</f>
        <v>2.5999999999999999E-2</v>
      </c>
      <c r="J48" s="34">
        <f>$K4/1000</f>
        <v>2.5999999999999999E-2</v>
      </c>
      <c r="K48" s="34">
        <f t="shared" ref="K48:P48" si="52">$K4/1000</f>
        <v>2.5999999999999999E-2</v>
      </c>
      <c r="L48" s="34">
        <f t="shared" si="52"/>
        <v>2.5999999999999999E-2</v>
      </c>
      <c r="M48" s="34">
        <f t="shared" si="52"/>
        <v>2.5999999999999999E-2</v>
      </c>
      <c r="N48" s="34">
        <f t="shared" si="52"/>
        <v>2.5999999999999999E-2</v>
      </c>
      <c r="O48" s="34">
        <f t="shared" si="52"/>
        <v>2.5999999999999999E-2</v>
      </c>
      <c r="P48" s="34">
        <f t="shared" si="52"/>
        <v>2.5999999999999999E-2</v>
      </c>
      <c r="Q48" s="34"/>
      <c r="R48" s="34">
        <f t="shared" ref="R48" si="53">$K4/1000</f>
        <v>2.5999999999999999E-2</v>
      </c>
      <c r="S48" s="34"/>
    </row>
    <row r="49" spans="1:19" ht="16">
      <c r="A49" s="28" t="s">
        <v>54</v>
      </c>
      <c r="B49" s="12" t="s">
        <v>55</v>
      </c>
      <c r="C49" s="35">
        <f>2*PI()/C48</f>
        <v>161.10731556870735</v>
      </c>
      <c r="D49" s="35">
        <f>2*PI()/D48</f>
        <v>161.10731556870735</v>
      </c>
      <c r="E49" s="35">
        <f>2*PI()/E48</f>
        <v>161.10731556870735</v>
      </c>
      <c r="F49" s="35">
        <f>2*PI()/F48</f>
        <v>161.10731556870735</v>
      </c>
      <c r="G49" s="35">
        <f>2*PI()/G48</f>
        <v>161.10731556870735</v>
      </c>
      <c r="H49" s="35"/>
      <c r="I49" s="35">
        <f>2*PI()/I48</f>
        <v>241.66097335306102</v>
      </c>
      <c r="J49" s="35">
        <f t="shared" ref="J49:P49" si="54">2*PI()/J48</f>
        <v>241.66097335306102</v>
      </c>
      <c r="K49" s="35">
        <f t="shared" si="54"/>
        <v>241.66097335306102</v>
      </c>
      <c r="L49" s="35">
        <f t="shared" si="54"/>
        <v>241.66097335306102</v>
      </c>
      <c r="M49" s="35">
        <f t="shared" si="54"/>
        <v>241.66097335306102</v>
      </c>
      <c r="N49" s="35">
        <f t="shared" si="54"/>
        <v>241.66097335306102</v>
      </c>
      <c r="O49" s="35">
        <f t="shared" si="54"/>
        <v>241.66097335306102</v>
      </c>
      <c r="P49" s="35">
        <f t="shared" si="54"/>
        <v>241.66097335306102</v>
      </c>
      <c r="Q49" s="35"/>
      <c r="R49" s="35">
        <f t="shared" ref="R49" si="55">2*PI()/R48</f>
        <v>241.66097335306102</v>
      </c>
      <c r="S49" s="35"/>
    </row>
    <row r="50" spans="1:19" ht="15">
      <c r="A50" s="26" t="s">
        <v>56</v>
      </c>
      <c r="B50" s="12"/>
      <c r="C50" s="17">
        <f>C47/1000/C48</f>
        <v>0.18800216569983155</v>
      </c>
      <c r="D50" s="17">
        <f>D47/1000/D48</f>
        <v>0.27551342958003916</v>
      </c>
      <c r="E50" s="17">
        <f>E47/1000/E48</f>
        <v>0.33369228925242062</v>
      </c>
      <c r="F50" s="17">
        <f>F47/1000/F48</f>
        <v>0.38022909510928266</v>
      </c>
      <c r="G50" s="17">
        <f>G47/1000/G48</f>
        <v>0.42097469846464552</v>
      </c>
      <c r="H50" s="17"/>
      <c r="I50" s="17">
        <f>I47/1000/I48</f>
        <v>0.25900132354676841</v>
      </c>
      <c r="J50" s="17">
        <f t="shared" ref="J50:P50" si="56">J47/1000/J48</f>
        <v>0.28042459193224728</v>
      </c>
      <c r="K50" s="17">
        <f t="shared" si="56"/>
        <v>0.32993701067423042</v>
      </c>
      <c r="L50" s="17">
        <f t="shared" si="56"/>
        <v>0.41996885105143866</v>
      </c>
      <c r="M50" s="17">
        <f t="shared" si="56"/>
        <v>0.51917510263567379</v>
      </c>
      <c r="N50" s="17">
        <f t="shared" si="56"/>
        <v>0.58334945082077139</v>
      </c>
      <c r="O50" s="17">
        <f t="shared" si="56"/>
        <v>0.67411714266316225</v>
      </c>
      <c r="P50" s="17">
        <f t="shared" si="56"/>
        <v>0.85645651842522807</v>
      </c>
      <c r="Q50" s="17"/>
      <c r="R50" s="17">
        <f t="shared" ref="R50" si="57">R47/1000/R48</f>
        <v>0.67411714266316225</v>
      </c>
      <c r="S50" s="17"/>
    </row>
    <row r="51" spans="1:19" s="38" customFormat="1" ht="17">
      <c r="A51" s="36" t="s">
        <v>57</v>
      </c>
      <c r="B51" s="36" t="s">
        <v>58</v>
      </c>
      <c r="C51" s="37">
        <v>6</v>
      </c>
      <c r="D51" s="37">
        <v>6</v>
      </c>
      <c r="E51" s="37">
        <v>6</v>
      </c>
      <c r="F51" s="37">
        <v>6</v>
      </c>
      <c r="G51" s="37">
        <v>6</v>
      </c>
      <c r="H51" s="37"/>
      <c r="I51" s="37">
        <v>6</v>
      </c>
      <c r="J51" s="37">
        <v>6</v>
      </c>
      <c r="K51" s="37">
        <v>6</v>
      </c>
      <c r="L51" s="37">
        <v>6</v>
      </c>
      <c r="M51" s="37">
        <v>6</v>
      </c>
      <c r="N51" s="37">
        <v>6</v>
      </c>
      <c r="O51" s="37">
        <v>6</v>
      </c>
      <c r="P51" s="37">
        <v>6</v>
      </c>
      <c r="Q51" s="37"/>
      <c r="R51" s="37">
        <v>6</v>
      </c>
      <c r="S51" s="37"/>
    </row>
    <row r="52" spans="1:19" s="38" customFormat="1" ht="17">
      <c r="A52" s="36" t="s">
        <v>59</v>
      </c>
      <c r="B52" s="36" t="s">
        <v>58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/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/>
      <c r="R52" s="39">
        <v>0</v>
      </c>
      <c r="S52" s="39"/>
    </row>
    <row r="53" spans="1:19" s="38" customFormat="1" ht="17">
      <c r="A53" s="36" t="s">
        <v>60</v>
      </c>
      <c r="B53" s="36" t="s">
        <v>58</v>
      </c>
      <c r="C53" s="39">
        <v>9.9999999999996994E-2</v>
      </c>
      <c r="D53" s="39">
        <v>9.9999999999996994E-2</v>
      </c>
      <c r="E53" s="39">
        <v>9.9999999999996994E-2</v>
      </c>
      <c r="F53" s="39">
        <v>9.9999999999996994E-2</v>
      </c>
      <c r="G53" s="39">
        <v>9.9999999999996994E-2</v>
      </c>
      <c r="H53" s="39"/>
      <c r="I53" s="39">
        <v>9.9999999999996994E-2</v>
      </c>
      <c r="J53" s="39">
        <v>9.9999999999996994E-2</v>
      </c>
      <c r="K53" s="39">
        <v>9.9999999999996994E-2</v>
      </c>
      <c r="L53" s="39">
        <v>9.9999999999996994E-2</v>
      </c>
      <c r="M53" s="39">
        <v>9.9999999999996994E-2</v>
      </c>
      <c r="N53" s="39">
        <v>9.9999999999996994E-2</v>
      </c>
      <c r="O53" s="39">
        <v>9.9999999999996994E-2</v>
      </c>
      <c r="P53" s="39">
        <v>9.9999999999996994E-2</v>
      </c>
      <c r="Q53" s="39"/>
      <c r="R53" s="39">
        <v>9.9999999999996994E-2</v>
      </c>
      <c r="S53" s="39"/>
    </row>
    <row r="54" spans="1:19" s="38" customFormat="1">
      <c r="A54" s="36" t="s">
        <v>61</v>
      </c>
      <c r="B54" s="12"/>
      <c r="C54" s="39" t="b">
        <v>0</v>
      </c>
      <c r="D54" s="39" t="b">
        <v>0</v>
      </c>
      <c r="E54" s="39" t="b">
        <v>0</v>
      </c>
      <c r="F54" s="39" t="b">
        <v>0</v>
      </c>
      <c r="G54" s="39" t="b">
        <v>0</v>
      </c>
      <c r="H54" s="39"/>
      <c r="I54" s="39" t="b">
        <v>0</v>
      </c>
      <c r="J54" s="39" t="b">
        <v>0</v>
      </c>
      <c r="K54" s="39" t="b">
        <v>0</v>
      </c>
      <c r="L54" s="39" t="b">
        <v>0</v>
      </c>
      <c r="M54" s="39" t="b">
        <v>0</v>
      </c>
      <c r="N54" s="39" t="b">
        <v>0</v>
      </c>
      <c r="O54" s="39" t="b">
        <v>0</v>
      </c>
      <c r="P54" s="39" t="b">
        <v>0</v>
      </c>
      <c r="Q54" s="39"/>
      <c r="R54" s="39" t="b">
        <v>0</v>
      </c>
      <c r="S54" s="39"/>
    </row>
    <row r="55" spans="1:19">
      <c r="A55" s="26" t="s">
        <v>0</v>
      </c>
      <c r="B55" s="12"/>
      <c r="C55" s="40">
        <f>SQRT(2*((C16*10^-9)*2*C81^2/C48-1))</f>
        <v>5.4006923037493593</v>
      </c>
      <c r="D55" s="40">
        <f>SQRT(2*((D16*10^-9)*2*D81^2/D48-1))</f>
        <v>3.6856123887203305</v>
      </c>
      <c r="E55" s="40">
        <f>SQRT(2*((E16*10^-9)*2*E81^2/E48-1))</f>
        <v>2.8964045159345151</v>
      </c>
      <c r="F55" s="40">
        <f>SQRT(2*((F16*10^-9)*2*F81^2/F48-1))</f>
        <v>2.4066302873404526</v>
      </c>
      <c r="G55" s="40">
        <f>SQRT(2*((G16*10^-9)*2*G81^2/G48-1))</f>
        <v>2.0575459829504448</v>
      </c>
      <c r="H55" s="40"/>
      <c r="I55" s="40">
        <f>SQRT(2*((I16*10^-9)*2*I81^2/I48-1))</f>
        <v>2.6359960062739827</v>
      </c>
      <c r="J55" s="40">
        <f t="shared" ref="J55:P55" si="58">SQRT(2*((J16*10^-9)*2*J81^2/J48-1))</f>
        <v>2.406630287340453</v>
      </c>
      <c r="K55" s="40">
        <f t="shared" si="58"/>
        <v>1.9605871582151844</v>
      </c>
      <c r="L55" s="40">
        <f t="shared" si="58"/>
        <v>1.376929435364135</v>
      </c>
      <c r="M55" s="40">
        <f t="shared" si="58"/>
        <v>0.96018279638782644</v>
      </c>
      <c r="N55" s="40">
        <f t="shared" si="58"/>
        <v>0.77284524969845225</v>
      </c>
      <c r="O55" s="40">
        <f t="shared" si="58"/>
        <v>0.58099982958974905</v>
      </c>
      <c r="P55" s="40">
        <f t="shared" si="58"/>
        <v>0.35363155194395196</v>
      </c>
      <c r="Q55" s="40"/>
      <c r="R55" s="40">
        <f t="shared" ref="R55" si="59">SQRT(2*((R16*10^-9)*2*R81^2/R48-1))</f>
        <v>0.58099982958974905</v>
      </c>
      <c r="S55" s="40"/>
    </row>
    <row r="56" spans="1:19" ht="15">
      <c r="A56" s="28" t="s">
        <v>62</v>
      </c>
      <c r="B56" s="12" t="s">
        <v>63</v>
      </c>
      <c r="C56" s="40">
        <f>C55*(C161*10^6*C49)/C163</f>
        <v>1.4830783474252962</v>
      </c>
      <c r="D56" s="40">
        <f>D55*(D161*10^6*D49)/D163</f>
        <v>1.012102083082721</v>
      </c>
      <c r="E56" s="40">
        <f>E55*(E161*10^6*E49)/E163</f>
        <v>0.79537855174329519</v>
      </c>
      <c r="F56" s="40">
        <f>F55*(F161*10^6*F49)/F163</f>
        <v>0.6608821737418108</v>
      </c>
      <c r="G56" s="40">
        <f>G55*(G161*10^6*G49)/G163</f>
        <v>0.56502050561688877</v>
      </c>
      <c r="H56" s="40"/>
      <c r="I56" s="40">
        <f>I55*(I161*10^6*I49)/I163</f>
        <v>1.0858020734000504</v>
      </c>
      <c r="J56" s="40">
        <f t="shared" ref="J56:P56" si="60">J55*(J161*10^6*J49)/J163</f>
        <v>0.99132326061271647</v>
      </c>
      <c r="K56" s="40">
        <f t="shared" si="60"/>
        <v>0.80759211941320896</v>
      </c>
      <c r="L56" s="40">
        <f t="shared" si="60"/>
        <v>0.56717568322770151</v>
      </c>
      <c r="M56" s="40">
        <f t="shared" si="60"/>
        <v>0.39551215884983287</v>
      </c>
      <c r="N56" s="40">
        <f t="shared" si="60"/>
        <v>0.31834531332470389</v>
      </c>
      <c r="O56" s="40">
        <f t="shared" si="60"/>
        <v>0.23932161433937146</v>
      </c>
      <c r="P56" s="40">
        <f t="shared" si="60"/>
        <v>0.14566557438118927</v>
      </c>
      <c r="Q56" s="40"/>
      <c r="R56" s="40">
        <f t="shared" ref="R56" si="61">R55*(R161*10^6*R49)/R163</f>
        <v>0.23932161433937146</v>
      </c>
      <c r="S56" s="40"/>
    </row>
    <row r="58" spans="1:19">
      <c r="A58" s="1" t="s">
        <v>64</v>
      </c>
    </row>
    <row r="60" spans="1:19" ht="15">
      <c r="A60" s="10" t="s">
        <v>65</v>
      </c>
      <c r="B60" s="12"/>
      <c r="C60" s="22">
        <f>E6</f>
        <v>19</v>
      </c>
      <c r="D60" s="22">
        <f>C60</f>
        <v>19</v>
      </c>
      <c r="E60" s="22">
        <f>D60</f>
        <v>19</v>
      </c>
      <c r="F60" s="22">
        <f>E60</f>
        <v>19</v>
      </c>
      <c r="G60" s="22">
        <f>F60</f>
        <v>19</v>
      </c>
      <c r="H60" s="22"/>
      <c r="I60" s="22">
        <f>$K6</f>
        <v>30</v>
      </c>
      <c r="J60" s="22">
        <f>$K6</f>
        <v>30</v>
      </c>
      <c r="K60" s="22">
        <f t="shared" ref="K60:P60" si="62">$K6</f>
        <v>30</v>
      </c>
      <c r="L60" s="22">
        <f t="shared" si="62"/>
        <v>30</v>
      </c>
      <c r="M60" s="22">
        <f t="shared" si="62"/>
        <v>30</v>
      </c>
      <c r="N60" s="22">
        <f t="shared" si="62"/>
        <v>30</v>
      </c>
      <c r="O60" s="22">
        <f t="shared" si="62"/>
        <v>30</v>
      </c>
      <c r="P60" s="22">
        <f t="shared" si="62"/>
        <v>30</v>
      </c>
      <c r="Q60" s="22"/>
      <c r="R60" s="22">
        <f t="shared" ref="R60" si="63">$K6</f>
        <v>30</v>
      </c>
      <c r="S60" s="22"/>
    </row>
    <row r="61" spans="1:19" ht="15">
      <c r="A61" s="10" t="s">
        <v>66</v>
      </c>
      <c r="B61" s="12"/>
      <c r="C61" s="41">
        <f>FLOOR(C62/C48,1)</f>
        <v>87</v>
      </c>
      <c r="D61" s="41">
        <f>FLOOR(D62/D48,1)</f>
        <v>87</v>
      </c>
      <c r="E61" s="41">
        <f>FLOOR(E62/E48,1)</f>
        <v>87</v>
      </c>
      <c r="F61" s="41">
        <f>FLOOR(F62/F48,1)</f>
        <v>87</v>
      </c>
      <c r="G61" s="41">
        <f>FLOOR(G62/G48,1)</f>
        <v>87</v>
      </c>
      <c r="H61" s="41"/>
      <c r="I61" s="41">
        <f>FLOOR(I62/I48,1)</f>
        <v>130</v>
      </c>
      <c r="J61" s="41">
        <f t="shared" ref="J61:P61" si="64">FLOOR(J62/J48,1)</f>
        <v>130</v>
      </c>
      <c r="K61" s="41">
        <f t="shared" si="64"/>
        <v>130</v>
      </c>
      <c r="L61" s="41">
        <f t="shared" si="64"/>
        <v>130</v>
      </c>
      <c r="M61" s="41">
        <f t="shared" si="64"/>
        <v>130</v>
      </c>
      <c r="N61" s="41">
        <f t="shared" si="64"/>
        <v>130</v>
      </c>
      <c r="O61" s="41">
        <f t="shared" si="64"/>
        <v>130</v>
      </c>
      <c r="P61" s="41">
        <f t="shared" si="64"/>
        <v>130</v>
      </c>
      <c r="Q61" s="41"/>
      <c r="R61" s="41">
        <f t="shared" ref="R61" si="65">FLOOR(R62/R48,1)</f>
        <v>130</v>
      </c>
      <c r="S61" s="41"/>
    </row>
    <row r="62" spans="1:19" ht="15">
      <c r="A62" s="42" t="s">
        <v>67</v>
      </c>
      <c r="B62" s="1" t="s">
        <v>21</v>
      </c>
      <c r="C62" s="43">
        <v>3.4</v>
      </c>
      <c r="D62" s="43">
        <v>3.4</v>
      </c>
      <c r="E62" s="43">
        <v>3.4</v>
      </c>
      <c r="F62" s="43">
        <v>3.4</v>
      </c>
      <c r="G62" s="43">
        <v>3.4</v>
      </c>
      <c r="H62" s="43"/>
      <c r="I62" s="43">
        <v>3.4</v>
      </c>
      <c r="J62" s="43">
        <v>3.4</v>
      </c>
      <c r="K62" s="43">
        <v>3.4</v>
      </c>
      <c r="L62" s="43">
        <v>3.4</v>
      </c>
      <c r="M62" s="43">
        <v>3.4</v>
      </c>
      <c r="N62" s="43">
        <v>3.4</v>
      </c>
      <c r="O62" s="43">
        <v>3.4</v>
      </c>
      <c r="P62" s="43">
        <v>3.4</v>
      </c>
      <c r="Q62" s="43"/>
      <c r="R62" s="43">
        <v>3.4</v>
      </c>
      <c r="S62" s="43"/>
    </row>
    <row r="63" spans="1:19" ht="15">
      <c r="A63" s="10" t="s">
        <v>68</v>
      </c>
      <c r="B63" s="12" t="s">
        <v>21</v>
      </c>
      <c r="C63" s="24">
        <f>C60*C61*C48</f>
        <v>64.466999999999999</v>
      </c>
      <c r="D63" s="24">
        <f>D60*D61*D48</f>
        <v>64.466999999999999</v>
      </c>
      <c r="E63" s="24">
        <f>E60*E61*E48</f>
        <v>64.466999999999999</v>
      </c>
      <c r="F63" s="24">
        <f>F60*F61*F48</f>
        <v>64.466999999999999</v>
      </c>
      <c r="G63" s="24">
        <f>G60*G61*G48</f>
        <v>64.466999999999999</v>
      </c>
      <c r="H63" s="24"/>
      <c r="I63" s="24">
        <f>I60*I61*I48</f>
        <v>101.39999999999999</v>
      </c>
      <c r="J63" s="24">
        <f t="shared" ref="J63:P63" si="66">J60*J61*J48</f>
        <v>101.39999999999999</v>
      </c>
      <c r="K63" s="24">
        <f t="shared" si="66"/>
        <v>101.39999999999999</v>
      </c>
      <c r="L63" s="24">
        <f t="shared" si="66"/>
        <v>101.39999999999999</v>
      </c>
      <c r="M63" s="24">
        <f t="shared" si="66"/>
        <v>101.39999999999999</v>
      </c>
      <c r="N63" s="24">
        <f t="shared" si="66"/>
        <v>101.39999999999999</v>
      </c>
      <c r="O63" s="24">
        <f t="shared" si="66"/>
        <v>101.39999999999999</v>
      </c>
      <c r="P63" s="24">
        <f t="shared" si="66"/>
        <v>101.39999999999999</v>
      </c>
      <c r="Q63" s="24"/>
      <c r="R63" s="24">
        <f t="shared" ref="R63" si="67">R60*R61*R48</f>
        <v>101.39999999999999</v>
      </c>
      <c r="S63" s="24"/>
    </row>
    <row r="64" spans="1:19" ht="15">
      <c r="A64" s="42" t="s">
        <v>69</v>
      </c>
      <c r="B64" s="1" t="s">
        <v>21</v>
      </c>
      <c r="C64" s="31">
        <v>1</v>
      </c>
      <c r="D64" s="31">
        <v>1</v>
      </c>
      <c r="E64" s="31">
        <v>1</v>
      </c>
      <c r="F64" s="31">
        <v>1</v>
      </c>
      <c r="G64" s="31">
        <v>1</v>
      </c>
      <c r="H64" s="31"/>
      <c r="I64" s="31">
        <v>1</v>
      </c>
      <c r="J64" s="31">
        <v>1</v>
      </c>
      <c r="K64" s="31">
        <v>1</v>
      </c>
      <c r="L64" s="31">
        <v>1</v>
      </c>
      <c r="M64" s="31">
        <v>1</v>
      </c>
      <c r="N64" s="31">
        <v>1</v>
      </c>
      <c r="O64" s="31">
        <v>1</v>
      </c>
      <c r="P64" s="31">
        <v>1</v>
      </c>
      <c r="Q64" s="31"/>
      <c r="R64" s="31">
        <v>1</v>
      </c>
      <c r="S64" s="31"/>
    </row>
    <row r="65" spans="1:19" ht="15">
      <c r="A65" s="10" t="s">
        <v>70</v>
      </c>
      <c r="B65" s="12" t="s">
        <v>21</v>
      </c>
      <c r="C65" s="44">
        <f>C60*C62</f>
        <v>64.599999999999994</v>
      </c>
      <c r="D65" s="44">
        <f>D60*D62</f>
        <v>64.599999999999994</v>
      </c>
      <c r="E65" s="44">
        <f>E60*E62</f>
        <v>64.599999999999994</v>
      </c>
      <c r="F65" s="44">
        <f>F60*F62</f>
        <v>64.599999999999994</v>
      </c>
      <c r="G65" s="44">
        <f>G60*G62</f>
        <v>64.599999999999994</v>
      </c>
      <c r="H65" s="44"/>
      <c r="I65" s="44">
        <f>I60*I62</f>
        <v>102</v>
      </c>
      <c r="J65" s="44">
        <f t="shared" ref="J65:P65" si="68">J60*J62</f>
        <v>102</v>
      </c>
      <c r="K65" s="44">
        <f t="shared" si="68"/>
        <v>102</v>
      </c>
      <c r="L65" s="44">
        <f t="shared" si="68"/>
        <v>102</v>
      </c>
      <c r="M65" s="44">
        <f t="shared" si="68"/>
        <v>102</v>
      </c>
      <c r="N65" s="44">
        <f t="shared" si="68"/>
        <v>102</v>
      </c>
      <c r="O65" s="44">
        <f t="shared" si="68"/>
        <v>102</v>
      </c>
      <c r="P65" s="44">
        <f t="shared" si="68"/>
        <v>102</v>
      </c>
      <c r="Q65" s="44"/>
      <c r="R65" s="44">
        <f t="shared" ref="R65" si="69">R60*R62</f>
        <v>102</v>
      </c>
      <c r="S65" s="44"/>
    </row>
    <row r="66" spans="1:19" ht="15">
      <c r="A66" s="10" t="s">
        <v>71</v>
      </c>
      <c r="B66" s="12"/>
      <c r="C66" s="45">
        <f>C60*C61</f>
        <v>1653</v>
      </c>
      <c r="D66" s="45">
        <f>D60*D61</f>
        <v>1653</v>
      </c>
      <c r="E66" s="45">
        <f>E60*E61</f>
        <v>1653</v>
      </c>
      <c r="F66" s="45">
        <f>F60*F61</f>
        <v>1653</v>
      </c>
      <c r="G66" s="45">
        <f>G60*G61</f>
        <v>1653</v>
      </c>
      <c r="H66" s="45"/>
      <c r="I66" s="45">
        <f>I60*I61</f>
        <v>3900</v>
      </c>
      <c r="J66" s="45">
        <f t="shared" ref="J66:P66" si="70">J60*J61</f>
        <v>3900</v>
      </c>
      <c r="K66" s="45">
        <f t="shared" si="70"/>
        <v>3900</v>
      </c>
      <c r="L66" s="45">
        <f t="shared" si="70"/>
        <v>3900</v>
      </c>
      <c r="M66" s="45">
        <f t="shared" si="70"/>
        <v>3900</v>
      </c>
      <c r="N66" s="45">
        <f t="shared" si="70"/>
        <v>3900</v>
      </c>
      <c r="O66" s="45">
        <f t="shared" si="70"/>
        <v>3900</v>
      </c>
      <c r="P66" s="45">
        <f t="shared" si="70"/>
        <v>3900</v>
      </c>
      <c r="Q66" s="45"/>
      <c r="R66" s="45">
        <f t="shared" ref="R66" si="71">R60*R61</f>
        <v>3900</v>
      </c>
      <c r="S66" s="45"/>
    </row>
    <row r="67" spans="1:19" ht="15">
      <c r="A67" s="10" t="s">
        <v>72</v>
      </c>
      <c r="B67" s="12" t="s">
        <v>21</v>
      </c>
      <c r="C67" s="44">
        <f>C62*C60+(C60-1)*C64</f>
        <v>82.6</v>
      </c>
      <c r="D67" s="44">
        <f>D62*D60+(D60-1)*D64</f>
        <v>82.6</v>
      </c>
      <c r="E67" s="44">
        <f>E62*E60+(E60-1)*E64</f>
        <v>82.6</v>
      </c>
      <c r="F67" s="44">
        <f>F62*F60+(F60-1)*F64</f>
        <v>82.6</v>
      </c>
      <c r="G67" s="44">
        <f>G62*G60+(G60-1)*G64</f>
        <v>82.6</v>
      </c>
      <c r="H67" s="44"/>
      <c r="I67" s="44">
        <f>I62*I60+(I60-1)*I64</f>
        <v>131</v>
      </c>
      <c r="J67" s="44">
        <f t="shared" ref="J67:P67" si="72">J62*J60+(J60-1)*J64</f>
        <v>131</v>
      </c>
      <c r="K67" s="44">
        <f t="shared" si="72"/>
        <v>131</v>
      </c>
      <c r="L67" s="44">
        <f t="shared" si="72"/>
        <v>131</v>
      </c>
      <c r="M67" s="44">
        <f t="shared" si="72"/>
        <v>131</v>
      </c>
      <c r="N67" s="44">
        <f t="shared" si="72"/>
        <v>131</v>
      </c>
      <c r="O67" s="44">
        <f t="shared" si="72"/>
        <v>131</v>
      </c>
      <c r="P67" s="44">
        <f t="shared" si="72"/>
        <v>131</v>
      </c>
      <c r="Q67" s="44"/>
      <c r="R67" s="44">
        <f t="shared" ref="R67" si="73">R62*R60+(R60-1)*R64</f>
        <v>131</v>
      </c>
      <c r="S67" s="44"/>
    </row>
    <row r="69" spans="1:19">
      <c r="A69" s="1" t="s">
        <v>73</v>
      </c>
    </row>
    <row r="70" spans="1:19" ht="15">
      <c r="C70" s="84">
        <f>300/511.996</f>
        <v>0.58594207767248185</v>
      </c>
      <c r="D70" s="84">
        <f>300/511.996</f>
        <v>0.58594207767248185</v>
      </c>
      <c r="E70" s="84">
        <f>300/511.996</f>
        <v>0.58594207767248185</v>
      </c>
      <c r="F70" s="84">
        <f>300/511.996</f>
        <v>0.58594207767248185</v>
      </c>
      <c r="G70" s="84">
        <f>300/511.996</f>
        <v>0.58594207767248185</v>
      </c>
      <c r="H70" s="84"/>
      <c r="I70" s="84">
        <f t="shared" ref="I70:P70" si="74">300/511.996</f>
        <v>0.58594207767248185</v>
      </c>
      <c r="J70" s="84">
        <f t="shared" si="74"/>
        <v>0.58594207767248185</v>
      </c>
      <c r="K70" s="84">
        <f t="shared" si="74"/>
        <v>0.58594207767248185</v>
      </c>
      <c r="L70" s="84">
        <f t="shared" si="74"/>
        <v>0.58594207767248185</v>
      </c>
      <c r="M70" s="84">
        <f t="shared" si="74"/>
        <v>0.58594207767248185</v>
      </c>
      <c r="N70" s="84">
        <f t="shared" si="74"/>
        <v>0.58594207767248185</v>
      </c>
      <c r="O70" s="84">
        <f t="shared" si="74"/>
        <v>0.58594207767248185</v>
      </c>
      <c r="P70" s="84">
        <f t="shared" si="74"/>
        <v>0.58594207767248185</v>
      </c>
      <c r="Q70" s="84"/>
      <c r="R70" s="84">
        <f t="shared" ref="R70" si="75">300/511.996</f>
        <v>0.58594207767248185</v>
      </c>
      <c r="S70" s="84"/>
    </row>
    <row r="71" spans="1:19" ht="15">
      <c r="A71" s="42" t="s">
        <v>74</v>
      </c>
      <c r="B71" s="5" t="s">
        <v>21</v>
      </c>
      <c r="C71" s="44">
        <f>2*(C62+C64)</f>
        <v>8.8000000000000007</v>
      </c>
      <c r="D71" s="44">
        <f>2*(D62+D64)</f>
        <v>8.8000000000000007</v>
      </c>
      <c r="E71" s="44">
        <f>2*(E62+E64)</f>
        <v>8.8000000000000007</v>
      </c>
      <c r="F71" s="44">
        <f>2*(F62+F64)</f>
        <v>8.8000000000000007</v>
      </c>
      <c r="G71" s="44">
        <f>2*(G62+G64)</f>
        <v>8.8000000000000007</v>
      </c>
      <c r="H71" s="44"/>
      <c r="I71" s="44">
        <f>2*(I62+I64)</f>
        <v>8.8000000000000007</v>
      </c>
      <c r="J71" s="44">
        <f t="shared" ref="J71:P71" si="76">2*(J62+J64)</f>
        <v>8.8000000000000007</v>
      </c>
      <c r="K71" s="44">
        <f t="shared" si="76"/>
        <v>8.8000000000000007</v>
      </c>
      <c r="L71" s="44">
        <f t="shared" si="76"/>
        <v>8.8000000000000007</v>
      </c>
      <c r="M71" s="44">
        <f t="shared" si="76"/>
        <v>8.8000000000000007</v>
      </c>
      <c r="N71" s="44">
        <f t="shared" si="76"/>
        <v>8.8000000000000007</v>
      </c>
      <c r="O71" s="44">
        <f t="shared" si="76"/>
        <v>8.8000000000000007</v>
      </c>
      <c r="P71" s="44">
        <f t="shared" si="76"/>
        <v>8.8000000000000007</v>
      </c>
      <c r="Q71" s="44"/>
      <c r="R71" s="44">
        <f t="shared" ref="R71" si="77">2*(R62+R64)</f>
        <v>8.8000000000000007</v>
      </c>
      <c r="S71" s="44"/>
    </row>
    <row r="72" spans="1:19" ht="15">
      <c r="A72" s="42" t="s">
        <v>75</v>
      </c>
      <c r="B72" s="1" t="s">
        <v>63</v>
      </c>
      <c r="C72" s="46">
        <v>1</v>
      </c>
      <c r="D72" s="46">
        <v>1</v>
      </c>
      <c r="E72" s="46">
        <v>1</v>
      </c>
      <c r="F72" s="46">
        <v>1</v>
      </c>
      <c r="G72" s="46">
        <v>1</v>
      </c>
      <c r="H72" s="46"/>
      <c r="I72" s="46">
        <v>2</v>
      </c>
      <c r="J72" s="46">
        <v>2</v>
      </c>
      <c r="K72" s="46">
        <v>2</v>
      </c>
      <c r="L72" s="46">
        <v>2</v>
      </c>
      <c r="M72" s="46">
        <v>2</v>
      </c>
      <c r="N72" s="46">
        <v>2</v>
      </c>
      <c r="O72" s="46">
        <v>2</v>
      </c>
      <c r="P72" s="46">
        <v>2</v>
      </c>
      <c r="Q72" s="46"/>
      <c r="R72" s="46">
        <v>2</v>
      </c>
      <c r="S72" s="46"/>
    </row>
    <row r="73" spans="1:19" ht="15">
      <c r="A73" s="47" t="s">
        <v>76</v>
      </c>
      <c r="B73" s="5" t="s">
        <v>21</v>
      </c>
      <c r="C73" s="48">
        <f>C82/C72</f>
        <v>13.342563807926084</v>
      </c>
      <c r="D73" s="48">
        <f>D82/D72</f>
        <v>13.342563807926084</v>
      </c>
      <c r="E73" s="48">
        <f>E82/E72</f>
        <v>13.342563807926084</v>
      </c>
      <c r="F73" s="48">
        <f>F82/F72</f>
        <v>13.342563807926084</v>
      </c>
      <c r="G73" s="48">
        <f>G82/G72</f>
        <v>13.342563807926084</v>
      </c>
      <c r="H73" s="48"/>
      <c r="I73" s="48">
        <f>I82/I72</f>
        <v>5.8373716659676615</v>
      </c>
      <c r="J73" s="48">
        <f t="shared" ref="J73:P73" si="78">J82/J72</f>
        <v>6.6712819039630418</v>
      </c>
      <c r="K73" s="48">
        <f t="shared" si="78"/>
        <v>6.6712819039630418</v>
      </c>
      <c r="L73" s="48">
        <f t="shared" si="78"/>
        <v>6.6712819039630418</v>
      </c>
      <c r="M73" s="48">
        <f t="shared" si="78"/>
        <v>6.6712819039630418</v>
      </c>
      <c r="N73" s="48">
        <f t="shared" si="78"/>
        <v>6.6712819039630418</v>
      </c>
      <c r="O73" s="48">
        <f t="shared" si="78"/>
        <v>6.6712819039630418</v>
      </c>
      <c r="P73" s="48">
        <f t="shared" si="78"/>
        <v>6.6712819039630418</v>
      </c>
      <c r="Q73" s="48"/>
      <c r="R73" s="48">
        <f t="shared" ref="R73" si="79">R82/R72</f>
        <v>6.6712819039630418</v>
      </c>
      <c r="S73" s="48"/>
    </row>
    <row r="74" spans="1:19" ht="15">
      <c r="A74" s="18" t="s">
        <v>77</v>
      </c>
      <c r="B74" s="12" t="s">
        <v>21</v>
      </c>
      <c r="C74" s="90">
        <f>8*C73^2/SQRT(16*C73^2-C71^2)*(1+C76*(128*C73^4-40*C73^2*C71^2+C71^4)/(32*C73^2*C71*(16*C73^2-C71^2)))</f>
        <v>27.106050841741691</v>
      </c>
      <c r="D74" s="90">
        <f>8*D73^2/SQRT(16*D73^2-D71^2)*(1+D76*(128*D73^4-40*D73^2*D71^2+D71^4)/(32*D73^2*D71*(16*D73^2-D71^2)))</f>
        <v>27.106050841741691</v>
      </c>
      <c r="E74" s="90">
        <f>8*E73^2/SQRT(16*E73^2-E71^2)*(1+E76*(128*E73^4-40*E73^2*E71^2+E71^4)/(32*E73^2*E71*(16*E73^2-E71^2)))</f>
        <v>27.106050841741691</v>
      </c>
      <c r="F74" s="90">
        <f>8*F73^2/SQRT(16*F73^2-F71^2)*(1+F76*(128*F73^4-40*F73^2*F71^2+F71^4)/(32*F73^2*F71*(16*F73^2-F71^2)))</f>
        <v>27.106050841741691</v>
      </c>
      <c r="G74" s="90">
        <f>8*G73^2/SQRT(16*G73^2-G71^2)*(1+G76*(128*G73^4-40*G73^2*G71^2+G71^4)/(32*G73^2*G71*(16*G73^2-G71^2)))</f>
        <v>27.106050841741691</v>
      </c>
      <c r="H74" s="90"/>
      <c r="I74" s="90">
        <f>8*I73^2/SQRT(16*I73^2-I71^2)*(1+I76*(128*I73^4-40*I73^2*I71^2+I71^4)/(32*I73^2*I71*(16*I73^2-I71^2)))</f>
        <v>12.61435393606904</v>
      </c>
      <c r="J74" s="90">
        <f t="shared" ref="J74:P74" si="80">8*J73^2/SQRT(16*J73^2-J71^2)*(1+J76*(128*J73^4-40*J73^2*J71^2+J71^4)/(32*J73^2*J71*(16*J73^2-J71^2)))</f>
        <v>14.149161613868824</v>
      </c>
      <c r="K74" s="90">
        <f t="shared" si="80"/>
        <v>14.149161613868824</v>
      </c>
      <c r="L74" s="90">
        <f t="shared" si="80"/>
        <v>14.149161613868824</v>
      </c>
      <c r="M74" s="90">
        <f t="shared" si="80"/>
        <v>14.149161613868824</v>
      </c>
      <c r="N74" s="90">
        <f t="shared" si="80"/>
        <v>14.149161613868824</v>
      </c>
      <c r="O74" s="90">
        <f t="shared" si="80"/>
        <v>14.149161613868824</v>
      </c>
      <c r="P74" s="90">
        <f t="shared" si="80"/>
        <v>14.149161613868824</v>
      </c>
      <c r="Q74" s="90"/>
      <c r="R74" s="90">
        <f t="shared" ref="R74" si="81">8*R73^2/SQRT(16*R73^2-R71^2)*(1+R76*(128*R73^4-40*R73^2*R71^2+R71^4)/(32*R73^2*R71*(16*R73^2-R71^2)))</f>
        <v>14.149161613868824</v>
      </c>
      <c r="S74" s="90"/>
    </row>
    <row r="75" spans="1:19" ht="15">
      <c r="A75" s="18" t="s">
        <v>78</v>
      </c>
      <c r="B75" s="87" t="s">
        <v>23</v>
      </c>
      <c r="C75" s="49">
        <v>0.45</v>
      </c>
      <c r="D75" s="49">
        <v>0.45</v>
      </c>
      <c r="E75" s="49">
        <v>0.45</v>
      </c>
      <c r="F75" s="49">
        <v>0.45</v>
      </c>
      <c r="G75" s="49">
        <v>0.45</v>
      </c>
      <c r="H75" s="49"/>
      <c r="I75" s="49">
        <v>0.45</v>
      </c>
      <c r="J75" s="49">
        <v>0.45</v>
      </c>
      <c r="K75" s="49">
        <v>0.45</v>
      </c>
      <c r="L75" s="49">
        <v>0.45</v>
      </c>
      <c r="M75" s="49">
        <v>0.45</v>
      </c>
      <c r="N75" s="49">
        <v>0.45</v>
      </c>
      <c r="O75" s="49">
        <v>0.45</v>
      </c>
      <c r="P75" s="49">
        <v>0.45</v>
      </c>
      <c r="Q75" s="49"/>
      <c r="R75" s="49">
        <v>0.45</v>
      </c>
      <c r="S75" s="49"/>
    </row>
    <row r="76" spans="1:19" ht="15">
      <c r="A76" s="42" t="s">
        <v>164</v>
      </c>
      <c r="B76" s="87" t="s">
        <v>21</v>
      </c>
      <c r="C76" s="89">
        <v>7.3999999999999996E-2</v>
      </c>
      <c r="D76" s="89">
        <v>7.3999999999999996E-2</v>
      </c>
      <c r="E76" s="89">
        <v>7.3999999999999996E-2</v>
      </c>
      <c r="F76" s="89">
        <v>7.3999999999999996E-2</v>
      </c>
      <c r="G76" s="89">
        <v>7.3999999999999996E-2</v>
      </c>
      <c r="H76" s="89"/>
      <c r="I76" s="89">
        <v>7.3999999999999996E-2</v>
      </c>
      <c r="J76" s="89">
        <v>7.3999999999999996E-2</v>
      </c>
      <c r="K76" s="89">
        <v>7.3999999999999996E-2</v>
      </c>
      <c r="L76" s="89">
        <v>7.3999999999999996E-2</v>
      </c>
      <c r="M76" s="89">
        <v>7.3999999999999996E-2</v>
      </c>
      <c r="N76" s="89">
        <v>7.3999999999999996E-2</v>
      </c>
      <c r="O76" s="89">
        <v>7.3999999999999996E-2</v>
      </c>
      <c r="P76" s="89">
        <v>7.3999999999999996E-2</v>
      </c>
      <c r="Q76" s="89"/>
      <c r="R76" s="89">
        <v>7.3999999999999996E-2</v>
      </c>
      <c r="S76" s="89"/>
    </row>
    <row r="77" spans="1:19" ht="15">
      <c r="A77" s="13" t="s">
        <v>79</v>
      </c>
      <c r="B77" s="87"/>
      <c r="C77" s="50" t="b">
        <v>0</v>
      </c>
      <c r="D77" s="50" t="b">
        <v>0</v>
      </c>
      <c r="E77" s="50" t="b">
        <v>0</v>
      </c>
      <c r="F77" s="50" t="b">
        <v>0</v>
      </c>
      <c r="G77" s="50" t="b">
        <v>0</v>
      </c>
      <c r="H77" s="50"/>
      <c r="I77" s="50" t="b">
        <v>0</v>
      </c>
      <c r="J77" s="50" t="b">
        <v>0</v>
      </c>
      <c r="K77" s="50" t="b">
        <v>0</v>
      </c>
      <c r="L77" s="50" t="b">
        <v>0</v>
      </c>
      <c r="M77" s="50" t="b">
        <v>0</v>
      </c>
      <c r="N77" s="50" t="b">
        <v>0</v>
      </c>
      <c r="O77" s="50" t="b">
        <v>0</v>
      </c>
      <c r="P77" s="50" t="b">
        <v>0</v>
      </c>
      <c r="Q77" s="50"/>
      <c r="R77" s="50" t="b">
        <v>0</v>
      </c>
      <c r="S77" s="50"/>
    </row>
    <row r="78" spans="1:19" ht="15">
      <c r="A78" s="18" t="s">
        <v>80</v>
      </c>
      <c r="B78" s="52" t="s">
        <v>23</v>
      </c>
      <c r="C78" s="51">
        <f>SQRT(C19*10^-6*C84/C81)*10^6</f>
        <v>24.688388805295979</v>
      </c>
      <c r="D78" s="51">
        <f>SQRT(D19*10^-6*D84/D81)*10^6</f>
        <v>26.838909947540142</v>
      </c>
      <c r="E78" s="51">
        <f>SQRT(E19*10^-6*E84/E81)*10^6</f>
        <v>27.807514317698057</v>
      </c>
      <c r="F78" s="51">
        <f>SQRT(F19*10^-6*F84/F81)*10^6</f>
        <v>28.363870053913544</v>
      </c>
      <c r="G78" s="51">
        <f>SQRT(G19*10^-6*G84/G81)*10^6</f>
        <v>28.725986808504043</v>
      </c>
      <c r="H78" s="51"/>
      <c r="I78" s="51">
        <f>SQRT(I19*10^-6*I84/I81)*10^6</f>
        <v>20.916429217875297</v>
      </c>
      <c r="J78" s="51">
        <f t="shared" ref="J78:P78" si="82">SQRT(J19*10^-6*J84/J81)*10^6</f>
        <v>20.874285445156183</v>
      </c>
      <c r="K78" s="51">
        <f t="shared" si="82"/>
        <v>21.092923235868394</v>
      </c>
      <c r="L78" s="51">
        <f t="shared" si="82"/>
        <v>21.323513234228169</v>
      </c>
      <c r="M78" s="51">
        <f t="shared" si="82"/>
        <v>21.443667647405089</v>
      </c>
      <c r="N78" s="51">
        <f t="shared" si="82"/>
        <v>21.484479966695353</v>
      </c>
      <c r="O78" s="51">
        <f t="shared" si="82"/>
        <v>17.272920332281796</v>
      </c>
      <c r="P78" s="51">
        <f t="shared" si="82"/>
        <v>15.055911467111255</v>
      </c>
      <c r="Q78" s="51"/>
      <c r="R78" s="51">
        <f t="shared" ref="R78" si="83">SQRT(R19*10^-6*R84/R81)*10^6</f>
        <v>33.568398825336445</v>
      </c>
      <c r="S78" s="51"/>
    </row>
    <row r="79" spans="1:19" ht="17">
      <c r="A79" s="20" t="s">
        <v>162</v>
      </c>
      <c r="B79" s="88"/>
      <c r="C79" s="85">
        <v>3</v>
      </c>
      <c r="D79" s="85">
        <v>3</v>
      </c>
      <c r="E79" s="85">
        <v>3</v>
      </c>
      <c r="F79" s="85">
        <v>3</v>
      </c>
      <c r="G79" s="85">
        <v>3</v>
      </c>
      <c r="H79" s="85"/>
      <c r="I79" s="85">
        <v>3</v>
      </c>
      <c r="J79" s="85">
        <v>3</v>
      </c>
      <c r="K79" s="85">
        <v>3</v>
      </c>
      <c r="L79" s="85">
        <v>3</v>
      </c>
      <c r="M79" s="85">
        <v>3</v>
      </c>
      <c r="N79" s="85">
        <v>3</v>
      </c>
      <c r="O79" s="85">
        <v>3</v>
      </c>
      <c r="P79" s="85">
        <v>3</v>
      </c>
      <c r="Q79" s="85"/>
      <c r="R79" s="85">
        <v>3</v>
      </c>
      <c r="S79" s="85"/>
    </row>
    <row r="80" spans="1:19" ht="17">
      <c r="A80" s="20" t="s">
        <v>81</v>
      </c>
      <c r="B80" s="12"/>
      <c r="C80" s="83">
        <f>C79/3000*C13</f>
        <v>0.70000000000000007</v>
      </c>
      <c r="D80" s="83">
        <f>D79/3000*D13</f>
        <v>0.70000000000000007</v>
      </c>
      <c r="E80" s="83">
        <f>E79/3000*E13</f>
        <v>0.70000000000000007</v>
      </c>
      <c r="F80" s="83">
        <f>F79/3000*F13</f>
        <v>0.70000000000000007</v>
      </c>
      <c r="G80" s="83">
        <f>G79/3000*G13</f>
        <v>0.70000000000000007</v>
      </c>
      <c r="H80" s="83"/>
      <c r="I80" s="83">
        <f>I79/3000*I13</f>
        <v>0.70000000000000007</v>
      </c>
      <c r="J80" s="83">
        <f t="shared" ref="J80:P80" si="84">J79/3000*J13</f>
        <v>0.70000000000000007</v>
      </c>
      <c r="K80" s="83">
        <f t="shared" si="84"/>
        <v>0.70000000000000007</v>
      </c>
      <c r="L80" s="83">
        <f t="shared" si="84"/>
        <v>0.70000000000000007</v>
      </c>
      <c r="M80" s="83">
        <f t="shared" si="84"/>
        <v>0.70000000000000007</v>
      </c>
      <c r="N80" s="83">
        <f t="shared" si="84"/>
        <v>0.70000000000000007</v>
      </c>
      <c r="O80" s="83">
        <f t="shared" si="84"/>
        <v>0.5</v>
      </c>
      <c r="P80" s="83">
        <f t="shared" si="84"/>
        <v>0.45</v>
      </c>
      <c r="Q80" s="83"/>
      <c r="R80" s="83">
        <f t="shared" ref="R80" si="85">R79/3000*R13</f>
        <v>0.5</v>
      </c>
      <c r="S80" s="83"/>
    </row>
    <row r="81" spans="1:19">
      <c r="A81" s="18" t="s">
        <v>2</v>
      </c>
      <c r="B81" s="12"/>
      <c r="C81" s="24">
        <f>C10/0.00051099906</f>
        <v>7827.8030491876052</v>
      </c>
      <c r="D81" s="24">
        <f>D10/0.00051099906</f>
        <v>7827.8030491876052</v>
      </c>
      <c r="E81" s="24">
        <f>E10/0.00051099906</f>
        <v>7827.8030491876052</v>
      </c>
      <c r="F81" s="24">
        <f>F10/0.00051099906</f>
        <v>7827.8030491876052</v>
      </c>
      <c r="G81" s="24">
        <f>G10/0.00051099906</f>
        <v>7827.8030491876052</v>
      </c>
      <c r="H81" s="24"/>
      <c r="I81" s="24">
        <f>I10/0.00051099906</f>
        <v>6849.3276680391546</v>
      </c>
      <c r="J81" s="24">
        <f t="shared" ref="J81:P81" si="86">J10/0.00051099906</f>
        <v>7827.8030491876052</v>
      </c>
      <c r="K81" s="24">
        <f t="shared" si="86"/>
        <v>7827.8030491876052</v>
      </c>
      <c r="L81" s="24">
        <f t="shared" si="86"/>
        <v>7827.8030491876052</v>
      </c>
      <c r="M81" s="24">
        <f t="shared" si="86"/>
        <v>7827.8030491876052</v>
      </c>
      <c r="N81" s="24">
        <f t="shared" si="86"/>
        <v>7827.8030491876052</v>
      </c>
      <c r="O81" s="24">
        <f t="shared" si="86"/>
        <v>7827.8030491876052</v>
      </c>
      <c r="P81" s="24">
        <f t="shared" si="86"/>
        <v>7827.8030491876052</v>
      </c>
      <c r="Q81" s="24"/>
      <c r="R81" s="24">
        <f t="shared" ref="R81" si="87">R10/0.00051099906</f>
        <v>7827.8030491876052</v>
      </c>
      <c r="S81" s="24"/>
    </row>
    <row r="82" spans="1:19" ht="15">
      <c r="A82" s="54" t="s">
        <v>82</v>
      </c>
      <c r="B82" s="12" t="s">
        <v>83</v>
      </c>
      <c r="C82" s="55">
        <f>C10/0.299792458</f>
        <v>13.342563807926084</v>
      </c>
      <c r="D82" s="55">
        <f>D10/0.299792458</f>
        <v>13.342563807926084</v>
      </c>
      <c r="E82" s="55">
        <f>E10/0.299792458</f>
        <v>13.342563807926084</v>
      </c>
      <c r="F82" s="55">
        <f>F10/0.299792458</f>
        <v>13.342563807926084</v>
      </c>
      <c r="G82" s="55">
        <f>G10/0.299792458</f>
        <v>13.342563807926084</v>
      </c>
      <c r="H82" s="55"/>
      <c r="I82" s="55">
        <f>I10/0.299792458</f>
        <v>11.674743331935323</v>
      </c>
      <c r="J82" s="55">
        <f t="shared" ref="J82:P82" si="88">J10/0.299792458</f>
        <v>13.342563807926084</v>
      </c>
      <c r="K82" s="55">
        <f t="shared" si="88"/>
        <v>13.342563807926084</v>
      </c>
      <c r="L82" s="55">
        <f t="shared" si="88"/>
        <v>13.342563807926084</v>
      </c>
      <c r="M82" s="55">
        <f t="shared" si="88"/>
        <v>13.342563807926084</v>
      </c>
      <c r="N82" s="55">
        <f t="shared" si="88"/>
        <v>13.342563807926084</v>
      </c>
      <c r="O82" s="55">
        <f t="shared" si="88"/>
        <v>13.342563807926084</v>
      </c>
      <c r="P82" s="55">
        <f t="shared" si="88"/>
        <v>13.342563807926084</v>
      </c>
      <c r="Q82" s="55"/>
      <c r="R82" s="55">
        <f t="shared" ref="R82" si="89">R10/0.299792458</f>
        <v>13.342563807926084</v>
      </c>
      <c r="S82" s="55"/>
    </row>
    <row r="83" spans="1:19" ht="16">
      <c r="A83" s="10" t="s">
        <v>84</v>
      </c>
      <c r="B83" s="12" t="s">
        <v>85</v>
      </c>
      <c r="C83" s="24">
        <f>(C11*10^-12)/C159*10^-9</f>
        <v>0.3744903817856417</v>
      </c>
      <c r="D83" s="24">
        <f>(D11*10^-12)/D159*10^-9</f>
        <v>0.3744903817856417</v>
      </c>
      <c r="E83" s="24">
        <f>(E11*10^-12)/E159*10^-9</f>
        <v>0.3744903817856417</v>
      </c>
      <c r="F83" s="24">
        <f>(F11*10^-12)/F159*10^-9</f>
        <v>0.3744903817856417</v>
      </c>
      <c r="G83" s="24">
        <f>(G11*10^-12)/G159*10^-9</f>
        <v>0.3744903817856417</v>
      </c>
      <c r="H83" s="24"/>
      <c r="I83" s="24">
        <f>(I11*10^-12)/I159*10^-9</f>
        <v>0.3744903817856417</v>
      </c>
      <c r="J83" s="24">
        <f t="shared" ref="J83:P83" si="90">(J11*10^-12)/J159*10^-9</f>
        <v>0.3744903817856417</v>
      </c>
      <c r="K83" s="24">
        <f t="shared" si="90"/>
        <v>0.3744903817856417</v>
      </c>
      <c r="L83" s="24">
        <f t="shared" si="90"/>
        <v>0.3744903817856417</v>
      </c>
      <c r="M83" s="24">
        <f t="shared" si="90"/>
        <v>0.3744903817856417</v>
      </c>
      <c r="N83" s="24">
        <f t="shared" si="90"/>
        <v>0.3744903817856417</v>
      </c>
      <c r="O83" s="24">
        <f t="shared" si="90"/>
        <v>0.12483012726188056</v>
      </c>
      <c r="P83" s="24">
        <f t="shared" si="90"/>
        <v>6.2415063630940279E-2</v>
      </c>
      <c r="Q83" s="24"/>
      <c r="R83" s="24">
        <f t="shared" ref="R83" si="91">(R11*10^-12)/R159*10^-9</f>
        <v>0.12483012726188056</v>
      </c>
      <c r="S83" s="24"/>
    </row>
    <row r="84" spans="1:19" ht="15">
      <c r="A84" s="18" t="s">
        <v>86</v>
      </c>
      <c r="B84" s="12" t="s">
        <v>21</v>
      </c>
      <c r="C84" s="40">
        <f>1/SQRT((C55*C49/(2*SQRT(2)*C81))^2+(1/C18)^2)</f>
        <v>18.552177129151822</v>
      </c>
      <c r="D84" s="40">
        <f>1/SQRT((D55*D49/(2*SQRT(2)*D81))^2+(1/D18)^2)</f>
        <v>21.924976265036246</v>
      </c>
      <c r="E84" s="40">
        <f>1/SQRT((E55*E49/(2*SQRT(2)*E81))^2+(1/E18)^2)</f>
        <v>23.536057945574179</v>
      </c>
      <c r="F84" s="40">
        <f>1/SQRT((F55*F49/(2*SQRT(2)*F81))^2+(1/F18)^2)</f>
        <v>24.487269425747627</v>
      </c>
      <c r="G84" s="40">
        <f>1/SQRT((G55*G49/(2*SQRT(2)*G81))^2+(1/G18)^2)</f>
        <v>25.116510348354822</v>
      </c>
      <c r="H84" s="40"/>
      <c r="I84" s="40">
        <f>1/SQRT((I55*I49/(2*SQRT(2)*I81))^2+(1/I18)^2)</f>
        <v>11.651786789966163</v>
      </c>
      <c r="J84" s="40">
        <f t="shared" ref="J84:P84" si="92">1/SQRT((J55*J49/(2*SQRT(2)*J81))^2+(1/J18)^2)</f>
        <v>13.262720625260595</v>
      </c>
      <c r="K84" s="40">
        <f t="shared" si="92"/>
        <v>13.542003753453081</v>
      </c>
      <c r="L84" s="40">
        <f t="shared" si="92"/>
        <v>13.839707315590456</v>
      </c>
      <c r="M84" s="40">
        <f t="shared" si="92"/>
        <v>13.996115594012279</v>
      </c>
      <c r="N84" s="40">
        <f t="shared" si="92"/>
        <v>14.049442060805921</v>
      </c>
      <c r="O84" s="40">
        <f t="shared" si="92"/>
        <v>14.092544905407404</v>
      </c>
      <c r="P84" s="40">
        <f t="shared" si="92"/>
        <v>14.128107487858641</v>
      </c>
      <c r="Q84" s="40"/>
      <c r="R84" s="40">
        <f t="shared" ref="R84" si="93">1/SQRT((R55*R49/(2*SQRT(2)*R81))^2+(1/R18)^2)</f>
        <v>26.612712643286713</v>
      </c>
      <c r="S84" s="40"/>
    </row>
    <row r="85" spans="1:19" ht="15">
      <c r="A85" s="23" t="s">
        <v>163</v>
      </c>
      <c r="B85" s="12"/>
      <c r="C85" s="24">
        <f>C19/(C81*C117)*10^6</f>
        <v>8.3248034824894998E-2</v>
      </c>
      <c r="D85" s="24">
        <f>D19/(D81*D117)*10^6</f>
        <v>0.16649606964979</v>
      </c>
      <c r="E85" s="24">
        <f>E19/(E81*E117)*10^6</f>
        <v>0.24974410447468495</v>
      </c>
      <c r="F85" s="24">
        <f>F19/(F81*F117)*10^6</f>
        <v>0.33299213929957999</v>
      </c>
      <c r="G85" s="24">
        <f>G19/(G81*G117)*10^6</f>
        <v>0.41624017412447489</v>
      </c>
      <c r="H85" s="24"/>
      <c r="I85" s="24">
        <f>I19/(I81*I117)*10^6</f>
        <v>0.3805624449138057</v>
      </c>
      <c r="J85" s="24">
        <f t="shared" ref="J85:P85" si="94">J19/(J81*J117)*10^6</f>
        <v>0.49948820894936991</v>
      </c>
      <c r="K85" s="24">
        <f t="shared" si="94"/>
        <v>0.66598427859915998</v>
      </c>
      <c r="L85" s="24">
        <f t="shared" si="94"/>
        <v>0.99897641789873981</v>
      </c>
      <c r="M85" s="24">
        <f t="shared" si="94"/>
        <v>1.33196855719832</v>
      </c>
      <c r="N85" s="24">
        <f t="shared" si="94"/>
        <v>1.4984646268481097</v>
      </c>
      <c r="O85" s="24">
        <f t="shared" si="94"/>
        <v>1.0728907079956069</v>
      </c>
      <c r="P85" s="24">
        <f t="shared" si="94"/>
        <v>0.8944090210902067</v>
      </c>
      <c r="Q85" s="24"/>
      <c r="R85" s="24">
        <f t="shared" ref="R85" si="95">R19/(R81*R117)*10^6</f>
        <v>2.1457814159912139</v>
      </c>
      <c r="S85" s="24"/>
    </row>
    <row r="86" spans="1:19" ht="15">
      <c r="A86" s="10" t="s">
        <v>87</v>
      </c>
      <c r="B86" s="12" t="s">
        <v>33</v>
      </c>
      <c r="C86" s="53">
        <f>C13*C81*C161/1000</f>
        <v>2800</v>
      </c>
      <c r="D86" s="53">
        <f>D13*D81*D161/1000</f>
        <v>2800</v>
      </c>
      <c r="E86" s="53">
        <f>E13*E81*E161/1000</f>
        <v>2800</v>
      </c>
      <c r="F86" s="53">
        <f>F13*F81*F161/1000</f>
        <v>2800</v>
      </c>
      <c r="G86" s="53">
        <f>G13*G81*G161/1000</f>
        <v>2800</v>
      </c>
      <c r="H86" s="53"/>
      <c r="I86" s="53">
        <f>I13*I81*I161/1000</f>
        <v>2450</v>
      </c>
      <c r="J86" s="53">
        <f t="shared" ref="J86:P86" si="96">J13*J81*J161/1000</f>
        <v>2800</v>
      </c>
      <c r="K86" s="53">
        <f t="shared" si="96"/>
        <v>2800</v>
      </c>
      <c r="L86" s="53">
        <f t="shared" si="96"/>
        <v>2800</v>
      </c>
      <c r="M86" s="53">
        <f t="shared" si="96"/>
        <v>2800</v>
      </c>
      <c r="N86" s="53">
        <f t="shared" si="96"/>
        <v>2800</v>
      </c>
      <c r="O86" s="53">
        <f t="shared" si="96"/>
        <v>1999.9999999999998</v>
      </c>
      <c r="P86" s="53">
        <f t="shared" si="96"/>
        <v>1799.9999999999998</v>
      </c>
      <c r="Q86" s="53"/>
      <c r="R86" s="53">
        <f t="shared" ref="R86" si="97">R13*R81*R161/1000</f>
        <v>1999.9999999999998</v>
      </c>
      <c r="S86" s="53"/>
    </row>
    <row r="87" spans="1:19" ht="16">
      <c r="A87" s="10" t="s">
        <v>88</v>
      </c>
      <c r="B87" s="10" t="s">
        <v>89</v>
      </c>
      <c r="C87" s="35">
        <f>C83*10^9/(2*PI()*(C78*10^-6)^2*SQRT(IF(C21="Flat-Top",12,2*PI()))*(C22*10^-6))*10^-22</f>
        <v>0.38054094278708339</v>
      </c>
      <c r="D87" s="35">
        <f>D83*10^9/(2*PI()*(D78*10^-6)^2*SQRT(IF(D21="Flat-Top",12,2*PI()))*(D22*10^-6))*10^-22</f>
        <v>0.32200094039503074</v>
      </c>
      <c r="E87" s="35">
        <f>E83*10^9/(2*PI()*(E78*10^-6)^2*SQRT(IF(E21="Flat-Top",12,2*PI()))*(E22*10^-6))*10^-22</f>
        <v>0.29995944910596073</v>
      </c>
      <c r="F87" s="35">
        <f>F83*10^9/(2*PI()*(F78*10^-6)^2*SQRT(IF(F21="Flat-Top",12,2*PI()))*(F22*10^-6))*10^-22</f>
        <v>0.28830748144001583</v>
      </c>
      <c r="G87" s="35">
        <f>G83*10^9/(2*PI()*(G78*10^-6)^2*SQRT(IF(G21="Flat-Top",12,2*PI()))*(G22*10^-6))*10^-22</f>
        <v>0.28108454867189914</v>
      </c>
      <c r="H87" s="35"/>
      <c r="I87" s="35">
        <f>I83*10^9/(2*PI()*(I78*10^-6)^2*SQRT(IF(I21="Flat-Top",12,2*PI()))*(I22*10^-6))*10^-22</f>
        <v>0.53016590630245208</v>
      </c>
      <c r="J87" s="35">
        <f t="shared" ref="J87:P87" si="98">J83*10^9/(2*PI()*(J78*10^-6)^2*SQRT(IF(J21="Flat-Top",12,2*PI()))*(J22*10^-6))*10^-22</f>
        <v>0.53230880563328509</v>
      </c>
      <c r="K87" s="35">
        <f t="shared" si="98"/>
        <v>0.52133075016171115</v>
      </c>
      <c r="L87" s="35">
        <f t="shared" si="98"/>
        <v>0.51011649412032389</v>
      </c>
      <c r="M87" s="35">
        <f t="shared" si="98"/>
        <v>0.50441588082486988</v>
      </c>
      <c r="N87" s="35">
        <f t="shared" si="98"/>
        <v>0.5025013053846088</v>
      </c>
      <c r="O87" s="35">
        <f t="shared" si="98"/>
        <v>0.55529953625867412</v>
      </c>
      <c r="P87" s="35">
        <f t="shared" si="98"/>
        <v>0.65778998270800126</v>
      </c>
      <c r="Q87" s="35"/>
      <c r="R87" s="35">
        <f t="shared" ref="R87" si="99">R83*10^9/(2*PI()*(R78*10^-6)^2*SQRT(IF(R21="Flat-Top",12,2*PI()))*(R22*10^-6))*10^-22</f>
        <v>0.1470271699764388</v>
      </c>
      <c r="S87" s="35"/>
    </row>
    <row r="89" spans="1:19">
      <c r="A89" s="1" t="s">
        <v>90</v>
      </c>
    </row>
    <row r="91" spans="1:19" ht="16">
      <c r="A91" s="18" t="s">
        <v>91</v>
      </c>
      <c r="B91" s="12" t="s">
        <v>25</v>
      </c>
      <c r="C91" s="40">
        <f>((C48^2*C55^2*IF(C54,2,1)*C160*(C87*10^22)*IF(C54,1,C94^2))/(32*PI()))^(1/3)/C81*10^4</f>
        <v>17.203745528304875</v>
      </c>
      <c r="D91" s="40">
        <f>((D48^2*D55^2*IF(D54,2,1)*D160*(D87*10^22)*IF(D54,1,D94^2))/(32*PI()))^(1/3)/D81*10^4</f>
        <v>12.867908045807788</v>
      </c>
      <c r="E91" s="40">
        <f>((E48^2*E55^2*IF(E54,2,1)*E160*(E87*10^22)*IF(E54,1,E94^2))/(32*PI()))^(1/3)/E81*10^4</f>
        <v>10.909278577548134</v>
      </c>
      <c r="F91" s="40">
        <f>((F48^2*F55^2*IF(F54,2,1)*F160*(F87*10^22)*IF(F54,1,F94^2))/(32*PI()))^(1/3)/F81*10^4</f>
        <v>9.6915294729343362</v>
      </c>
      <c r="G91" s="40">
        <f>((G48^2*G55^2*IF(G54,2,1)*G160*(G87*10^22)*IF(G54,1,G94^2))/(32*PI()))^(1/3)/G81*10^4</f>
        <v>8.809936723407251</v>
      </c>
      <c r="H91" s="40"/>
      <c r="I91" s="40">
        <f>((I48^2*I55^2*IF(I54,2,1)*I160*(I87*10^22)*IF(I54,1,I94^2))/(32*PI()))^(1/3)/I81*10^4</f>
        <v>10.90077977827001</v>
      </c>
      <c r="J91" s="40">
        <f t="shared" ref="J91:P91" si="100">((J48^2*J55^2*IF(J54,2,1)*J160*(J87*10^22)*IF(J54,1,J94^2))/(32*PI()))^(1/3)/J81*10^4</f>
        <v>9.0733443654519768</v>
      </c>
      <c r="K91" s="40">
        <f t="shared" si="100"/>
        <v>8.0444828405590272</v>
      </c>
      <c r="L91" s="40">
        <f t="shared" si="100"/>
        <v>6.585023941041082</v>
      </c>
      <c r="M91" s="40">
        <f t="shared" si="100"/>
        <v>5.3585475143052808</v>
      </c>
      <c r="N91" s="40">
        <f t="shared" si="100"/>
        <v>4.7119090368680299</v>
      </c>
      <c r="O91" s="40">
        <f t="shared" si="100"/>
        <v>4.0940111048701988</v>
      </c>
      <c r="P91" s="40">
        <f t="shared" si="100"/>
        <v>3.1593308001565705</v>
      </c>
      <c r="Q91" s="40"/>
      <c r="R91" s="40">
        <f t="shared" ref="R91" si="101">((R48^2*R55^2*IF(R54,2,1)*R160*(R87*10^22)*IF(R54,1,R94^2))/(32*PI()))^(1/3)/R81*10^4</f>
        <v>2.6288901874115571</v>
      </c>
      <c r="S91" s="40"/>
    </row>
    <row r="92" spans="1:19" ht="15">
      <c r="A92" s="26" t="s">
        <v>92</v>
      </c>
      <c r="B92" s="12" t="s">
        <v>21</v>
      </c>
      <c r="C92" s="35">
        <f>C48/(4*PI()*SQRT(3)*C91*10^-4)</f>
        <v>1.0415283736746694</v>
      </c>
      <c r="D92" s="35">
        <f>D48/(4*PI()*SQRT(3)*D91*10^-4)</f>
        <v>1.3924710246158292</v>
      </c>
      <c r="E92" s="35">
        <f>E48/(4*PI()*SQRT(3)*E91*10^-4)</f>
        <v>1.642472412253255</v>
      </c>
      <c r="F92" s="35">
        <f>F48/(4*PI()*SQRT(3)*F91*10^-4)</f>
        <v>1.8488504989071757</v>
      </c>
      <c r="G92" s="35">
        <f>G48/(4*PI()*SQRT(3)*G91*10^-4)</f>
        <v>2.0338612709443349</v>
      </c>
      <c r="H92" s="35"/>
      <c r="I92" s="35">
        <f>I48/(4*PI()*SQRT(3)*I91*10^-4)</f>
        <v>1.0958353112148898</v>
      </c>
      <c r="J92" s="35">
        <f t="shared" ref="J92:P92" si="102">J48/(4*PI()*SQRT(3)*J91*10^-4)</f>
        <v>1.3165442553122413</v>
      </c>
      <c r="K92" s="35">
        <f t="shared" si="102"/>
        <v>1.4849257108957152</v>
      </c>
      <c r="L92" s="35">
        <f t="shared" si="102"/>
        <v>1.8140343160114518</v>
      </c>
      <c r="M92" s="35">
        <f t="shared" si="102"/>
        <v>2.2292345768915305</v>
      </c>
      <c r="N92" s="35">
        <f t="shared" si="102"/>
        <v>2.5351634140937387</v>
      </c>
      <c r="O92" s="35">
        <f t="shared" si="102"/>
        <v>2.9177887149830353</v>
      </c>
      <c r="P92" s="35">
        <f t="shared" si="102"/>
        <v>3.7810093834471208</v>
      </c>
      <c r="Q92" s="35"/>
      <c r="R92" s="35">
        <f t="shared" ref="R92" si="103">R48/(4*PI()*SQRT(3)*R91*10^-4)</f>
        <v>4.5439172233234908</v>
      </c>
      <c r="S92" s="35"/>
    </row>
    <row r="93" spans="1:19">
      <c r="A93" s="23" t="s">
        <v>93</v>
      </c>
      <c r="B93" s="12"/>
      <c r="C93" s="17">
        <f>C55^2/2/(1+C55^2/2)</f>
        <v>0.93583054615189831</v>
      </c>
      <c r="D93" s="17">
        <f>D55^2/2/(1+D55^2/2)</f>
        <v>0.87166109230379663</v>
      </c>
      <c r="E93" s="17">
        <f>E55^2/2/(1+E55^2/2)</f>
        <v>0.80749163845569494</v>
      </c>
      <c r="F93" s="17">
        <f>F55^2/2/(1+F55^2/2)</f>
        <v>0.74332218460759325</v>
      </c>
      <c r="G93" s="17">
        <f>G55^2/2/(1+G55^2/2)</f>
        <v>0.67915273075949156</v>
      </c>
      <c r="H93" s="17"/>
      <c r="I93" s="17">
        <f>I55^2/2/(1+I55^2/2)</f>
        <v>0.77649822877395891</v>
      </c>
      <c r="J93" s="17">
        <f t="shared" ref="J93:P93" si="104">J55^2/2/(1+J55^2/2)</f>
        <v>0.74332218460759336</v>
      </c>
      <c r="K93" s="17">
        <f t="shared" si="104"/>
        <v>0.65776291281012433</v>
      </c>
      <c r="L93" s="17">
        <f t="shared" si="104"/>
        <v>0.48664436921518672</v>
      </c>
      <c r="M93" s="17">
        <f t="shared" si="104"/>
        <v>0.31552582562024878</v>
      </c>
      <c r="N93" s="17">
        <f t="shared" si="104"/>
        <v>0.22996655382277981</v>
      </c>
      <c r="O93" s="17">
        <f t="shared" si="104"/>
        <v>0.14440728202531117</v>
      </c>
      <c r="P93" s="17">
        <f t="shared" si="104"/>
        <v>5.8848010227842015E-2</v>
      </c>
      <c r="Q93" s="17"/>
      <c r="R93" s="17">
        <f t="shared" ref="R93" si="105">R55^2/2/(1+R55^2/2)</f>
        <v>0.14440728202531117</v>
      </c>
      <c r="S93" s="17"/>
    </row>
    <row r="94" spans="1:19">
      <c r="A94" s="10" t="s">
        <v>1</v>
      </c>
      <c r="B94" s="12"/>
      <c r="C94" s="17">
        <f>BESSELJ(C93/2,0)-BESSELJ(C93/2,1)</f>
        <v>0.71839548713969192</v>
      </c>
      <c r="D94" s="17">
        <f>BESSELJ(D93/2,0)-BESSELJ(D93/2,1)</f>
        <v>0.74029174087664174</v>
      </c>
      <c r="E94" s="17">
        <f>BESSELJ(E93/2,0)-BESSELJ(E93/2,1)</f>
        <v>0.7618733255386626</v>
      </c>
      <c r="F94" s="17">
        <f>BESSELJ(F93/2,0)-BESSELJ(F93/2,1)</f>
        <v>0.7831236816893079</v>
      </c>
      <c r="G94" s="17">
        <f>BESSELJ(G93/2,0)-BESSELJ(G93/2,1)</f>
        <v>0.80402649003277049</v>
      </c>
      <c r="H94" s="17"/>
      <c r="I94" s="17">
        <f>BESSELJ(I93/2,0)-BESSELJ(I93/2,1)</f>
        <v>0.77217947167184964</v>
      </c>
      <c r="J94" s="17">
        <f t="shared" ref="J94:P94" si="106">BESSELJ(J93/2,0)-BESSELJ(J93/2,1)</f>
        <v>0.7831236816893079</v>
      </c>
      <c r="K94" s="17">
        <f t="shared" si="106"/>
        <v>0.81091407568271634</v>
      </c>
      <c r="L94" s="17">
        <f t="shared" si="106"/>
        <v>0.86449032906940904</v>
      </c>
      <c r="M94" s="17">
        <f t="shared" si="106"/>
        <v>0.91515109150038021</v>
      </c>
      <c r="N94" s="17">
        <f t="shared" si="106"/>
        <v>0.93930076683611208</v>
      </c>
      <c r="O94" s="17">
        <f t="shared" si="106"/>
        <v>0.96261878681188051</v>
      </c>
      <c r="P94" s="17">
        <f t="shared" si="106"/>
        <v>0.98507316105118181</v>
      </c>
      <c r="Q94" s="17"/>
      <c r="R94" s="17">
        <f t="shared" ref="R94" si="107">BESSELJ(R93/2,0)-BESSELJ(R93/2,1)</f>
        <v>0.96261878681188051</v>
      </c>
      <c r="S94" s="17"/>
    </row>
    <row r="96" spans="1:19">
      <c r="A96" s="1" t="s">
        <v>94</v>
      </c>
    </row>
    <row r="98" spans="1:19" ht="17">
      <c r="A98" s="23" t="s">
        <v>95</v>
      </c>
      <c r="B98" s="12"/>
      <c r="C98" s="35">
        <f>C92*(C16*10^-9)/(4*PI()*(C78*10^-6)^2)</f>
        <v>0.67437619761802947</v>
      </c>
      <c r="D98" s="35">
        <f>D92*(D16*10^-9)/(4*PI()*(D78*10^-6)^2)</f>
        <v>0.38145476919061588</v>
      </c>
      <c r="E98" s="35">
        <f>E92*(E16*10^-9)/(4*PI()*(E78*10^-6)^2)</f>
        <v>0.27942748000250922</v>
      </c>
      <c r="F98" s="35">
        <f>F92*(F16*10^-9)/(4*PI()*(F78*10^-6)^2)</f>
        <v>0.22673964043162567</v>
      </c>
      <c r="G98" s="35">
        <f>G92*(G16*10^-9)/(4*PI()*(G78*10^-6)^2)</f>
        <v>0.19454408592288469</v>
      </c>
      <c r="H98" s="35"/>
      <c r="I98" s="35">
        <f>I92*(I16*10^-9)/(4*PI()*(I78*10^-6)^2)</f>
        <v>0.24713077607528625</v>
      </c>
      <c r="J98" s="35">
        <f t="shared" ref="J98:P98" si="108">J92*(J16*10^-9)/(4*PI()*(J78*10^-6)^2)</f>
        <v>0.19873648317991507</v>
      </c>
      <c r="K98" s="35">
        <f t="shared" si="108"/>
        <v>0.16464851569070846</v>
      </c>
      <c r="L98" s="35">
        <f t="shared" si="108"/>
        <v>0.13120891867205969</v>
      </c>
      <c r="M98" s="35">
        <f t="shared" si="108"/>
        <v>0.11957882373803709</v>
      </c>
      <c r="N98" s="35">
        <f t="shared" si="108"/>
        <v>0.12042048881697177</v>
      </c>
      <c r="O98" s="35">
        <f t="shared" si="108"/>
        <v>0.19297850112409498</v>
      </c>
      <c r="P98" s="35">
        <f t="shared" si="108"/>
        <v>0.29921791603033354</v>
      </c>
      <c r="Q98" s="35"/>
      <c r="R98" s="35">
        <f t="shared" ref="R98" si="109">R92*(R16*10^-9)/(4*PI()*(R78*10^-6)^2)</f>
        <v>7.9571177888726544E-2</v>
      </c>
      <c r="S98" s="35"/>
    </row>
    <row r="99" spans="1:19" ht="17">
      <c r="A99" s="23" t="s">
        <v>96</v>
      </c>
      <c r="B99" s="12"/>
      <c r="C99" s="35">
        <f>C92/C84*C85</f>
        <v>4.6735857317005448E-3</v>
      </c>
      <c r="D99" s="35">
        <f>D92/D84*D85</f>
        <v>1.057428523056001E-2</v>
      </c>
      <c r="E99" s="35">
        <f>E92/E84*E85</f>
        <v>1.742848367688099E-2</v>
      </c>
      <c r="F99" s="35">
        <f>F92/F84*F85</f>
        <v>2.5141744968463324E-2</v>
      </c>
      <c r="G99" s="35">
        <f>G92/G84*G85</f>
        <v>3.3705907302458836E-2</v>
      </c>
      <c r="H99" s="35"/>
      <c r="I99" s="35">
        <f>I92/I84*I85</f>
        <v>3.5791400304195808E-2</v>
      </c>
      <c r="J99" s="35">
        <f t="shared" ref="J99:P99" si="110">J92/J84*J85</f>
        <v>4.958246129651641E-2</v>
      </c>
      <c r="K99" s="35">
        <f t="shared" si="110"/>
        <v>7.3027389177326013E-2</v>
      </c>
      <c r="L99" s="35">
        <f t="shared" si="110"/>
        <v>0.13094044994095283</v>
      </c>
      <c r="M99" s="35">
        <f t="shared" si="110"/>
        <v>0.21214960273042555</v>
      </c>
      <c r="N99" s="35">
        <f t="shared" si="110"/>
        <v>0.27039171255751909</v>
      </c>
      <c r="O99" s="35">
        <f t="shared" si="110"/>
        <v>0.22213648572434627</v>
      </c>
      <c r="P99" s="35">
        <f t="shared" si="110"/>
        <v>0.23936460734659876</v>
      </c>
      <c r="Q99" s="35"/>
      <c r="R99" s="35">
        <f t="shared" ref="R99" si="111">R92/R84*R85</f>
        <v>0.36637577177122266</v>
      </c>
      <c r="S99" s="35"/>
    </row>
    <row r="100" spans="1:19" ht="17">
      <c r="A100" s="23" t="s">
        <v>97</v>
      </c>
      <c r="B100" s="12"/>
      <c r="C100" s="45">
        <f>4*PI()*C92/C48*C20*10^-4</f>
        <v>4.6790372582066364E-2</v>
      </c>
      <c r="D100" s="45">
        <f>4*PI()*D92/D48*D20*10^-4</f>
        <v>6.255637359319588E-2</v>
      </c>
      <c r="E100" s="45">
        <f>4*PI()*E92/E48*E20*10^-4</f>
        <v>7.3787616417928206E-2</v>
      </c>
      <c r="F100" s="45">
        <f>4*PI()*F92/F48*F20*10^-4</f>
        <v>8.3059094575783185E-2</v>
      </c>
      <c r="G100" s="45">
        <f>4*PI()*G92/G48*G20*10^-4</f>
        <v>9.137065206583235E-2</v>
      </c>
      <c r="H100" s="45"/>
      <c r="I100" s="45">
        <f>4*PI()*I92/I48*I20*10^-4</f>
        <v>8.0611299573245865E-2</v>
      </c>
      <c r="J100" s="45">
        <f t="shared" ref="J100:P100" si="112">4*PI()*J92/J48*J20*10^-4</f>
        <v>8.8718076891413616E-2</v>
      </c>
      <c r="K100" s="45">
        <f t="shared" si="112"/>
        <v>0.10006481199983569</v>
      </c>
      <c r="L100" s="45">
        <f t="shared" si="112"/>
        <v>0.12224248086016505</v>
      </c>
      <c r="M100" s="45">
        <f t="shared" si="112"/>
        <v>0.15022161526560712</v>
      </c>
      <c r="N100" s="45">
        <f t="shared" si="112"/>
        <v>0.17083726718364248</v>
      </c>
      <c r="O100" s="45">
        <f t="shared" si="112"/>
        <v>0.16058992606810843</v>
      </c>
      <c r="P100" s="45">
        <f t="shared" si="112"/>
        <v>0.19642728137760521</v>
      </c>
      <c r="Q100" s="45"/>
      <c r="R100" s="45">
        <f t="shared" ref="R100" si="113">4*PI()*R92/R48*R20*10^-4</f>
        <v>0.2500891607421844</v>
      </c>
      <c r="S100" s="45"/>
    </row>
    <row r="101" spans="1:19" ht="17">
      <c r="A101" s="23" t="s">
        <v>98</v>
      </c>
      <c r="B101" s="12"/>
      <c r="C101" s="56">
        <v>0</v>
      </c>
      <c r="D101" s="56">
        <v>0</v>
      </c>
      <c r="E101" s="56">
        <v>0</v>
      </c>
      <c r="F101" s="56">
        <v>0</v>
      </c>
      <c r="G101" s="56">
        <v>0</v>
      </c>
      <c r="H101" s="56"/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/>
      <c r="R101" s="56">
        <v>0</v>
      </c>
      <c r="S101" s="56"/>
    </row>
    <row r="102" spans="1:19">
      <c r="A102" s="23" t="s">
        <v>99</v>
      </c>
      <c r="B102" s="12"/>
      <c r="C102" s="57">
        <f>0.45*C98^0.57+0.55*C99^1.6+3*C100^2+0.35*C99^2.9*C100^2.4+51*C98^0.95*C100^3+5.4*C98^0.7*C99^1.9+1140*C98^2.2*C99^2.9*C100^3.2</f>
        <v>0.36990717647016508</v>
      </c>
      <c r="D102" s="57">
        <f>0.45*D98^0.57+0.55*D99^1.6+3*D100^2+0.35*D99^2.9*D100^2.4+51*D98^0.95*D100^3+5.4*D98^0.7*D99^1.9+1140*D98^2.2*D99^2.9*D100^3.2</f>
        <v>0.27739918802929625</v>
      </c>
      <c r="E102" s="57">
        <f>0.45*E98^0.57+0.55*E99^1.6+3*E100^2+0.35*E99^2.9*E100^2.4+51*E98^0.95*E100^3+5.4*E98^0.7*E99^1.9+1140*E98^2.2*E99^2.9*E100^3.2</f>
        <v>0.24185087367459468</v>
      </c>
      <c r="F102" s="57">
        <f>0.45*F98^0.57+0.55*F99^1.6+3*F100^2+0.35*F99^2.9*F100^2.4+51*F98^0.95*F100^3+5.4*F98^0.7*F99^1.9+1140*F98^2.2*F99^2.9*F100^3.2</f>
        <v>0.22423215100967384</v>
      </c>
      <c r="G102" s="57">
        <f>0.45*G98^0.57+0.55*G99^1.6+3*G100^2+0.35*G99^2.9*G100^2.4+51*G98^0.95*G100^3+5.4*G98^0.7*G99^1.9+1140*G98^2.2*G99^2.9*G100^3.2</f>
        <v>0.2154146989604605</v>
      </c>
      <c r="H102" s="57"/>
      <c r="I102" s="57">
        <f>0.45*I98^0.57+0.55*I99^1.6+3*I100^2+0.35*I99^2.9*I100^2.4+51*I98^0.95*I100^3+5.4*I98^0.7*I99^1.9+1140*I98^2.2*I99^2.9*I100^3.2</f>
        <v>0.2357254470066909</v>
      </c>
      <c r="J102" s="57">
        <f t="shared" ref="J102:P102" si="114">0.45*J98^0.57+0.55*J99^1.6+3*J100^2+0.35*J99^2.9*J100^2.4+51*J98^0.95*J100^3+5.4*J98^0.7*J99^1.9+1140*J98^2.2*J99^2.9*J100^3.2</f>
        <v>0.22072575085953108</v>
      </c>
      <c r="K102" s="57">
        <f t="shared" si="114"/>
        <v>0.21912687479605872</v>
      </c>
      <c r="L102" s="57">
        <f t="shared" si="114"/>
        <v>0.24845405993356029</v>
      </c>
      <c r="M102" s="57">
        <f t="shared" si="114"/>
        <v>0.33532156966269239</v>
      </c>
      <c r="N102" s="57">
        <f t="shared" si="114"/>
        <v>0.42731714134696785</v>
      </c>
      <c r="O102" s="57">
        <f t="shared" si="114"/>
        <v>0.44642390353109157</v>
      </c>
      <c r="P102" s="57">
        <f t="shared" si="114"/>
        <v>0.68108967149593413</v>
      </c>
      <c r="Q102" s="57"/>
      <c r="R102" s="57">
        <f t="shared" ref="R102" si="115">0.45*R98^0.57+0.55*R99^1.6+3*R100^2+0.35*R99^2.9*R100^2.4+51*R98^0.95*R100^3+5.4*R98^0.7*R99^1.9+1140*R98^2.2*R99^2.9*R100^3.2</f>
        <v>0.61607135544521796</v>
      </c>
      <c r="S102" s="57"/>
    </row>
    <row r="103" spans="1:19" ht="15">
      <c r="A103" s="18" t="s">
        <v>100</v>
      </c>
      <c r="B103" s="12"/>
      <c r="C103" s="58">
        <f>(C13/1500)^3*(C81/2800)^-3*C92*(C11/150)^3.5</f>
        <v>1.9609017852814856E-4</v>
      </c>
      <c r="D103" s="58">
        <f>(D13/1500)^3*(D81/2800)^-3*D92*(D11/150)^3.5</f>
        <v>2.6216270119346882E-4</v>
      </c>
      <c r="E103" s="58">
        <f>(E13/1500)^3*(E81/2800)^-3*E92*(E11/150)^3.5</f>
        <v>3.0923085408607586E-4</v>
      </c>
      <c r="F103" s="58">
        <f>(F13/1500)^3*(F81/2800)^-3*F92*(F11/150)^3.5</f>
        <v>3.4808597976401133E-4</v>
      </c>
      <c r="G103" s="58">
        <f>(G13/1500)^3*(G81/2800)^-3*G92*(G11/150)^3.5</f>
        <v>3.8291824764587434E-4</v>
      </c>
      <c r="H103" s="58"/>
      <c r="I103" s="58">
        <f>(I13/1500)^3*(I81/2800)^-3*I92*(I11/150)^3.5</f>
        <v>3.0796819514799064E-4</v>
      </c>
      <c r="J103" s="58">
        <f t="shared" ref="J103:P103" si="116">(J13/1500)^3*(J81/2800)^-3*J92*(J11/150)^3.5</f>
        <v>2.4786784939286234E-4</v>
      </c>
      <c r="K103" s="58">
        <f t="shared" si="116"/>
        <v>2.7956928981517226E-4</v>
      </c>
      <c r="L103" s="58">
        <f t="shared" si="116"/>
        <v>3.4153108246860297E-4</v>
      </c>
      <c r="M103" s="58">
        <f t="shared" si="116"/>
        <v>4.1970148602050826E-4</v>
      </c>
      <c r="N103" s="58">
        <f t="shared" si="116"/>
        <v>4.7729918745636769E-4</v>
      </c>
      <c r="O103" s="58">
        <f t="shared" si="116"/>
        <v>4.2808506648599923E-6</v>
      </c>
      <c r="P103" s="58">
        <f t="shared" si="116"/>
        <v>3.5744278594291622E-7</v>
      </c>
      <c r="Q103" s="58"/>
      <c r="R103" s="58">
        <f t="shared" ref="R103" si="117">(R13/1500)^3*(R81/2800)^-3*R92*(R11/150)^3.5</f>
        <v>6.666634553299461E-6</v>
      </c>
      <c r="S103" s="58"/>
    </row>
    <row r="105" spans="1:19">
      <c r="A105" s="1" t="s">
        <v>101</v>
      </c>
    </row>
    <row r="107" spans="1:19" ht="16">
      <c r="A107" s="18" t="s">
        <v>102</v>
      </c>
      <c r="B107" s="12" t="s">
        <v>25</v>
      </c>
      <c r="C107" s="17">
        <f>C48/(4*PI()*C24*SQRT(3))*10^4</f>
        <v>12.555867287644048</v>
      </c>
      <c r="D107" s="17">
        <f>D48/(4*PI()*D24*SQRT(3))*10^4</f>
        <v>10.070881181858896</v>
      </c>
      <c r="E107" s="17">
        <f>E48/(4*PI()*E24*SQRT(3))*10^4</f>
        <v>8.78197726157671</v>
      </c>
      <c r="F107" s="17">
        <f>F48/(4*PI()*F24*SQRT(3))*10^4</f>
        <v>7.9136601283233228</v>
      </c>
      <c r="G107" s="17">
        <f>G48/(4*PI()*G24*SQRT(3))*10^4</f>
        <v>7.2457281754796856</v>
      </c>
      <c r="H107" s="17"/>
      <c r="I107" s="17">
        <f>I48/(4*PI()*I24*SQRT(3))*10^4</f>
        <v>8.8186447440672477</v>
      </c>
      <c r="J107" s="17">
        <f t="shared" ref="J107:P107" si="118">J48/(4*PI()*J24*SQRT(3))*10^4</f>
        <v>7.4309040552511343</v>
      </c>
      <c r="K107" s="17">
        <f t="shared" si="118"/>
        <v>6.5967165887657178</v>
      </c>
      <c r="L107" s="17">
        <f t="shared" si="118"/>
        <v>5.2727416488794194</v>
      </c>
      <c r="M107" s="17">
        <f t="shared" si="118"/>
        <v>4.0112431261124915</v>
      </c>
      <c r="N107" s="17">
        <f t="shared" si="118"/>
        <v>3.2996598884799977</v>
      </c>
      <c r="O107" s="17">
        <f t="shared" si="118"/>
        <v>2.8304244482551599</v>
      </c>
      <c r="P107" s="17">
        <f t="shared" si="118"/>
        <v>1.8793344129380145</v>
      </c>
      <c r="Q107" s="17"/>
      <c r="R107" s="17">
        <f t="shared" ref="R107" si="119">R48/(4*PI()*R24*SQRT(3))*10^4</f>
        <v>1.6267058090105162</v>
      </c>
      <c r="S107" s="17"/>
    </row>
    <row r="108" spans="1:19" ht="15">
      <c r="A108" s="54" t="s">
        <v>103</v>
      </c>
      <c r="B108" s="12"/>
      <c r="C108" s="59">
        <f>1+0.5*(C81/18000)^2</f>
        <v>1.0945594144704796</v>
      </c>
      <c r="D108" s="59">
        <f>1+0.5*(D81/18000)^2</f>
        <v>1.0945594144704796</v>
      </c>
      <c r="E108" s="59">
        <f>1+0.5*(E81/18000)^2</f>
        <v>1.0945594144704796</v>
      </c>
      <c r="F108" s="59">
        <f>1+0.5*(F81/18000)^2</f>
        <v>1.0945594144704796</v>
      </c>
      <c r="G108" s="59">
        <f>1+0.5*(G81/18000)^2</f>
        <v>1.0945594144704796</v>
      </c>
      <c r="H108" s="59"/>
      <c r="I108" s="59">
        <f>1+0.5*(I81/18000)^2</f>
        <v>1.0723970517039609</v>
      </c>
      <c r="J108" s="59">
        <f t="shared" ref="J108:P108" si="120">1+0.5*(J81/18000)^2</f>
        <v>1.0945594144704796</v>
      </c>
      <c r="K108" s="59">
        <f t="shared" si="120"/>
        <v>1.0945594144704796</v>
      </c>
      <c r="L108" s="59">
        <f t="shared" si="120"/>
        <v>1.0945594144704796</v>
      </c>
      <c r="M108" s="59">
        <f t="shared" si="120"/>
        <v>1.0945594144704796</v>
      </c>
      <c r="N108" s="59">
        <f t="shared" si="120"/>
        <v>1.0945594144704796</v>
      </c>
      <c r="O108" s="59">
        <f t="shared" si="120"/>
        <v>1.0945594144704796</v>
      </c>
      <c r="P108" s="59">
        <f t="shared" si="120"/>
        <v>1.0945594144704796</v>
      </c>
      <c r="Q108" s="59"/>
      <c r="R108" s="59">
        <f t="shared" ref="R108" si="121">1+0.5*(R81/18000)^2</f>
        <v>1.0945594144704796</v>
      </c>
      <c r="S108" s="59"/>
    </row>
    <row r="109" spans="1:19" ht="15">
      <c r="A109" s="26" t="s">
        <v>104</v>
      </c>
      <c r="B109" s="12" t="s">
        <v>33</v>
      </c>
      <c r="C109" s="57">
        <f>1.6*C107*10^-4*C86/C108</f>
        <v>5.1390801362626641</v>
      </c>
      <c r="D109" s="57">
        <f>1.6*D107*10^-4*D86/D108</f>
        <v>4.1219825162761587</v>
      </c>
      <c r="E109" s="57">
        <f>1.6*E107*10^-4*E86/E108</f>
        <v>3.594437872602553</v>
      </c>
      <c r="F109" s="57">
        <f>1.6*F107*10^-4*F86/F108</f>
        <v>3.2390381834173763</v>
      </c>
      <c r="G109" s="57">
        <f>1.6*G107*10^-4*G86/G108</f>
        <v>2.9656555685332759</v>
      </c>
      <c r="H109" s="57"/>
      <c r="I109" s="57">
        <f>1.6*I107*10^-4*I86/I108</f>
        <v>3.223534356217769</v>
      </c>
      <c r="J109" s="57">
        <f t="shared" ref="J109:P109" si="122">1.6*J107*10^-4*J86/J108</f>
        <v>3.0414475201083691</v>
      </c>
      <c r="K109" s="57">
        <f t="shared" si="122"/>
        <v>2.7000170047386201</v>
      </c>
      <c r="L109" s="57">
        <f t="shared" si="122"/>
        <v>2.1581178942586208</v>
      </c>
      <c r="M109" s="57">
        <f t="shared" si="122"/>
        <v>1.6417902004595679</v>
      </c>
      <c r="N109" s="57">
        <f t="shared" si="122"/>
        <v>1.3505412410656377</v>
      </c>
      <c r="O109" s="57">
        <f t="shared" si="122"/>
        <v>0.82748895260274502</v>
      </c>
      <c r="P109" s="57">
        <f t="shared" si="122"/>
        <v>0.49448965836906222</v>
      </c>
      <c r="Q109" s="57"/>
      <c r="R109" s="57">
        <f t="shared" ref="R109" si="123">1.6*R107*10^-4*R86/R108</f>
        <v>0.4755756992279786</v>
      </c>
      <c r="S109" s="57"/>
    </row>
    <row r="110" spans="1:19" ht="15">
      <c r="A110" s="23" t="s">
        <v>105</v>
      </c>
      <c r="B110" s="10" t="s">
        <v>106</v>
      </c>
      <c r="C110" s="60">
        <f>C163/(C16*10^-9)*2*(C20*10^-4)*10^-12</f>
        <v>16.856381474221848</v>
      </c>
      <c r="D110" s="60">
        <f>D163/(D16*10^-9)*2*(D20*10^-4)*10^-12</f>
        <v>33.712762948443697</v>
      </c>
      <c r="E110" s="60">
        <f>E163/(E16*10^-9)*2*(E20*10^-4)*10^-12</f>
        <v>50.569144422665538</v>
      </c>
      <c r="F110" s="60">
        <f>F163/(F16*10^-9)*2*(F20*10^-4)*10^-12</f>
        <v>67.425525896887393</v>
      </c>
      <c r="G110" s="60">
        <f>G163/(G16*10^-9)*2*(G20*10^-4)*10^-12</f>
        <v>84.281907371109213</v>
      </c>
      <c r="H110" s="60"/>
      <c r="I110" s="60">
        <f>I163/(I16*10^-9)*2*(I20*10^-4)*10^-12</f>
        <v>73.60347479490045</v>
      </c>
      <c r="J110" s="60">
        <f t="shared" ref="J110:P110" si="124">J163/(J16*10^-9)*2*(J20*10^-4)*10^-12</f>
        <v>101.13828884533108</v>
      </c>
      <c r="K110" s="60">
        <f t="shared" si="124"/>
        <v>134.85105179377479</v>
      </c>
      <c r="L110" s="60">
        <f t="shared" si="124"/>
        <v>202.27657769066215</v>
      </c>
      <c r="M110" s="60">
        <f t="shared" si="124"/>
        <v>269.70210358754957</v>
      </c>
      <c r="N110" s="60">
        <f t="shared" si="124"/>
        <v>303.41486653599333</v>
      </c>
      <c r="O110" s="60">
        <f t="shared" si="124"/>
        <v>275.34814050430623</v>
      </c>
      <c r="P110" s="60">
        <f t="shared" si="124"/>
        <v>285.89359508520101</v>
      </c>
      <c r="Q110" s="60"/>
      <c r="R110" s="60">
        <f t="shared" ref="R110" si="125">R163/(R16*10^-9)*2*(R20*10^-4)*10^-12</f>
        <v>275.34814050430623</v>
      </c>
      <c r="S110" s="60"/>
    </row>
    <row r="111" spans="1:19" ht="15">
      <c r="A111" s="10" t="s">
        <v>107</v>
      </c>
      <c r="B111" s="12" t="s">
        <v>21</v>
      </c>
      <c r="C111" s="60">
        <f>IF(C124,C24*LN(5*C109/(C126/1000)),C24*LN(C109*10^9/(C107*10^-4*C81*C161*10^6*C159*C110*10^12)))</f>
        <v>28.1886730896919</v>
      </c>
      <c r="D111" s="60">
        <f>IF(D124,D24*LN(5*D109/(D126/1000)),D24*LN(D109*10^9/(D107*10^-4*D81*D161*10^6*D159*D110*10^12)))</f>
        <v>33.910964681809027</v>
      </c>
      <c r="E111" s="60">
        <f>IF(E124,E24*LN(5*E109/(E126/1000)),E24*LN(E109*10^9/(E107*10^-4*E81*E161*10^6*E159*E110*10^12)))</f>
        <v>38.060687887920764</v>
      </c>
      <c r="F111" s="60">
        <f>IF(F124,F24*LN(5*F109/(F126/1000)),F24*LN(F109*10^9/(F107*10^-4*F81*F161*10^6*F159*F110*10^12)))</f>
        <v>41.585479851305564</v>
      </c>
      <c r="G111" s="60">
        <f>IF(G124,G24*LN(5*G109/(G126/1000)),G24*LN(G109*10^9/(G107*10^-4*G81*G161*10^6*G159*G110*10^12)))</f>
        <v>44.867129651297532</v>
      </c>
      <c r="H111" s="60"/>
      <c r="I111" s="60">
        <f>IF(I124,I24*LN(5*I109/(I126/1000)),I24*LN(I109*10^9/(I107*10^-4*I81*I161*10^6*I159*I110*10^12)))</f>
        <v>24.78755921070886</v>
      </c>
      <c r="J111" s="60">
        <f t="shared" ref="J111:P111" si="126">IF(J124,J24*LN(5*J109/(J126/1000)),J24*LN(J109*10^9/(J107*10^-4*J81*J161*10^6*J159*J110*10^12)))</f>
        <v>28.872947440630028</v>
      </c>
      <c r="K111" s="60">
        <f t="shared" si="126"/>
        <v>32.003134417863336</v>
      </c>
      <c r="L111" s="60">
        <f t="shared" si="126"/>
        <v>39.120471749892495</v>
      </c>
      <c r="M111" s="60">
        <f t="shared" si="126"/>
        <v>50.566779381242682</v>
      </c>
      <c r="N111" s="60">
        <f t="shared" si="126"/>
        <v>61.045283617066538</v>
      </c>
      <c r="O111" s="60">
        <f t="shared" si="126"/>
        <v>70.155146545689604</v>
      </c>
      <c r="P111" s="60">
        <f t="shared" si="126"/>
        <v>104.75054862606656</v>
      </c>
      <c r="Q111" s="60"/>
      <c r="R111" s="60">
        <f t="shared" ref="R111" si="127">IF(R124,R24*LN(5*R109/(R126/1000)),R24*LN(R109*10^9/(R107*10^-4*R81*R161*10^6*R159*R110*10^12)))</f>
        <v>122.06807208405294</v>
      </c>
      <c r="S111" s="60"/>
    </row>
    <row r="112" spans="1:19">
      <c r="A112" s="26" t="s">
        <v>108</v>
      </c>
      <c r="B112" s="12"/>
      <c r="C112" s="22" t="b">
        <v>1</v>
      </c>
      <c r="D112" s="22" t="b">
        <v>1</v>
      </c>
      <c r="E112" s="22" t="b">
        <v>1</v>
      </c>
      <c r="F112" s="22" t="b">
        <v>1</v>
      </c>
      <c r="G112" s="22" t="b">
        <v>1</v>
      </c>
      <c r="H112" s="22"/>
      <c r="I112" s="22" t="b">
        <v>1</v>
      </c>
      <c r="J112" s="22" t="b">
        <v>1</v>
      </c>
      <c r="K112" s="22" t="b">
        <v>1</v>
      </c>
      <c r="L112" s="22" t="b">
        <v>1</v>
      </c>
      <c r="M112" s="22" t="b">
        <v>1</v>
      </c>
      <c r="N112" s="22" t="b">
        <v>1</v>
      </c>
      <c r="O112" s="22" t="b">
        <v>1</v>
      </c>
      <c r="P112" s="22" t="b">
        <v>1</v>
      </c>
      <c r="Q112" s="22"/>
      <c r="R112" s="22" t="b">
        <v>1</v>
      </c>
      <c r="S112" s="22"/>
    </row>
    <row r="113" spans="1:19" ht="15">
      <c r="A113" s="10" t="s">
        <v>165</v>
      </c>
      <c r="B113" s="12" t="s">
        <v>21</v>
      </c>
      <c r="C113" s="24">
        <f>MIN(MAX(0,C63-C111-IF(C124,C123,0)),C63)</f>
        <v>36.278326910308095</v>
      </c>
      <c r="D113" s="24">
        <f>MIN(MAX(0,D63-D111-IF(D124,D123,0)),D63)</f>
        <v>30.556035318190972</v>
      </c>
      <c r="E113" s="24">
        <f>MIN(MAX(0,E63-E111-IF(E124,E123,0)),E63)</f>
        <v>26.406312112079235</v>
      </c>
      <c r="F113" s="24">
        <f>MIN(MAX(0,F63-F111-IF(F124,F123,0)),F63)</f>
        <v>22.881520148694435</v>
      </c>
      <c r="G113" s="24">
        <f>MIN(MAX(0,G63-G111-IF(G124,G123,0)),G63)</f>
        <v>19.599870348702467</v>
      </c>
      <c r="H113" s="24"/>
      <c r="I113" s="24">
        <f>MIN(MAX(0,I63-I111-IF(I124,I123,0)),I63)</f>
        <v>76.612440789291128</v>
      </c>
      <c r="J113" s="24">
        <f t="shared" ref="J113:P113" si="128">MIN(MAX(0,J63-J111-IF(J124,J123,0)),J63)</f>
        <v>72.527052559369963</v>
      </c>
      <c r="K113" s="24">
        <f t="shared" si="128"/>
        <v>69.396865582136655</v>
      </c>
      <c r="L113" s="24">
        <f t="shared" si="128"/>
        <v>62.279528250107496</v>
      </c>
      <c r="M113" s="24">
        <f t="shared" si="128"/>
        <v>50.833220618757309</v>
      </c>
      <c r="N113" s="24">
        <f t="shared" si="128"/>
        <v>40.354716382933454</v>
      </c>
      <c r="O113" s="24">
        <f t="shared" si="128"/>
        <v>31.244853454310388</v>
      </c>
      <c r="P113" s="24">
        <f t="shared" si="128"/>
        <v>0</v>
      </c>
      <c r="Q113" s="24"/>
      <c r="R113" s="24">
        <f t="shared" ref="R113" si="129">MIN(MAX(0,R63-R111-IF(R124,R123,0)),R63)</f>
        <v>0</v>
      </c>
      <c r="S113" s="24"/>
    </row>
    <row r="114" spans="1:19"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</row>
    <row r="115" spans="1:19">
      <c r="A115" s="1" t="s">
        <v>109</v>
      </c>
    </row>
    <row r="116" spans="1:19"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</row>
    <row r="117" spans="1:19" ht="15">
      <c r="A117" s="23" t="s">
        <v>110</v>
      </c>
      <c r="B117" s="10" t="s">
        <v>111</v>
      </c>
      <c r="C117" s="60">
        <f>C16*10^-9/4/PI()*10^12</f>
        <v>394.6541047126143</v>
      </c>
      <c r="D117" s="60">
        <f>D16*10^-9/4/PI()*10^12</f>
        <v>197.32705235630715</v>
      </c>
      <c r="E117" s="60">
        <f>E16*10^-9/4/PI()*10^12</f>
        <v>131.5513682375381</v>
      </c>
      <c r="F117" s="60">
        <f>F16*10^-9/4/PI()*10^12</f>
        <v>98.663526178153575</v>
      </c>
      <c r="G117" s="60">
        <f>G16*10^-9/4/PI()*10^12</f>
        <v>78.930820942522871</v>
      </c>
      <c r="H117" s="60"/>
      <c r="I117" s="60">
        <f>I16*10^-9/4/PI()*10^12</f>
        <v>98.663526178153575</v>
      </c>
      <c r="J117" s="60">
        <f t="shared" ref="J117:P117" si="130">J16*10^-9/4/PI()*10^12</f>
        <v>65.77568411876905</v>
      </c>
      <c r="K117" s="60">
        <f t="shared" si="130"/>
        <v>49.331763089076787</v>
      </c>
      <c r="L117" s="60">
        <f t="shared" si="130"/>
        <v>32.887842059384525</v>
      </c>
      <c r="M117" s="60">
        <f t="shared" si="130"/>
        <v>24.665881544538394</v>
      </c>
      <c r="N117" s="60">
        <f t="shared" si="130"/>
        <v>21.925228039589683</v>
      </c>
      <c r="O117" s="60">
        <f t="shared" si="130"/>
        <v>19.732705235630718</v>
      </c>
      <c r="P117" s="60">
        <f t="shared" si="130"/>
        <v>17.938822941482467</v>
      </c>
      <c r="Q117" s="60"/>
      <c r="R117" s="60">
        <f t="shared" ref="R117" si="131">R16*10^-9/4/PI()*10^12</f>
        <v>19.732705235630718</v>
      </c>
      <c r="S117" s="60"/>
    </row>
    <row r="118" spans="1:19" ht="15">
      <c r="A118" s="13" t="s">
        <v>112</v>
      </c>
      <c r="B118" s="12" t="s">
        <v>58</v>
      </c>
      <c r="C118" s="62">
        <v>100</v>
      </c>
      <c r="D118" s="62">
        <v>100</v>
      </c>
      <c r="E118" s="62">
        <v>100</v>
      </c>
      <c r="F118" s="62">
        <v>100</v>
      </c>
      <c r="G118" s="62">
        <v>100</v>
      </c>
      <c r="H118" s="62"/>
      <c r="I118" s="62">
        <v>100</v>
      </c>
      <c r="J118" s="62">
        <v>100</v>
      </c>
      <c r="K118" s="62">
        <v>100</v>
      </c>
      <c r="L118" s="62">
        <v>100</v>
      </c>
      <c r="M118" s="62">
        <v>100</v>
      </c>
      <c r="N118" s="62">
        <v>100</v>
      </c>
      <c r="O118" s="62">
        <v>100</v>
      </c>
      <c r="P118" s="62">
        <v>100</v>
      </c>
      <c r="Q118" s="62"/>
      <c r="R118" s="62">
        <v>100</v>
      </c>
      <c r="S118" s="62"/>
    </row>
    <row r="119" spans="1:19" ht="15">
      <c r="A119" s="28" t="s">
        <v>113</v>
      </c>
      <c r="B119" s="12" t="s">
        <v>114</v>
      </c>
      <c r="C119" s="40">
        <f>C30*10^-3/(C8*10^3*C159)*10^-12*C118/100</f>
        <v>19.25512751875522</v>
      </c>
      <c r="D119" s="40">
        <f>D30*10^-3/(D8*10^3*D159)*10^-12*D118/100</f>
        <v>10.691031312661199</v>
      </c>
      <c r="E119" s="40">
        <f>E30*10^-3/(E8*10^3*E159)*10^-12*E118/100</f>
        <v>7.0329221796184562</v>
      </c>
      <c r="F119" s="40">
        <f>F30*10^-3/(F8*10^3*F159)*10^-12*F118/100</f>
        <v>4.9611699815815733</v>
      </c>
      <c r="G119" s="40">
        <f>G30*10^-3/(G8*10^3*G159)*10^-12*G118/100</f>
        <v>3.6230890319347329</v>
      </c>
      <c r="H119" s="40"/>
      <c r="I119" s="40">
        <f>I30*10^-3/(I8*10^3*I159)*10^-12*I118/100</f>
        <v>3.4859108690608998</v>
      </c>
      <c r="J119" s="40">
        <f t="shared" ref="J119:P119" si="132">J30*10^-3/(J8*10^3*J159)*10^-12*J118/100</f>
        <v>2.3674518904144453</v>
      </c>
      <c r="K119" s="40">
        <f t="shared" si="132"/>
        <v>1.6664690911810263</v>
      </c>
      <c r="L119" s="40">
        <f t="shared" si="132"/>
        <v>0.90275591660638488</v>
      </c>
      <c r="M119" s="40">
        <f t="shared" si="132"/>
        <v>0.47144356231421475</v>
      </c>
      <c r="N119" s="40">
        <f t="shared" si="132"/>
        <v>0.30433085726707676</v>
      </c>
      <c r="O119" s="40">
        <f t="shared" si="132"/>
        <v>5.7903739798277683E-2</v>
      </c>
      <c r="P119" s="40">
        <f t="shared" si="132"/>
        <v>3.6805447057312456E-3</v>
      </c>
      <c r="Q119" s="40"/>
      <c r="R119" s="40">
        <f t="shared" ref="R119" si="133">R30*10^-3/(R8*10^3*R159)*10^-12*R118/100</f>
        <v>7.1159603980843074E-4</v>
      </c>
      <c r="S119" s="40"/>
    </row>
    <row r="120" spans="1:19">
      <c r="A120" s="28" t="s">
        <v>115</v>
      </c>
      <c r="B120" s="12" t="s">
        <v>116</v>
      </c>
      <c r="C120" s="105">
        <f>SQRT(IF(C21="Flat-Top",12,8*LN(2)))*C22*10^-6/C163*10^15</f>
        <v>85.714285714285722</v>
      </c>
      <c r="D120" s="105">
        <f>SQRT(IF(D21="Flat-Top",12,8*LN(2)))*D22*10^-6/D163*10^15</f>
        <v>85.714285714285722</v>
      </c>
      <c r="E120" s="105">
        <f>SQRT(IF(E21="Flat-Top",12,8*LN(2)))*E22*10^-6/E163*10^15</f>
        <v>85.714285714285722</v>
      </c>
      <c r="F120" s="105">
        <f>SQRT(IF(F21="Flat-Top",12,8*LN(2)))*F22*10^-6/F163*10^15</f>
        <v>85.714285714285722</v>
      </c>
      <c r="G120" s="105">
        <f>SQRT(IF(G21="Flat-Top",12,8*LN(2)))*G22*10^-6/G163*10^15</f>
        <v>85.714285714285722</v>
      </c>
      <c r="H120" s="105"/>
      <c r="I120" s="105">
        <f>SQRT(IF(I21="Flat-Top",12,8*LN(2)))*I22*10^-6/I163*10^15</f>
        <v>85.714285714285722</v>
      </c>
      <c r="J120" s="105">
        <f t="shared" ref="J120:P120" si="134">SQRT(IF(J21="Flat-Top",12,8*LN(2)))*J22*10^-6/J163*10^15</f>
        <v>85.714285714285722</v>
      </c>
      <c r="K120" s="105">
        <f t="shared" si="134"/>
        <v>85.714285714285722</v>
      </c>
      <c r="L120" s="105">
        <f t="shared" si="134"/>
        <v>85.714285714285722</v>
      </c>
      <c r="M120" s="105">
        <f t="shared" si="134"/>
        <v>85.714285714285722</v>
      </c>
      <c r="N120" s="105">
        <f t="shared" si="134"/>
        <v>85.714285714285722</v>
      </c>
      <c r="O120" s="105">
        <f t="shared" si="134"/>
        <v>40.000000000000007</v>
      </c>
      <c r="P120" s="105">
        <f t="shared" si="134"/>
        <v>22.222222222222218</v>
      </c>
      <c r="Q120" s="105"/>
      <c r="R120" s="105">
        <f t="shared" ref="R120" si="135">SQRT(IF(R21="Flat-Top",12,8*LN(2)))*R22*10^-6/R163*10^15</f>
        <v>40.000000000000007</v>
      </c>
      <c r="S120" s="60"/>
    </row>
    <row r="121" spans="1:19" ht="15">
      <c r="A121" s="28" t="s">
        <v>117</v>
      </c>
      <c r="B121" s="12" t="s">
        <v>118</v>
      </c>
      <c r="C121" s="17">
        <f>C119/C120*10^2</f>
        <v>22.464315438547754</v>
      </c>
      <c r="D121" s="17">
        <f>D119/D120*10^2</f>
        <v>12.472869864771399</v>
      </c>
      <c r="E121" s="17">
        <f>E119/E120*10^2</f>
        <v>8.2050758762215317</v>
      </c>
      <c r="F121" s="17">
        <f>F119/F120*10^2</f>
        <v>5.788031645178501</v>
      </c>
      <c r="G121" s="17">
        <f>G119/G120*10^2</f>
        <v>4.2269372039238551</v>
      </c>
      <c r="H121" s="17"/>
      <c r="I121" s="17">
        <f>I119/I120*10^2</f>
        <v>4.0668960139043833</v>
      </c>
      <c r="J121" s="17">
        <f t="shared" ref="J121:P121" si="136">J119/J120*10^2</f>
        <v>2.7620272054835193</v>
      </c>
      <c r="K121" s="17">
        <f t="shared" si="136"/>
        <v>1.9442139397111973</v>
      </c>
      <c r="L121" s="17">
        <f t="shared" si="136"/>
        <v>1.0532152360407823</v>
      </c>
      <c r="M121" s="17">
        <f t="shared" si="136"/>
        <v>0.55001748936658379</v>
      </c>
      <c r="N121" s="17">
        <f t="shared" si="136"/>
        <v>0.35505266681158953</v>
      </c>
      <c r="O121" s="17">
        <f t="shared" si="136"/>
        <v>0.14475934949569419</v>
      </c>
      <c r="P121" s="17">
        <f t="shared" si="136"/>
        <v>1.656245117579061E-2</v>
      </c>
      <c r="Q121" s="17"/>
      <c r="R121" s="17">
        <f t="shared" ref="R121" si="137">R119/R120*10^2</f>
        <v>1.7789900995210763E-3</v>
      </c>
      <c r="S121" s="17"/>
    </row>
    <row r="122" spans="1:19" ht="15">
      <c r="A122" s="28" t="s">
        <v>119</v>
      </c>
      <c r="B122" s="12" t="s">
        <v>116</v>
      </c>
      <c r="C122" s="24">
        <f>4*PI()*C24*C16*10^-9/C48/C163*10^15</f>
        <v>7.6067377055750667</v>
      </c>
      <c r="D122" s="24">
        <f>4*PI()*D24*D16*10^-9/D48/D163*10^15</f>
        <v>4.7418486723467295</v>
      </c>
      <c r="E122" s="24">
        <f>4*PI()*E24*E16*10^-9/E48/E163*10^15</f>
        <v>3.62519685784941</v>
      </c>
      <c r="F122" s="24">
        <f>4*PI()*F24*F16*10^-9/F48/F163*10^15</f>
        <v>3.0172255181040422</v>
      </c>
      <c r="G122" s="24">
        <f>4*PI()*G24*G16*10^-9/G48/G163*10^15</f>
        <v>2.6362895987826813</v>
      </c>
      <c r="H122" s="24"/>
      <c r="I122" s="24">
        <f>4*PI()*I24*I16*10^-9/I48/I163*10^15</f>
        <v>2.707592603369481</v>
      </c>
      <c r="J122" s="24">
        <f t="shared" ref="J122:P122" si="138">4*PI()*J24*J16*10^-9/J48/J163*10^15</f>
        <v>2.1421617166403388</v>
      </c>
      <c r="K122" s="24">
        <f t="shared" si="138"/>
        <v>1.809786502079151</v>
      </c>
      <c r="L122" s="24">
        <f t="shared" si="138"/>
        <v>1.5094801952386014</v>
      </c>
      <c r="M122" s="24">
        <f t="shared" si="138"/>
        <v>1.4881482205193823</v>
      </c>
      <c r="N122" s="24">
        <f t="shared" si="138"/>
        <v>1.6080645405062444</v>
      </c>
      <c r="O122" s="24">
        <f t="shared" si="138"/>
        <v>1.6871884565227668</v>
      </c>
      <c r="P122" s="24">
        <f t="shared" si="138"/>
        <v>2.3100342059594681</v>
      </c>
      <c r="Q122" s="24"/>
      <c r="R122" s="24">
        <f t="shared" ref="R122" si="139">4*PI()*R24*R16*10^-9/R48/R163*10^15</f>
        <v>2.935662631622812</v>
      </c>
      <c r="S122" s="24"/>
    </row>
    <row r="123" spans="1:19" ht="15">
      <c r="A123" s="79" t="s">
        <v>157</v>
      </c>
      <c r="B123" s="12" t="s">
        <v>21</v>
      </c>
      <c r="C123" s="75">
        <f>12*3.4</f>
        <v>40.799999999999997</v>
      </c>
      <c r="D123" s="75">
        <f>12*3.4</f>
        <v>40.799999999999997</v>
      </c>
      <c r="E123" s="75">
        <f>12*3.4</f>
        <v>40.799999999999997</v>
      </c>
      <c r="F123" s="75">
        <f>12*3.4</f>
        <v>40.799999999999997</v>
      </c>
      <c r="G123" s="75">
        <f>12*3.4</f>
        <v>40.799999999999997</v>
      </c>
      <c r="H123" s="75"/>
      <c r="I123" s="75">
        <f t="shared" ref="I123:P123" si="140">12*3.4</f>
        <v>40.799999999999997</v>
      </c>
      <c r="J123" s="75">
        <f t="shared" si="140"/>
        <v>40.799999999999997</v>
      </c>
      <c r="K123" s="75">
        <f t="shared" si="140"/>
        <v>40.799999999999997</v>
      </c>
      <c r="L123" s="75">
        <f t="shared" si="140"/>
        <v>40.799999999999997</v>
      </c>
      <c r="M123" s="75">
        <f t="shared" si="140"/>
        <v>40.799999999999997</v>
      </c>
      <c r="N123" s="75">
        <f t="shared" si="140"/>
        <v>40.799999999999997</v>
      </c>
      <c r="O123" s="75">
        <f t="shared" si="140"/>
        <v>40.799999999999997</v>
      </c>
      <c r="P123" s="75">
        <f t="shared" si="140"/>
        <v>40.799999999999997</v>
      </c>
      <c r="Q123" s="75"/>
      <c r="R123" s="75">
        <f t="shared" ref="R123" si="141">12*3.4</f>
        <v>40.799999999999997</v>
      </c>
      <c r="S123" s="75"/>
    </row>
    <row r="124" spans="1:19" ht="15">
      <c r="A124" s="54" t="s">
        <v>120</v>
      </c>
      <c r="B124" s="12"/>
      <c r="C124" s="76" t="b">
        <v>0</v>
      </c>
      <c r="D124" s="76" t="b">
        <v>0</v>
      </c>
      <c r="E124" s="76" t="b">
        <v>0</v>
      </c>
      <c r="F124" s="76" t="b">
        <v>0</v>
      </c>
      <c r="G124" s="76" t="b">
        <v>0</v>
      </c>
      <c r="H124" s="76"/>
      <c r="I124" s="76" t="b">
        <v>0</v>
      </c>
      <c r="J124" s="76" t="b">
        <v>0</v>
      </c>
      <c r="K124" s="76" t="b">
        <v>0</v>
      </c>
      <c r="L124" s="76" t="b">
        <v>0</v>
      </c>
      <c r="M124" s="76" t="b">
        <v>0</v>
      </c>
      <c r="N124" s="76" t="b">
        <v>0</v>
      </c>
      <c r="O124" s="76" t="b">
        <v>0</v>
      </c>
      <c r="P124" s="76" t="b">
        <v>0</v>
      </c>
      <c r="Q124" s="76"/>
      <c r="R124" s="76" t="b">
        <v>0</v>
      </c>
      <c r="S124" s="76"/>
    </row>
    <row r="125" spans="1:19" ht="15">
      <c r="A125" s="54" t="s">
        <v>121</v>
      </c>
      <c r="B125" s="12"/>
      <c r="C125" s="77">
        <v>16000</v>
      </c>
      <c r="D125" s="77">
        <v>16000</v>
      </c>
      <c r="E125" s="77">
        <v>16000</v>
      </c>
      <c r="F125" s="77">
        <v>16000</v>
      </c>
      <c r="G125" s="77">
        <v>16000</v>
      </c>
      <c r="H125" s="77"/>
      <c r="I125" s="77">
        <v>16000</v>
      </c>
      <c r="J125" s="77">
        <v>16000</v>
      </c>
      <c r="K125" s="77">
        <v>16000</v>
      </c>
      <c r="L125" s="77">
        <v>16000</v>
      </c>
      <c r="M125" s="77">
        <v>16000</v>
      </c>
      <c r="N125" s="77">
        <v>16000</v>
      </c>
      <c r="O125" s="77">
        <v>16000</v>
      </c>
      <c r="P125" s="77">
        <v>16000</v>
      </c>
      <c r="Q125" s="77"/>
      <c r="R125" s="77">
        <v>16000</v>
      </c>
      <c r="S125" s="77"/>
    </row>
    <row r="126" spans="1:19" ht="15">
      <c r="A126" s="54" t="s">
        <v>158</v>
      </c>
      <c r="B126" s="12" t="s">
        <v>156</v>
      </c>
      <c r="C126" s="78">
        <v>0.02</v>
      </c>
      <c r="D126" s="78">
        <v>0.02</v>
      </c>
      <c r="E126" s="78">
        <v>0.02</v>
      </c>
      <c r="F126" s="78">
        <v>0.02</v>
      </c>
      <c r="G126" s="78">
        <v>0.02</v>
      </c>
      <c r="H126" s="78"/>
      <c r="I126" s="78">
        <v>0.02</v>
      </c>
      <c r="J126" s="78">
        <v>0.02</v>
      </c>
      <c r="K126" s="78">
        <v>0.02</v>
      </c>
      <c r="L126" s="78">
        <v>0.02</v>
      </c>
      <c r="M126" s="78">
        <v>0.02</v>
      </c>
      <c r="N126" s="78">
        <v>0.02</v>
      </c>
      <c r="O126" s="78">
        <v>0.02</v>
      </c>
      <c r="P126" s="78">
        <v>0.02</v>
      </c>
      <c r="Q126" s="78"/>
      <c r="R126" s="78">
        <v>0.02</v>
      </c>
      <c r="S126" s="78"/>
    </row>
    <row r="127" spans="1:19" ht="15">
      <c r="A127" s="13" t="s">
        <v>122</v>
      </c>
      <c r="B127" s="12" t="s">
        <v>25</v>
      </c>
      <c r="C127" s="19">
        <f>IF(C124,MAX(1/C125,C16*10^-9/(2*PI()*C120*10^-15/SQRT(8*LN(2))*C163))*10^4,C25)</f>
        <v>12.555867287644048</v>
      </c>
      <c r="D127" s="19">
        <f>IF(D124,MAX(1/D125,D16*10^-9/(2*PI()*D120*10^-15/SQRT(8*LN(2))*D163))*10^4,D25)</f>
        <v>10.070881181858896</v>
      </c>
      <c r="E127" s="19">
        <f>IF(E124,MAX(1/E125,E16*10^-9/(2*PI()*E120*10^-15/SQRT(8*LN(2))*E163))*10^4,E25)</f>
        <v>8.78197726157671</v>
      </c>
      <c r="F127" s="19">
        <f>IF(F124,MAX(1/F125,F16*10^-9/(2*PI()*F120*10^-15/SQRT(8*LN(2))*F163))*10^4,F25)</f>
        <v>7.9136601283233228</v>
      </c>
      <c r="G127" s="19">
        <f>IF(G124,MAX(1/G125,G16*10^-9/(2*PI()*G120*10^-15/SQRT(8*LN(2))*G163))*10^4,G25)</f>
        <v>7.2457281754796856</v>
      </c>
      <c r="H127" s="19"/>
      <c r="I127" s="19">
        <f>IF(I124,MAX(1/I125,I16*10^-9/(2*PI()*I120*10^-15/SQRT(8*LN(2))*I163))*10^4,I25)</f>
        <v>8.8186447440672477</v>
      </c>
      <c r="J127" s="19">
        <f t="shared" ref="J127:P127" si="142">IF(J124,MAX(1/J125,J16*10^-9/(2*PI()*J120*10^-15/SQRT(8*LN(2))*J163))*10^4,J25)</f>
        <v>7.4309040552511343</v>
      </c>
      <c r="K127" s="19">
        <f t="shared" si="142"/>
        <v>6.5967165887657178</v>
      </c>
      <c r="L127" s="19">
        <f t="shared" si="142"/>
        <v>5.2727416488794194</v>
      </c>
      <c r="M127" s="19">
        <f t="shared" si="142"/>
        <v>4.0112431261124915</v>
      </c>
      <c r="N127" s="19">
        <f t="shared" si="142"/>
        <v>3.2996598884799977</v>
      </c>
      <c r="O127" s="19">
        <f t="shared" si="142"/>
        <v>2.8304244482551599</v>
      </c>
      <c r="P127" s="19">
        <f t="shared" si="142"/>
        <v>1.8793344129380145</v>
      </c>
      <c r="Q127" s="19"/>
      <c r="R127" s="19">
        <f t="shared" ref="R127" si="143">IF(R124,MAX(1/R125,R16*10^-9/(2*PI()*R120*10^-15/SQRT(8*LN(2))*R163))*10^4,R25)</f>
        <v>1.6267058090105162</v>
      </c>
      <c r="S127" s="19"/>
    </row>
    <row r="128" spans="1:19">
      <c r="A128" s="13" t="s">
        <v>123</v>
      </c>
      <c r="B128" s="12" t="s">
        <v>116</v>
      </c>
      <c r="C128" s="19">
        <f>IF(C124,(C15*10^-9*SQRT(8*LN(2)))/(2*PI()*C127*10^-4*C163)*10^15,C122)</f>
        <v>7.6067377055750667</v>
      </c>
      <c r="D128" s="19">
        <f>IF(D124,(D15*10^-9*SQRT(8*LN(2)))/(2*PI()*D127*10^-4*D163)*10^15,D122)</f>
        <v>4.7418486723467295</v>
      </c>
      <c r="E128" s="19">
        <f>IF(E124,(E15*10^-9*SQRT(8*LN(2)))/(2*PI()*E127*10^-4*E163)*10^15,E122)</f>
        <v>3.62519685784941</v>
      </c>
      <c r="F128" s="19">
        <f>IF(F124,(F15*10^-9*SQRT(8*LN(2)))/(2*PI()*F127*10^-4*F163)*10^15,F122)</f>
        <v>3.0172255181040422</v>
      </c>
      <c r="G128" s="19">
        <f>IF(G124,(G15*10^-9*SQRT(8*LN(2)))/(2*PI()*G127*10^-4*G163)*10^15,G122)</f>
        <v>2.6362895987826813</v>
      </c>
      <c r="H128" s="19"/>
      <c r="I128" s="19">
        <f>IF(I124,(I15*10^-9*SQRT(8*LN(2)))/(2*PI()*I127*10^-4*I163)*10^15,I122)</f>
        <v>2.707592603369481</v>
      </c>
      <c r="J128" s="19">
        <f t="shared" ref="J128:P128" si="144">IF(J124,(J15*10^-9*SQRT(8*LN(2)))/(2*PI()*J127*10^-4*J163)*10^15,J122)</f>
        <v>2.1421617166403388</v>
      </c>
      <c r="K128" s="19">
        <f t="shared" si="144"/>
        <v>1.809786502079151</v>
      </c>
      <c r="L128" s="19">
        <f t="shared" si="144"/>
        <v>1.5094801952386014</v>
      </c>
      <c r="M128" s="19">
        <f t="shared" si="144"/>
        <v>1.4881482205193823</v>
      </c>
      <c r="N128" s="19">
        <f t="shared" si="144"/>
        <v>1.6080645405062444</v>
      </c>
      <c r="O128" s="19">
        <f t="shared" si="144"/>
        <v>1.6871884565227668</v>
      </c>
      <c r="P128" s="19">
        <f t="shared" si="144"/>
        <v>2.3100342059594681</v>
      </c>
      <c r="Q128" s="19"/>
      <c r="R128" s="19">
        <f t="shared" ref="R128" si="145">IF(R124,(R15*10^-9*SQRT(8*LN(2)))/(2*PI()*R127*10^-4*R163)*10^15,R122)</f>
        <v>2.935662631622812</v>
      </c>
      <c r="S128" s="19"/>
    </row>
    <row r="129" spans="1:19" ht="15">
      <c r="A129" s="18" t="s">
        <v>124</v>
      </c>
      <c r="B129" s="52" t="s">
        <v>23</v>
      </c>
      <c r="C129" s="60">
        <f>SQRT(C117*C92)</f>
        <v>20.274206466477594</v>
      </c>
      <c r="D129" s="60">
        <f>SQRT(D117*D92)</f>
        <v>16.576254184193978</v>
      </c>
      <c r="E129" s="60">
        <f>SQRT(E117*E92)</f>
        <v>14.69930247067273</v>
      </c>
      <c r="F129" s="60">
        <f>SQRT(F117*F92)</f>
        <v>13.506076765605192</v>
      </c>
      <c r="G129" s="60">
        <f>SQRT(G117*G92)</f>
        <v>12.670214670590205</v>
      </c>
      <c r="H129" s="60"/>
      <c r="I129" s="60">
        <f>SQRT(I117*I92)</f>
        <v>10.398027501165561</v>
      </c>
      <c r="J129" s="60">
        <f t="shared" ref="J129:P129" si="146">SQRT(J117*J92)</f>
        <v>9.3057293677496347</v>
      </c>
      <c r="K129" s="60">
        <f t="shared" si="146"/>
        <v>8.5588552607686008</v>
      </c>
      <c r="L129" s="60">
        <f t="shared" si="146"/>
        <v>7.7239675086893174</v>
      </c>
      <c r="M129" s="60">
        <f t="shared" si="146"/>
        <v>7.415256975223155</v>
      </c>
      <c r="N129" s="60">
        <f t="shared" si="146"/>
        <v>7.4554702045967529</v>
      </c>
      <c r="O129" s="60">
        <f t="shared" si="146"/>
        <v>7.5878761621820088</v>
      </c>
      <c r="P129" s="60">
        <f t="shared" si="146"/>
        <v>8.2357062763154492</v>
      </c>
      <c r="Q129" s="60"/>
      <c r="R129" s="60">
        <f t="shared" ref="R129" si="147">SQRT(R117*R92)</f>
        <v>9.4690960066390719</v>
      </c>
      <c r="S129" s="60"/>
    </row>
    <row r="130" spans="1:19" ht="15">
      <c r="A130" s="18" t="s">
        <v>160</v>
      </c>
      <c r="B130" s="52" t="s">
        <v>23</v>
      </c>
      <c r="C130" s="60">
        <f>SQRT(C78*C129)</f>
        <v>22.372695232431088</v>
      </c>
      <c r="D130" s="60">
        <f>SQRT(D78*D129)</f>
        <v>21.09238235280969</v>
      </c>
      <c r="E130" s="60">
        <f>SQRT(E78*E129)</f>
        <v>20.217592930747379</v>
      </c>
      <c r="F130" s="60">
        <f>SQRT(F78*F129)</f>
        <v>19.572547261861615</v>
      </c>
      <c r="G130" s="60">
        <f>SQRT(G78*G129)</f>
        <v>19.077851542778308</v>
      </c>
      <c r="H130" s="60"/>
      <c r="I130" s="60">
        <f>SQRT(I78*I129)</f>
        <v>14.747528817861324</v>
      </c>
      <c r="J130" s="60">
        <f t="shared" ref="J130:P130" si="148">SQRT(J78*J129)</f>
        <v>13.937376047799622</v>
      </c>
      <c r="K130" s="60">
        <f t="shared" si="148"/>
        <v>13.436192801619827</v>
      </c>
      <c r="L130" s="60">
        <f t="shared" si="148"/>
        <v>12.833632509632066</v>
      </c>
      <c r="M130" s="60">
        <f t="shared" si="148"/>
        <v>12.609928869616502</v>
      </c>
      <c r="N130" s="60">
        <f t="shared" si="148"/>
        <v>12.656101305416017</v>
      </c>
      <c r="O130" s="60">
        <f t="shared" si="148"/>
        <v>11.448352739175622</v>
      </c>
      <c r="P130" s="60">
        <f t="shared" si="148"/>
        <v>11.1353520180252</v>
      </c>
      <c r="Q130" s="60"/>
      <c r="R130" s="60">
        <f t="shared" ref="R130" si="149">SQRT(R78*R129)</f>
        <v>17.828695725326096</v>
      </c>
      <c r="S130" s="60"/>
    </row>
    <row r="131" spans="1:19" ht="15">
      <c r="A131" s="80" t="s">
        <v>161</v>
      </c>
      <c r="B131" s="52" t="s">
        <v>23</v>
      </c>
      <c r="C131" s="81">
        <f>2*C130</f>
        <v>44.745390464862176</v>
      </c>
      <c r="D131" s="81">
        <f>2*D130</f>
        <v>42.184764705619379</v>
      </c>
      <c r="E131" s="81">
        <f>2*E130</f>
        <v>40.435185861494759</v>
      </c>
      <c r="F131" s="81">
        <f>2*F130</f>
        <v>39.14509452372323</v>
      </c>
      <c r="G131" s="81">
        <f>2*G130</f>
        <v>38.155703085556617</v>
      </c>
      <c r="H131" s="81"/>
      <c r="I131" s="81">
        <f>2*I130</f>
        <v>29.495057635722649</v>
      </c>
      <c r="J131" s="81">
        <f t="shared" ref="J131:P131" si="150">2*J130</f>
        <v>27.874752095599245</v>
      </c>
      <c r="K131" s="81">
        <f t="shared" si="150"/>
        <v>26.872385603239653</v>
      </c>
      <c r="L131" s="81">
        <f t="shared" si="150"/>
        <v>25.667265019264132</v>
      </c>
      <c r="M131" s="81">
        <f t="shared" si="150"/>
        <v>25.219857739233003</v>
      </c>
      <c r="N131" s="81">
        <f t="shared" si="150"/>
        <v>25.312202610832035</v>
      </c>
      <c r="O131" s="81">
        <f t="shared" si="150"/>
        <v>22.896705478351244</v>
      </c>
      <c r="P131" s="81">
        <f t="shared" si="150"/>
        <v>22.2707040360504</v>
      </c>
      <c r="Q131" s="81"/>
      <c r="R131" s="81">
        <f t="shared" ref="R131" si="151">2*R130</f>
        <v>35.657391450652192</v>
      </c>
      <c r="S131" s="81"/>
    </row>
    <row r="132" spans="1:19" ht="17">
      <c r="A132" s="18" t="s">
        <v>159</v>
      </c>
      <c r="B132" s="12" t="s">
        <v>39</v>
      </c>
      <c r="C132" s="60">
        <f>C117*10^-12/(C130*10^-6)*10^6</f>
        <v>17.639989308955958</v>
      </c>
      <c r="D132" s="60">
        <f>D117*10^-12/(D130*10^-6)*10^6</f>
        <v>9.3553705340459796</v>
      </c>
      <c r="E132" s="60">
        <f>E117*10^-12/(E130*10^-6)*10^6</f>
        <v>6.5067769782559894</v>
      </c>
      <c r="F132" s="60">
        <f>F117*10^-12/(F130*10^-6)*10^6</f>
        <v>5.0409139320565544</v>
      </c>
      <c r="G132" s="60">
        <f>G117*10^-12/(G130*10^-6)*10^6</f>
        <v>4.1373013499730895</v>
      </c>
      <c r="H132" s="60"/>
      <c r="I132" s="60">
        <f>I117*10^-12/(I130*10^-6)*10^6</f>
        <v>6.6901734790074263</v>
      </c>
      <c r="J132" s="60">
        <f t="shared" ref="J132:P132" si="152">J117*10^-12/(J130*10^-6)*10^6</f>
        <v>4.7193735673906465</v>
      </c>
      <c r="K132" s="60">
        <f t="shared" si="152"/>
        <v>3.6715581428043738</v>
      </c>
      <c r="L132" s="60">
        <f t="shared" si="152"/>
        <v>2.5626292505026238</v>
      </c>
      <c r="M132" s="60">
        <f t="shared" si="152"/>
        <v>1.956068253800431</v>
      </c>
      <c r="N132" s="60">
        <f t="shared" si="152"/>
        <v>1.7323840502293595</v>
      </c>
      <c r="O132" s="60">
        <f t="shared" si="152"/>
        <v>1.7236283407049913</v>
      </c>
      <c r="P132" s="60">
        <f t="shared" si="152"/>
        <v>1.6109794205377825</v>
      </c>
      <c r="Q132" s="60"/>
      <c r="R132" s="60">
        <f t="shared" ref="R132" si="153">R117*10^-12/(R130*10^-6)*10^6</f>
        <v>1.1067946606772772</v>
      </c>
      <c r="S132" s="60"/>
    </row>
    <row r="133" spans="1:19" ht="17">
      <c r="A133" s="18" t="s">
        <v>166</v>
      </c>
      <c r="B133" s="12" t="s">
        <v>39</v>
      </c>
      <c r="C133" s="60">
        <f>C132*SQRT(2)</f>
        <v>24.946712120841919</v>
      </c>
      <c r="D133" s="60">
        <f>D132*SQRT(2)</f>
        <v>13.23049189027345</v>
      </c>
      <c r="E133" s="60">
        <f>E132*SQRT(2)</f>
        <v>9.2019722499866461</v>
      </c>
      <c r="F133" s="60">
        <f>F132*SQRT(2)</f>
        <v>7.1289288494698662</v>
      </c>
      <c r="G133" s="60">
        <f>G132*SQRT(2)</f>
        <v>5.8510276807564585</v>
      </c>
      <c r="H133" s="60"/>
      <c r="I133" s="60">
        <f>I132*SQRT(2)</f>
        <v>9.4613340686410954</v>
      </c>
      <c r="J133" s="60">
        <f t="shared" ref="J133:P133" si="154">J132*SQRT(2)</f>
        <v>6.6742021049089484</v>
      </c>
      <c r="K133" s="60">
        <f t="shared" si="154"/>
        <v>5.1923673205953182</v>
      </c>
      <c r="L133" s="60">
        <f t="shared" si="154"/>
        <v>3.6241050413948104</v>
      </c>
      <c r="M133" s="60">
        <f t="shared" si="154"/>
        <v>2.7662982534520273</v>
      </c>
      <c r="N133" s="60">
        <f t="shared" si="154"/>
        <v>2.4499610190731933</v>
      </c>
      <c r="O133" s="60">
        <f t="shared" si="154"/>
        <v>2.4375785759156328</v>
      </c>
      <c r="P133" s="60">
        <f t="shared" si="154"/>
        <v>2.2782689452284819</v>
      </c>
      <c r="Q133" s="60"/>
      <c r="R133" s="60">
        <f t="shared" ref="R133" si="155">R132*SQRT(2)</f>
        <v>1.5652440198919333</v>
      </c>
      <c r="S133" s="60"/>
    </row>
    <row r="134" spans="1:19" ht="15">
      <c r="A134" s="23" t="s">
        <v>125</v>
      </c>
      <c r="B134" s="12" t="s">
        <v>21</v>
      </c>
      <c r="C134" s="60">
        <f>IF(C113*C67/C63&gt;2.5*C34,-0.5*C113*C67/C63,-1.25*C34)</f>
        <v>-23.241269198128101</v>
      </c>
      <c r="D134" s="60">
        <f>IF(D113*D67/D63&gt;2.5*D34,-0.5*D113*D67/D63,-1.25*D34)</f>
        <v>-19.575352639975289</v>
      </c>
      <c r="E134" s="60">
        <f>IF(E113*E67/E63&gt;2.5*E34,-0.5*E113*E67/E63,-1.25*E34)</f>
        <v>-16.916882904879586</v>
      </c>
      <c r="F134" s="60">
        <f>IF(F113*F67/F63&gt;2.5*F34,-0.5*F113*F67/F63,-1.25*F34)</f>
        <v>-14.658767774847288</v>
      </c>
      <c r="G134" s="60">
        <f>IF(G113*G67/G63&gt;2.5*G34,-0.5*G113*G67/G63,-1.25*G34)</f>
        <v>-12.556418716574555</v>
      </c>
      <c r="H134" s="60"/>
      <c r="I134" s="60">
        <f>IF(I113*I67/I63&gt;2.5*I34,-0.5*I113*I67/I63,-1.25*I34)</f>
        <v>-49.488312344167355</v>
      </c>
      <c r="J134" s="60">
        <f t="shared" ref="J134:P134" si="156">IF(J113*J67/J63&gt;2.5*J34,-0.5*J113*J67/J63,-1.25*J34)</f>
        <v>-46.849328822867193</v>
      </c>
      <c r="K134" s="60">
        <f t="shared" si="156"/>
        <v>-44.827363862228317</v>
      </c>
      <c r="L134" s="60">
        <f t="shared" si="156"/>
        <v>-40.229872784832757</v>
      </c>
      <c r="M134" s="60">
        <f t="shared" si="156"/>
        <v>-32.836054738940867</v>
      </c>
      <c r="N134" s="60">
        <f t="shared" si="156"/>
        <v>-26.067395691145379</v>
      </c>
      <c r="O134" s="60">
        <f t="shared" si="156"/>
        <v>-20.182819539026926</v>
      </c>
      <c r="P134" s="60">
        <f t="shared" si="156"/>
        <v>-8.640203496755376</v>
      </c>
      <c r="Q134" s="60"/>
      <c r="R134" s="60">
        <f t="shared" ref="R134" si="157">IF(R113*R67/R63&gt;2.5*R34,-0.5*R113*R67/R63,-1.25*R34)</f>
        <v>-20.135505210171782</v>
      </c>
      <c r="S134" s="60"/>
    </row>
    <row r="135" spans="1:19">
      <c r="A135" s="63" t="s">
        <v>126</v>
      </c>
      <c r="B135" s="12" t="s">
        <v>43</v>
      </c>
      <c r="C135" s="24">
        <f>C37/SQRT(8*LN(2))</f>
        <v>1.9095059006033985</v>
      </c>
      <c r="D135" s="24">
        <f>D37/SQRT(8*LN(2))</f>
        <v>0.97856851510018161</v>
      </c>
      <c r="E135" s="24">
        <f>E37/SQRT(8*LN(2))</f>
        <v>0.66345854459764497</v>
      </c>
      <c r="F135" s="24">
        <f>F37/SQRT(8*LN(2))</f>
        <v>0.50275240273910904</v>
      </c>
      <c r="G135" s="24">
        <f>G37/SQRT(8*LN(2))</f>
        <v>0.40407092607108785</v>
      </c>
      <c r="H135" s="24"/>
      <c r="I135" s="24">
        <f>I37/SQRT(8*LN(2))</f>
        <v>0.79953356017144428</v>
      </c>
      <c r="J135" s="24">
        <f t="shared" ref="J135:P135" si="158">J37/SQRT(8*LN(2))</f>
        <v>0.55163173088236417</v>
      </c>
      <c r="K135" s="24">
        <f t="shared" si="158"/>
        <v>0.42180939338992107</v>
      </c>
      <c r="L135" s="24">
        <f t="shared" si="158"/>
        <v>0.282769676576689</v>
      </c>
      <c r="M135" s="24">
        <f t="shared" si="158"/>
        <v>0.20154919900602014</v>
      </c>
      <c r="N135" s="24">
        <f t="shared" si="158"/>
        <v>0.16690615698097994</v>
      </c>
      <c r="O135" s="24">
        <f t="shared" si="158"/>
        <v>0.15586268175494977</v>
      </c>
      <c r="P135" s="24">
        <f t="shared" si="158"/>
        <v>0.12717618459385283</v>
      </c>
      <c r="Q135" s="24"/>
      <c r="R135" s="24">
        <f t="shared" ref="R135" si="159">R37/SQRT(8*LN(2))</f>
        <v>0.12319430126818735</v>
      </c>
      <c r="S135" s="24"/>
    </row>
    <row r="136" spans="1:19">
      <c r="A136" s="13" t="s">
        <v>127</v>
      </c>
      <c r="B136" s="12"/>
      <c r="C136" s="22">
        <v>1</v>
      </c>
      <c r="D136" s="22">
        <v>1</v>
      </c>
      <c r="E136" s="22">
        <v>1</v>
      </c>
      <c r="F136" s="22">
        <v>1</v>
      </c>
      <c r="G136" s="22">
        <v>1</v>
      </c>
      <c r="H136" s="22"/>
      <c r="I136" s="22">
        <v>1</v>
      </c>
      <c r="J136" s="22">
        <v>1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1</v>
      </c>
      <c r="Q136" s="22"/>
      <c r="R136" s="22">
        <v>1</v>
      </c>
      <c r="S136" s="22"/>
    </row>
    <row r="137" spans="1:19" ht="15">
      <c r="A137" s="13" t="s">
        <v>128</v>
      </c>
      <c r="B137" s="12" t="s">
        <v>25</v>
      </c>
      <c r="C137" s="64">
        <f>10^4/C138</f>
        <v>12.813188686972184</v>
      </c>
      <c r="D137" s="64">
        <f>10^4/D138</f>
        <v>10.389930161562287</v>
      </c>
      <c r="E137" s="64">
        <f>10^4/E138</f>
        <v>9.1460989282793381</v>
      </c>
      <c r="F137" s="64">
        <f>10^4/F138</f>
        <v>8.3158894659342604</v>
      </c>
      <c r="G137" s="64">
        <f>10^4/G138</f>
        <v>7.6830057774260627</v>
      </c>
      <c r="H137" s="64"/>
      <c r="I137" s="64">
        <f t="shared" ref="I137:P137" si="160">10^4/I138</f>
        <v>9.2895028797536252</v>
      </c>
      <c r="J137" s="64">
        <f t="shared" si="160"/>
        <v>7.8578836884602605</v>
      </c>
      <c r="K137" s="64">
        <f t="shared" si="160"/>
        <v>7.0742258046742412</v>
      </c>
      <c r="L137" s="64">
        <f t="shared" si="160"/>
        <v>5.8591642304043461</v>
      </c>
      <c r="M137" s="64">
        <f t="shared" si="160"/>
        <v>4.7558461286932747</v>
      </c>
      <c r="N137" s="64">
        <f t="shared" si="160"/>
        <v>4.1732189449711266</v>
      </c>
      <c r="O137" s="64">
        <f t="shared" si="160"/>
        <v>3.8130438681324685</v>
      </c>
      <c r="P137" s="64">
        <f t="shared" si="160"/>
        <v>3.1717343549980921</v>
      </c>
      <c r="Q137" s="64"/>
      <c r="R137" s="64">
        <f t="shared" ref="R137" si="161">10^4/R138</f>
        <v>3.0288896929552669</v>
      </c>
      <c r="S137" s="64"/>
    </row>
    <row r="138" spans="1:19" ht="15">
      <c r="A138" s="18" t="s">
        <v>129</v>
      </c>
      <c r="B138" s="12"/>
      <c r="C138" s="65">
        <f>IF(C124,10^4/C127,10^4/SQRT(C25^2+(2*C136/C81*10^4)^2))</f>
        <v>780.44585499373034</v>
      </c>
      <c r="D138" s="65">
        <f>IF(D124,10^4/D127,10^4/SQRT(D25^2+(2*D136/D81*10^4)^2))</f>
        <v>962.47037703825583</v>
      </c>
      <c r="E138" s="65">
        <f>IF(E124,10^4/E127,10^4/SQRT(E25^2+(2*E136/E81*10^4)^2))</f>
        <v>1093.3623262132489</v>
      </c>
      <c r="F138" s="65">
        <f>IF(F124,10^4/F127,10^4/SQRT(F25^2+(2*F136/F81*10^4)^2))</f>
        <v>1202.5171860406078</v>
      </c>
      <c r="G138" s="65">
        <f>IF(G124,10^4/G127,10^4/SQRT(G25^2+(2*G136/G81*10^4)^2))</f>
        <v>1301.5739268844036</v>
      </c>
      <c r="H138" s="65"/>
      <c r="I138" s="65">
        <f>IF(I124,10^4/I127,10^4/SQRT(I25^2+(2*I136/I81*10^4)^2))</f>
        <v>1076.4838688833281</v>
      </c>
      <c r="J138" s="65">
        <f t="shared" ref="J138:P138" si="162">IF(J124,10^4/J127,10^4/SQRT(J25^2+(2*J136/J81*10^4)^2))</f>
        <v>1272.6072816126759</v>
      </c>
      <c r="K138" s="65">
        <f t="shared" si="162"/>
        <v>1413.5822457621548</v>
      </c>
      <c r="L138" s="65">
        <f t="shared" si="162"/>
        <v>1706.7280599693809</v>
      </c>
      <c r="M138" s="65">
        <f t="shared" si="162"/>
        <v>2102.6752610155659</v>
      </c>
      <c r="N138" s="65">
        <f t="shared" si="162"/>
        <v>2396.2318133464687</v>
      </c>
      <c r="O138" s="65">
        <f t="shared" si="162"/>
        <v>2622.5766987825778</v>
      </c>
      <c r="P138" s="65">
        <f t="shared" si="162"/>
        <v>3152.8491609777375</v>
      </c>
      <c r="Q138" s="65"/>
      <c r="R138" s="65">
        <f t="shared" ref="R138" si="163">IF(R124,10^4/R127,10^4/SQRT(R25^2+(2*R136/R81*10^4)^2))</f>
        <v>3301.5398425563226</v>
      </c>
      <c r="S138" s="65"/>
    </row>
    <row r="139" spans="1:19" ht="15">
      <c r="A139" s="63" t="s">
        <v>130</v>
      </c>
      <c r="B139" s="12" t="s">
        <v>131</v>
      </c>
      <c r="C139" s="66">
        <f t="shared" ref="C139:P139" si="164">IF(C124,C27,SQRT(C27*C109))*10^12*10^-3/((C8*10^3*C159)*SQRT(2*PI())^5*(C132*10^-3)^2*(C130*10^-3)^2*10^3/C138)</f>
        <v>8.5965432590556202E+30</v>
      </c>
      <c r="D139" s="66">
        <f t="shared" si="164"/>
        <v>2.001061418572036E+31</v>
      </c>
      <c r="E139" s="66">
        <f t="shared" si="164"/>
        <v>3.1629662965524082E+31</v>
      </c>
      <c r="F139" s="66">
        <f t="shared" si="164"/>
        <v>4.2701835820036117E+31</v>
      </c>
      <c r="G139" s="66">
        <f t="shared" si="164"/>
        <v>5.2818843184795125E+31</v>
      </c>
      <c r="H139" s="66"/>
      <c r="I139" s="66">
        <f t="shared" si="164"/>
        <v>4.5206614279300714E+31</v>
      </c>
      <c r="J139" s="66">
        <f t="shared" si="164"/>
        <v>7.8592698758520108E+31</v>
      </c>
      <c r="K139" s="66">
        <f t="shared" si="164"/>
        <v>1.0624735359113276E+32</v>
      </c>
      <c r="L139" s="66">
        <f t="shared" si="164"/>
        <v>1.5507405033377116E+32</v>
      </c>
      <c r="M139" s="66">
        <f t="shared" si="164"/>
        <v>1.8539842539628016E+32</v>
      </c>
      <c r="N139" s="66">
        <f t="shared" si="164"/>
        <v>1.8371502883335047E+32</v>
      </c>
      <c r="O139" s="66">
        <f t="shared" si="164"/>
        <v>1.1770214797258506E+32</v>
      </c>
      <c r="P139" s="66">
        <f t="shared" si="164"/>
        <v>4.2685945950857574E+31</v>
      </c>
      <c r="Q139" s="66"/>
      <c r="R139" s="66">
        <f t="shared" ref="R139" si="165">IF(R124,R27,SQRT(R27*R109))*10^12*10^-3/((R8*10^3*R159)*SQRT(2*PI())^5*(R132*10^-3)^2*(R130*10^-3)^2*10^3/R138)</f>
        <v>1.2452739763595615E+31</v>
      </c>
      <c r="S139" s="66"/>
    </row>
    <row r="140" spans="1:19" ht="15">
      <c r="A140" s="63" t="s">
        <v>132</v>
      </c>
      <c r="B140" s="12" t="s">
        <v>131</v>
      </c>
      <c r="C140" s="67">
        <f>C139*SQRT(IF(C21="Flat-Top",12,2*PI()))*C22*10^-6/C163*C12</f>
        <v>6.8526730550757665E+22</v>
      </c>
      <c r="D140" s="67">
        <f>D139*SQRT(IF(D21="Flat-Top",12,2*PI()))*D22*10^-6/D163*D12</f>
        <v>1.5951318165188519E+23</v>
      </c>
      <c r="E140" s="67">
        <f>E139*SQRT(IF(E21="Flat-Top",12,2*PI()))*E22*10^-6/E163*E12</f>
        <v>2.5213359906803485E+23</v>
      </c>
      <c r="F140" s="67">
        <f>F139*SQRT(IF(F21="Flat-Top",12,2*PI()))*F22*10^-6/F163*F12</f>
        <v>3.4039463410828787E+23</v>
      </c>
      <c r="G140" s="67">
        <f>G139*SQRT(IF(G21="Flat-Top",12,2*PI()))*G22*10^-6/G163*G12</f>
        <v>4.2104163567308116E+23</v>
      </c>
      <c r="H140" s="67"/>
      <c r="I140" s="67">
        <f>I139*SQRT(IF(I21="Flat-Top",12,2*PI()))*I22*10^-6/I163*I12</f>
        <v>3.6036129668356863E+23</v>
      </c>
      <c r="J140" s="67">
        <f t="shared" ref="J140:P140" si="166">J139*SQRT(IF(J21="Flat-Top",12,2*PI()))*J22*10^-6/J163*J12</f>
        <v>6.2649608438934606E+23</v>
      </c>
      <c r="K140" s="67">
        <f t="shared" si="166"/>
        <v>8.4694319005502978E+23</v>
      </c>
      <c r="L140" s="67">
        <f t="shared" si="166"/>
        <v>1.2361617155177759E+24</v>
      </c>
      <c r="M140" s="67">
        <f t="shared" si="166"/>
        <v>1.4778903053017762E+24</v>
      </c>
      <c r="N140" s="67">
        <f t="shared" si="166"/>
        <v>1.4644712298429939E+24</v>
      </c>
      <c r="O140" s="67">
        <f t="shared" si="166"/>
        <v>4.3785199045801645E+23</v>
      </c>
      <c r="P140" s="67">
        <f t="shared" si="166"/>
        <v>8.8217621631772287E+22</v>
      </c>
      <c r="Q140" s="67"/>
      <c r="R140" s="67">
        <f t="shared" ref="R140" si="167">R139*SQRT(IF(R21="Flat-Top",12,2*PI()))*R22*10^-6/R163*R12</f>
        <v>4.4829863148944213E+23</v>
      </c>
      <c r="S140" s="67"/>
    </row>
    <row r="141" spans="1:19" ht="15"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</row>
    <row r="142" spans="1:19" hidden="1">
      <c r="A142" s="1" t="s">
        <v>133</v>
      </c>
    </row>
    <row r="143" spans="1:19" hidden="1"/>
    <row r="144" spans="1:19" hidden="1">
      <c r="A144" s="28" t="s">
        <v>134</v>
      </c>
      <c r="B144" s="12" t="s">
        <v>33</v>
      </c>
      <c r="C144" s="17">
        <f>C41/1000/(SQRT(12)*(C22*10^-6/(C163)))*0.000000001</f>
        <v>1.0052807861489066</v>
      </c>
      <c r="D144" s="17">
        <f>D41/1000/(SQRT(12)*(D22*10^-6/(D163)))*0.000000001</f>
        <v>0.4681745812475035</v>
      </c>
      <c r="E144" s="17">
        <f>E41/1000/(SQRT(12)*(E22*10^-6/(E163)))*0.000000001</f>
        <v>0.28913917961370261</v>
      </c>
      <c r="F144" s="17">
        <f>F41/1000/(SQRT(12)*(F22*10^-6/(F163)))*0.000000001</f>
        <v>0.19962147879680223</v>
      </c>
      <c r="G144" s="17">
        <f>G41/1000/(SQRT(12)*(G22*10^-6/(G163)))*0.000000001</f>
        <v>0.14591085830666198</v>
      </c>
      <c r="H144" s="17"/>
      <c r="I144" s="17">
        <f>I41/1000/(SQRT(12)*(I22*10^-6/(I163)))*0.000000001</f>
        <v>0.64889903303487118</v>
      </c>
      <c r="J144" s="17">
        <f t="shared" ref="J144:P144" si="168">J41/1000/(SQRT(12)*(J22*10^-6/(J163)))*0.000000001</f>
        <v>0.70646439864567057</v>
      </c>
      <c r="K144" s="17">
        <f t="shared" si="168"/>
        <v>0.46886070092386101</v>
      </c>
      <c r="L144" s="17">
        <f t="shared" si="168"/>
        <v>0.23125700320205175</v>
      </c>
      <c r="M144" s="17">
        <f t="shared" si="168"/>
        <v>0.1124551543411469</v>
      </c>
      <c r="N144" s="17">
        <f t="shared" si="168"/>
        <v>7.2854538054178644E-2</v>
      </c>
      <c r="O144" s="17">
        <f t="shared" si="168"/>
        <v>2.9410032160431528E-2</v>
      </c>
      <c r="P144" s="17">
        <f t="shared" si="168"/>
        <v>9.8059124807809185E-3</v>
      </c>
      <c r="Q144" s="17"/>
      <c r="R144" s="17">
        <f t="shared" ref="R144" si="169">R41/1000/(SQRT(12)*(R22*10^-6/(R163)))*0.000000001</f>
        <v>2.9410032160431528E-2</v>
      </c>
      <c r="S144" s="17"/>
    </row>
    <row r="145" spans="1:19" ht="17" hidden="1">
      <c r="A145" s="20" t="s">
        <v>135</v>
      </c>
      <c r="B145" s="52" t="s">
        <v>23</v>
      </c>
      <c r="C145" s="53">
        <f>MIN(12000/SQRT(12),C63*C147)</f>
        <v>3464.1016151377548</v>
      </c>
      <c r="D145" s="53">
        <f>MIN(12000/SQRT(12),D63*D147)</f>
        <v>3464.1016151377548</v>
      </c>
      <c r="E145" s="53">
        <f>MIN(12000/SQRT(12),E63*E147)</f>
        <v>3464.1016151377548</v>
      </c>
      <c r="F145" s="53">
        <f>MIN(12000/SQRT(12),F63*F147)</f>
        <v>3464.1016151377548</v>
      </c>
      <c r="G145" s="53">
        <f>MIN(12000/SQRT(12),G63*G147)</f>
        <v>3464.1016151377548</v>
      </c>
      <c r="H145" s="53"/>
      <c r="I145" s="53">
        <f>MIN(12000/SQRT(12),I63*I147)</f>
        <v>3464.1016151377548</v>
      </c>
      <c r="J145" s="53">
        <f t="shared" ref="J145:P145" si="170">MIN(12000/SQRT(12),J63*J147)</f>
        <v>3464.1016151377548</v>
      </c>
      <c r="K145" s="53">
        <f t="shared" si="170"/>
        <v>3464.1016151377548</v>
      </c>
      <c r="L145" s="53">
        <f t="shared" si="170"/>
        <v>3464.1016151377548</v>
      </c>
      <c r="M145" s="53">
        <f t="shared" si="170"/>
        <v>3464.1016151377548</v>
      </c>
      <c r="N145" s="53">
        <f t="shared" si="170"/>
        <v>3464.1016151377548</v>
      </c>
      <c r="O145" s="53">
        <f t="shared" si="170"/>
        <v>3464.1016151377548</v>
      </c>
      <c r="P145" s="53">
        <f t="shared" si="170"/>
        <v>3464.1016151377548</v>
      </c>
      <c r="Q145" s="53"/>
      <c r="R145" s="53">
        <f t="shared" ref="R145" si="171">MIN(12000/SQRT(12),R63*R147)</f>
        <v>3464.1016151377548</v>
      </c>
      <c r="S145" s="53"/>
    </row>
    <row r="146" spans="1:19" ht="17" hidden="1">
      <c r="A146" s="20" t="s">
        <v>136</v>
      </c>
      <c r="B146" s="52" t="s">
        <v>23</v>
      </c>
      <c r="C146" s="53">
        <f>MIN(5000/SQRT(12),C63*C148)</f>
        <v>1443.3756729740644</v>
      </c>
      <c r="D146" s="53">
        <f>MIN(5000/SQRT(12),D63*D148)</f>
        <v>1443.3756729740644</v>
      </c>
      <c r="E146" s="53">
        <f>MIN(5000/SQRT(12),E63*E148)</f>
        <v>1443.3756729740644</v>
      </c>
      <c r="F146" s="53">
        <f>MIN(5000/SQRT(12),F63*F148)</f>
        <v>1443.3756729740644</v>
      </c>
      <c r="G146" s="53">
        <f>MIN(5000/SQRT(12),G63*G148)</f>
        <v>1443.3756729740644</v>
      </c>
      <c r="H146" s="53"/>
      <c r="I146" s="53">
        <f>MIN(5000/SQRT(12),I63*I148)</f>
        <v>1443.3756729740644</v>
      </c>
      <c r="J146" s="53">
        <f t="shared" ref="J146:P146" si="172">MIN(5000/SQRT(12),J63*J148)</f>
        <v>1443.3756729740644</v>
      </c>
      <c r="K146" s="53">
        <f t="shared" si="172"/>
        <v>1443.3756729740644</v>
      </c>
      <c r="L146" s="53">
        <f t="shared" si="172"/>
        <v>1443.3756729740644</v>
      </c>
      <c r="M146" s="53">
        <f t="shared" si="172"/>
        <v>1443.3756729740644</v>
      </c>
      <c r="N146" s="53">
        <f t="shared" si="172"/>
        <v>1443.3756729740644</v>
      </c>
      <c r="O146" s="53">
        <f t="shared" si="172"/>
        <v>1443.3756729740644</v>
      </c>
      <c r="P146" s="53">
        <f t="shared" si="172"/>
        <v>1443.3756729740644</v>
      </c>
      <c r="Q146" s="53"/>
      <c r="R146" s="53">
        <f t="shared" ref="R146" si="173">MIN(5000/SQRT(12),R63*R148)</f>
        <v>1443.3756729740644</v>
      </c>
      <c r="S146" s="53"/>
    </row>
    <row r="147" spans="1:19" ht="17" hidden="1">
      <c r="A147" s="20" t="s">
        <v>137</v>
      </c>
      <c r="B147" s="12" t="s">
        <v>39</v>
      </c>
      <c r="C147" s="60">
        <f>1000000*C55/C81</f>
        <v>689.93717264128929</v>
      </c>
      <c r="D147" s="60">
        <f>1000000*D55/D81</f>
        <v>470.83611654011082</v>
      </c>
      <c r="E147" s="60">
        <f>1000000*E55/E81</f>
        <v>370.01499625557307</v>
      </c>
      <c r="F147" s="60">
        <f>1000000*F55/F81</f>
        <v>307.44645364962525</v>
      </c>
      <c r="G147" s="60">
        <f>1000000*G55/G81</f>
        <v>262.85101579861333</v>
      </c>
      <c r="H147" s="60"/>
      <c r="I147" s="60">
        <f>1000000*I55/I81</f>
        <v>384.85470896278832</v>
      </c>
      <c r="J147" s="60">
        <f t="shared" ref="J147:P147" si="174">1000000*J55/J81</f>
        <v>307.44645364962531</v>
      </c>
      <c r="K147" s="60">
        <f t="shared" si="174"/>
        <v>250.46454872400764</v>
      </c>
      <c r="L147" s="60">
        <f t="shared" si="174"/>
        <v>175.90241178935094</v>
      </c>
      <c r="M147" s="60">
        <f t="shared" si="174"/>
        <v>122.66312659558767</v>
      </c>
      <c r="N147" s="60">
        <f t="shared" si="174"/>
        <v>98.730799030343604</v>
      </c>
      <c r="O147" s="60">
        <f t="shared" si="174"/>
        <v>74.22259169513049</v>
      </c>
      <c r="P147" s="60">
        <f t="shared" si="174"/>
        <v>45.176347657425161</v>
      </c>
      <c r="Q147" s="60"/>
      <c r="R147" s="60">
        <f t="shared" ref="R147" si="175">1000000*R55/R81</f>
        <v>74.22259169513049</v>
      </c>
      <c r="S147" s="60"/>
    </row>
    <row r="148" spans="1:19" ht="17" hidden="1">
      <c r="A148" s="20" t="s">
        <v>138</v>
      </c>
      <c r="B148" s="12" t="s">
        <v>39</v>
      </c>
      <c r="C148" s="60">
        <f>1000000/C81</f>
        <v>127.749765</v>
      </c>
      <c r="D148" s="60">
        <f>1000000/D81</f>
        <v>127.749765</v>
      </c>
      <c r="E148" s="60">
        <f>1000000/E81</f>
        <v>127.749765</v>
      </c>
      <c r="F148" s="60">
        <f>1000000/F81</f>
        <v>127.749765</v>
      </c>
      <c r="G148" s="60">
        <f>1000000/G81</f>
        <v>127.749765</v>
      </c>
      <c r="H148" s="60"/>
      <c r="I148" s="60">
        <f>1000000/I81</f>
        <v>145.99973142857144</v>
      </c>
      <c r="J148" s="60">
        <f t="shared" ref="J148:P148" si="176">1000000/J81</f>
        <v>127.749765</v>
      </c>
      <c r="K148" s="60">
        <f t="shared" si="176"/>
        <v>127.749765</v>
      </c>
      <c r="L148" s="60">
        <f t="shared" si="176"/>
        <v>127.749765</v>
      </c>
      <c r="M148" s="60">
        <f t="shared" si="176"/>
        <v>127.749765</v>
      </c>
      <c r="N148" s="60">
        <f t="shared" si="176"/>
        <v>127.749765</v>
      </c>
      <c r="O148" s="60">
        <f t="shared" si="176"/>
        <v>127.749765</v>
      </c>
      <c r="P148" s="60">
        <f t="shared" si="176"/>
        <v>127.749765</v>
      </c>
      <c r="Q148" s="60"/>
      <c r="R148" s="60">
        <f t="shared" ref="R148" si="177">1000000/R81</f>
        <v>127.749765</v>
      </c>
      <c r="S148" s="60"/>
    </row>
    <row r="149" spans="1:19" ht="17" hidden="1">
      <c r="A149" s="20" t="s">
        <v>139</v>
      </c>
      <c r="B149" s="52" t="s">
        <v>43</v>
      </c>
      <c r="C149" s="17">
        <f>(C145+C36*C147)/1000</f>
        <v>62.108761289647347</v>
      </c>
      <c r="D149" s="17">
        <f>(D145+D36*D147)/1000</f>
        <v>43.485171521047171</v>
      </c>
      <c r="E149" s="17">
        <f>(E145+E36*E147)/1000</f>
        <v>34.91537629686146</v>
      </c>
      <c r="F149" s="17">
        <f>(F145+F36*F147)/1000</f>
        <v>29.5970501753559</v>
      </c>
      <c r="G149" s="17">
        <f>(G145+G36*G147)/1000</f>
        <v>25.806437958019888</v>
      </c>
      <c r="H149" s="17"/>
      <c r="I149" s="17">
        <f>(I145+I36*I147)/1000</f>
        <v>30.403931242532938</v>
      </c>
      <c r="J149" s="17">
        <f t="shared" ref="J149:P149" si="178">(J145+J36*J147)/1000</f>
        <v>24.985353370611527</v>
      </c>
      <c r="K149" s="17">
        <f t="shared" si="178"/>
        <v>20.996620025818292</v>
      </c>
      <c r="L149" s="17">
        <f t="shared" si="178"/>
        <v>15.77727044039232</v>
      </c>
      <c r="M149" s="17">
        <f t="shared" si="178"/>
        <v>12.050520476828892</v>
      </c>
      <c r="N149" s="17">
        <f t="shared" si="178"/>
        <v>10.375257547261807</v>
      </c>
      <c r="O149" s="17">
        <f t="shared" si="178"/>
        <v>8.65968303379689</v>
      </c>
      <c r="P149" s="17">
        <f t="shared" si="178"/>
        <v>6.6264459511575158</v>
      </c>
      <c r="Q149" s="17"/>
      <c r="R149" s="17">
        <f t="shared" ref="R149" si="179">(R145+R36*R147)/1000</f>
        <v>10.144134867699499</v>
      </c>
      <c r="S149" s="17"/>
    </row>
    <row r="150" spans="1:19" ht="17" hidden="1">
      <c r="A150" s="20" t="s">
        <v>140</v>
      </c>
      <c r="B150" s="52" t="s">
        <v>43</v>
      </c>
      <c r="C150" s="17">
        <f>(C146+C36*C148)/1000</f>
        <v>12.302105697974064</v>
      </c>
      <c r="D150" s="17">
        <f>(D146+D36*D148)/1000</f>
        <v>12.302105697974064</v>
      </c>
      <c r="E150" s="17">
        <f>(E146+E36*E148)/1000</f>
        <v>12.302105697974064</v>
      </c>
      <c r="F150" s="17">
        <f>(F146+F36*F148)/1000</f>
        <v>12.302105697974064</v>
      </c>
      <c r="G150" s="17">
        <f>(G146+G36*G148)/1000</f>
        <v>12.302105697974064</v>
      </c>
      <c r="H150" s="17"/>
      <c r="I150" s="17">
        <f>(I146+I36*I148)/1000</f>
        <v>11.663356872974065</v>
      </c>
      <c r="J150" s="17">
        <f t="shared" ref="J150:P150" si="180">(J146+J36*J148)/1000</f>
        <v>10.385859222974064</v>
      </c>
      <c r="K150" s="17">
        <f t="shared" si="180"/>
        <v>10.385859222974064</v>
      </c>
      <c r="L150" s="17">
        <f t="shared" si="180"/>
        <v>10.385859222974064</v>
      </c>
      <c r="M150" s="17">
        <f t="shared" si="180"/>
        <v>10.385859222974064</v>
      </c>
      <c r="N150" s="17">
        <f t="shared" si="180"/>
        <v>10.385859222974064</v>
      </c>
      <c r="O150" s="17">
        <f t="shared" si="180"/>
        <v>10.385859222974064</v>
      </c>
      <c r="P150" s="17">
        <f t="shared" si="180"/>
        <v>10.385859222974064</v>
      </c>
      <c r="Q150" s="17"/>
      <c r="R150" s="17">
        <f t="shared" ref="R150" si="181">(R146+R36*R148)/1000</f>
        <v>12.940854522974062</v>
      </c>
      <c r="S150" s="17"/>
    </row>
    <row r="151" spans="1:19" ht="16" hidden="1">
      <c r="A151" s="69" t="s">
        <v>141</v>
      </c>
      <c r="B151" s="52" t="s">
        <v>142</v>
      </c>
      <c r="C151" s="70">
        <f>60*7/15*299792458^2*1.054588*10^-34/(4*PI()*(510999)^2)*C81^4*C49^3*C55^2*(1.2*C55+1/(1+1.33*C55+0.4*C55^2))</f>
        <v>2.4189677672058413E-4</v>
      </c>
      <c r="D151" s="70">
        <f>60*7/15*299792458^2*1.054588*10^-34/(4*PI()*(510999)^2)*D81^4*D49^3*D55^2*(1.2*D55+1/(1+1.33*D55+0.4*D55^2))</f>
        <v>7.7808204916325334E-5</v>
      </c>
      <c r="E151" s="70">
        <f>60*7/15*299792458^2*1.054588*10^-34/(4*PI()*(510999)^2)*E81^4*E49^3*E55^2*(1.2*E55+1/(1+1.33*E55+0.4*E55^2))</f>
        <v>3.8322976690232031E-5</v>
      </c>
      <c r="F151" s="70">
        <f>60*7/15*299792458^2*1.054588*10^-34/(4*PI()*(510999)^2)*F81^4*F49^3*F55^2*(1.2*F55+1/(1+1.33*F55+0.4*F55^2))</f>
        <v>2.2368054163347645E-5</v>
      </c>
      <c r="G151" s="70">
        <f>60*7/15*299792458^2*1.054588*10^-34/(4*PI()*(510999)^2)*G81^4*G49^3*G55^2*(1.2*G55+1/(1+1.33*G55+0.4*G55^2))</f>
        <v>1.426296831141654E-5</v>
      </c>
      <c r="H151" s="70"/>
      <c r="I151" s="70">
        <f>60*7/15*299792458^2*1.054588*10^-34/(4*PI()*(510999)^2)*I81^4*I49^3*I55^2*(1.2*I55+1/(1+1.33*I55+0.4*I55^2))</f>
        <v>5.761126539058205E-5</v>
      </c>
      <c r="J151" s="70">
        <f t="shared" ref="J151:P151" si="182">60*7/15*299792458^2*1.054588*10^-34/(4*PI()*(510999)^2)*J81^4*J49^3*J55^2*(1.2*J55+1/(1+1.33*J55+0.4*J55^2))</f>
        <v>7.5492182801298351E-5</v>
      </c>
      <c r="K151" s="70">
        <f t="shared" si="182"/>
        <v>4.1958829273149208E-5</v>
      </c>
      <c r="L151" s="70">
        <f t="shared" si="182"/>
        <v>1.5688901107663926E-5</v>
      </c>
      <c r="M151" s="70">
        <f t="shared" si="182"/>
        <v>6.0458858141367115E-6</v>
      </c>
      <c r="N151" s="70">
        <f t="shared" si="182"/>
        <v>3.5031752944334205E-6</v>
      </c>
      <c r="O151" s="70">
        <f t="shared" si="182"/>
        <v>1.7669039506874449E-6</v>
      </c>
      <c r="P151" s="70">
        <f t="shared" si="182"/>
        <v>5.799371499863251E-7</v>
      </c>
      <c r="Q151" s="70"/>
      <c r="R151" s="70">
        <f t="shared" ref="R151" si="183">60*7/15*299792458^2*1.054588*10^-34/(4*PI()*(510999)^2)*R81^4*R49^3*R55^2*(1.2*R55+1/(1+1.33*R55+0.4*R55^2))</f>
        <v>1.7669039506874449E-6</v>
      </c>
      <c r="S151" s="70"/>
    </row>
    <row r="152" spans="1:19" ht="17" hidden="1">
      <c r="A152" s="69" t="s">
        <v>143</v>
      </c>
      <c r="B152" s="52"/>
      <c r="C152" s="70">
        <f>SQRT(C151*MIN(C111,C63))</f>
        <v>8.2575717740911825E-2</v>
      </c>
      <c r="D152" s="70">
        <f>SQRT(D151*MIN(D111,D63))</f>
        <v>5.1366830629039864E-2</v>
      </c>
      <c r="E152" s="70">
        <f>SQRT(E151*MIN(E111,E63))</f>
        <v>3.8191607124379884E-2</v>
      </c>
      <c r="F152" s="70">
        <f>SQRT(F151*MIN(F111,F63))</f>
        <v>3.0498955157887048E-2</v>
      </c>
      <c r="G152" s="70">
        <f>SQRT(G151*MIN(G111,G63))</f>
        <v>2.5297004732589865E-2</v>
      </c>
      <c r="H152" s="70"/>
      <c r="I152" s="70">
        <f>SQRT(I151*MIN(I111,I63))</f>
        <v>3.7789451597938208E-2</v>
      </c>
      <c r="J152" s="70">
        <f t="shared" ref="J152:P152" si="184">SQRT(J151*MIN(J111,J63))</f>
        <v>4.6687062728343935E-2</v>
      </c>
      <c r="K152" s="70">
        <f t="shared" si="184"/>
        <v>3.6644427315006209E-2</v>
      </c>
      <c r="L152" s="70">
        <f t="shared" si="184"/>
        <v>2.4774123850687911E-2</v>
      </c>
      <c r="M152" s="70">
        <f t="shared" si="184"/>
        <v>1.7484878441889035E-2</v>
      </c>
      <c r="N152" s="70">
        <f t="shared" si="184"/>
        <v>1.4623690690416998E-2</v>
      </c>
      <c r="O152" s="70">
        <f t="shared" si="184"/>
        <v>1.1133616016040593E-2</v>
      </c>
      <c r="P152" s="70">
        <f t="shared" si="184"/>
        <v>7.6684827057647694E-3</v>
      </c>
      <c r="Q152" s="70"/>
      <c r="R152" s="70">
        <f t="shared" ref="R152" si="185">SQRT(R151*MIN(R111,R63))</f>
        <v>1.3385217988501603E-2</v>
      </c>
      <c r="S152" s="70"/>
    </row>
    <row r="153" spans="1:19" ht="17" hidden="1">
      <c r="A153" s="69" t="s">
        <v>144</v>
      </c>
      <c r="B153" s="52"/>
      <c r="C153" s="70">
        <f>C152/C81/(C91*10^-4)</f>
        <v>6.131820840265147E-3</v>
      </c>
      <c r="D153" s="70">
        <f>D152/D81/(D91*10^-4)</f>
        <v>5.0995861318674091E-3</v>
      </c>
      <c r="E153" s="70">
        <f>E152/E81/(E91*10^-4)</f>
        <v>4.472311161943401E-3</v>
      </c>
      <c r="F153" s="70">
        <f>F152/F81/(F91*10^-4)</f>
        <v>4.020247129255165E-3</v>
      </c>
      <c r="G153" s="70">
        <f>G152/G81/(G91*10^-4)</f>
        <v>3.66822885481791E-3</v>
      </c>
      <c r="H153" s="70"/>
      <c r="I153" s="70">
        <f>I152/I81/(I91*10^-4)</f>
        <v>5.0613349653483072E-3</v>
      </c>
      <c r="J153" s="70">
        <f t="shared" ref="J153:P153" si="186">J152/J81/(J91*10^-4)</f>
        <v>6.5733879943937227E-3</v>
      </c>
      <c r="K153" s="70">
        <f t="shared" si="186"/>
        <v>5.8192889099708857E-3</v>
      </c>
      <c r="L153" s="70">
        <f t="shared" si="186"/>
        <v>4.8061913340681217E-3</v>
      </c>
      <c r="M153" s="70">
        <f t="shared" si="186"/>
        <v>4.1684600277254067E-3</v>
      </c>
      <c r="N153" s="70">
        <f t="shared" si="186"/>
        <v>3.9647901402935816E-3</v>
      </c>
      <c r="O153" s="70">
        <f t="shared" si="186"/>
        <v>3.4741401359596863E-3</v>
      </c>
      <c r="P153" s="70">
        <f t="shared" si="186"/>
        <v>3.1008049664171407E-3</v>
      </c>
      <c r="Q153" s="70"/>
      <c r="R153" s="70">
        <f t="shared" ref="R153" si="187">R152/R81/(R91*10^-4)</f>
        <v>6.5044879420714866E-3</v>
      </c>
      <c r="S153" s="70"/>
    </row>
    <row r="154" spans="1:19" ht="17" hidden="1">
      <c r="A154" s="69" t="s">
        <v>145</v>
      </c>
      <c r="B154" s="52"/>
      <c r="C154" s="70">
        <f>C152/C81/(C107*10^-4)</f>
        <v>8.4016725363837523E-3</v>
      </c>
      <c r="D154" s="70">
        <f>D152/D81/(D107*10^-4)</f>
        <v>6.5159149662844138E-3</v>
      </c>
      <c r="E154" s="70">
        <f>E152/E81/(E107*10^-4)</f>
        <v>5.5556609745034671E-3</v>
      </c>
      <c r="F154" s="70">
        <f>F152/F81/(F107*10^-4)</f>
        <v>4.92342897090162E-3</v>
      </c>
      <c r="G154" s="70">
        <f>G152/G81/(G107*10^-4)</f>
        <v>4.4601264793904544E-3</v>
      </c>
      <c r="H154" s="70"/>
      <c r="I154" s="70">
        <f>I152/I81/(I107*10^-4)</f>
        <v>6.2563465750717674E-3</v>
      </c>
      <c r="J154" s="70">
        <f t="shared" ref="J154:P154" si="188">J152/J81/(J107*10^-4)</f>
        <v>8.0262929621214545E-3</v>
      </c>
      <c r="K154" s="70">
        <f t="shared" si="188"/>
        <v>7.0964348931163105E-3</v>
      </c>
      <c r="L154" s="70">
        <f t="shared" si="188"/>
        <v>6.0023583758913894E-3</v>
      </c>
      <c r="M154" s="70">
        <f t="shared" si="188"/>
        <v>5.5685707442263083E-3</v>
      </c>
      <c r="N154" s="70">
        <f t="shared" si="188"/>
        <v>5.6617139713573362E-3</v>
      </c>
      <c r="O154" s="70">
        <f t="shared" si="188"/>
        <v>5.0251008484830662E-3</v>
      </c>
      <c r="P154" s="70">
        <f t="shared" si="188"/>
        <v>5.2127330656203162E-3</v>
      </c>
      <c r="Q154" s="70"/>
      <c r="R154" s="70">
        <f t="shared" ref="R154" si="189">R152/R81/(R107*10^-4)</f>
        <v>1.0511786722793943E-2</v>
      </c>
      <c r="S154" s="70"/>
    </row>
    <row r="155" spans="1:19" ht="15" hidden="1">
      <c r="A155" s="26" t="s">
        <v>146</v>
      </c>
      <c r="B155" s="52" t="s">
        <v>6</v>
      </c>
      <c r="C155" s="60">
        <f>665*(C81*C161*10^-3)^2*C56/1000</f>
        <v>15.77995361660515</v>
      </c>
      <c r="D155" s="60">
        <f>665*(D81*D161*10^-3)^2*D56/1000</f>
        <v>10.76876616400015</v>
      </c>
      <c r="E155" s="60">
        <f>665*(E81*E161*10^-3)^2*E56/1000</f>
        <v>8.4628277905486602</v>
      </c>
      <c r="F155" s="60">
        <f>665*(F81*F161*10^-3)^2*F56/1000</f>
        <v>7.0317863286128661</v>
      </c>
      <c r="G155" s="60">
        <f>665*(G81*G161*10^-3)^2*G56/1000</f>
        <v>6.0118181797636954</v>
      </c>
      <c r="H155" s="60"/>
      <c r="I155" s="60">
        <f>665*(I81*I161*10^-3)^2*I56/1000</f>
        <v>8.8452151404351564</v>
      </c>
      <c r="J155" s="60">
        <f t="shared" ref="J155:P155" si="190">665*(J81*J161*10^-3)^2*J56/1000</f>
        <v>10.547679492919302</v>
      </c>
      <c r="K155" s="60">
        <f t="shared" si="190"/>
        <v>8.5927801505565427</v>
      </c>
      <c r="L155" s="60">
        <f t="shared" si="190"/>
        <v>6.0347492695427425</v>
      </c>
      <c r="M155" s="60">
        <f t="shared" si="190"/>
        <v>4.2082493701622203</v>
      </c>
      <c r="N155" s="60">
        <f t="shared" si="190"/>
        <v>3.387194133774849</v>
      </c>
      <c r="O155" s="60">
        <f t="shared" si="190"/>
        <v>2.5463819765709119</v>
      </c>
      <c r="P155" s="60">
        <f t="shared" si="190"/>
        <v>1.5498817114158534</v>
      </c>
      <c r="Q155" s="60"/>
      <c r="R155" s="60">
        <f t="shared" ref="R155" si="191">665*(R81*R161*10^-3)^2*R56/1000</f>
        <v>2.5463819765709119</v>
      </c>
      <c r="S155" s="60"/>
    </row>
    <row r="156" spans="1:19" hidden="1">
      <c r="A156" s="25"/>
      <c r="B156" s="25"/>
    </row>
    <row r="157" spans="1:19" hidden="1">
      <c r="A157" s="1" t="s">
        <v>147</v>
      </c>
    </row>
    <row r="158" spans="1:19" hidden="1"/>
    <row r="159" spans="1:19" hidden="1">
      <c r="A159" s="10" t="s">
        <v>148</v>
      </c>
      <c r="B159" s="12" t="s">
        <v>149</v>
      </c>
      <c r="C159" s="71">
        <v>1.6021773299999999E-19</v>
      </c>
      <c r="D159" s="71">
        <v>1.6021773299999999E-19</v>
      </c>
      <c r="E159" s="71">
        <v>1.6021773299999999E-19</v>
      </c>
      <c r="F159" s="71">
        <v>1.6021773299999999E-19</v>
      </c>
      <c r="G159" s="71">
        <v>1.6021773299999999E-19</v>
      </c>
      <c r="H159" s="71"/>
      <c r="I159" s="71">
        <v>1.6021773299999999E-19</v>
      </c>
      <c r="J159" s="71">
        <v>1.6021773299999999E-19</v>
      </c>
      <c r="K159" s="71">
        <v>1.6021773299999999E-19</v>
      </c>
      <c r="L159" s="71">
        <v>1.6021773299999999E-19</v>
      </c>
      <c r="M159" s="71">
        <v>1.6021773299999999E-19</v>
      </c>
      <c r="N159" s="71">
        <v>1.6021773299999999E-19</v>
      </c>
      <c r="O159" s="71">
        <v>1.6021773299999999E-19</v>
      </c>
      <c r="P159" s="71">
        <v>1.6021773299999999E-19</v>
      </c>
      <c r="Q159" s="71"/>
      <c r="R159" s="71">
        <v>1.6021773299999999E-19</v>
      </c>
      <c r="S159" s="71"/>
    </row>
    <row r="160" spans="1:19" ht="15" hidden="1">
      <c r="A160" s="10" t="s">
        <v>150</v>
      </c>
      <c r="B160" s="28" t="s">
        <v>21</v>
      </c>
      <c r="C160" s="72">
        <f>C159*C163^2/C161*10^-13</f>
        <v>2.8179409421853483E-15</v>
      </c>
      <c r="D160" s="72">
        <f>D159*D163^2/D161*10^-13</f>
        <v>2.8179409421853483E-15</v>
      </c>
      <c r="E160" s="72">
        <f>E159*E163^2/E161*10^-13</f>
        <v>2.8179409421853483E-15</v>
      </c>
      <c r="F160" s="72">
        <f>F159*F163^2/F161*10^-13</f>
        <v>2.8179409421853483E-15</v>
      </c>
      <c r="G160" s="72">
        <f>G159*G163^2/G161*10^-13</f>
        <v>2.8179409421853483E-15</v>
      </c>
      <c r="H160" s="72"/>
      <c r="I160" s="72">
        <f>I159*I163^2/I161*10^-13</f>
        <v>2.8179409421853483E-15</v>
      </c>
      <c r="J160" s="72">
        <f t="shared" ref="J160:P160" si="192">J159*J163^2/J161*10^-13</f>
        <v>2.8179409421853483E-15</v>
      </c>
      <c r="K160" s="72">
        <f t="shared" si="192"/>
        <v>2.8179409421853483E-15</v>
      </c>
      <c r="L160" s="72">
        <f t="shared" si="192"/>
        <v>2.8179409421853483E-15</v>
      </c>
      <c r="M160" s="72">
        <f t="shared" si="192"/>
        <v>2.8179409421853483E-15</v>
      </c>
      <c r="N160" s="72">
        <f t="shared" si="192"/>
        <v>2.8179409421853483E-15</v>
      </c>
      <c r="O160" s="72">
        <f t="shared" si="192"/>
        <v>2.8179409421853483E-15</v>
      </c>
      <c r="P160" s="72">
        <f t="shared" si="192"/>
        <v>2.8179409421853483E-15</v>
      </c>
      <c r="Q160" s="72"/>
      <c r="R160" s="72">
        <f t="shared" ref="R160" si="193">R159*R163^2/R161*10^-13</f>
        <v>2.8179409421853483E-15</v>
      </c>
      <c r="S160" s="72"/>
    </row>
    <row r="161" spans="1:19" ht="17" hidden="1">
      <c r="A161" s="10" t="s">
        <v>151</v>
      </c>
      <c r="B161" s="12" t="s">
        <v>35</v>
      </c>
      <c r="C161" s="73">
        <v>0.51099905999999995</v>
      </c>
      <c r="D161" s="73">
        <v>0.51099905999999995</v>
      </c>
      <c r="E161" s="73">
        <v>0.51099905999999995</v>
      </c>
      <c r="F161" s="73">
        <v>0.51099905999999995</v>
      </c>
      <c r="G161" s="73">
        <v>0.51099905999999995</v>
      </c>
      <c r="H161" s="73"/>
      <c r="I161" s="73">
        <v>0.51099905999999995</v>
      </c>
      <c r="J161" s="73">
        <v>0.51099905999999995</v>
      </c>
      <c r="K161" s="73">
        <v>0.51099905999999995</v>
      </c>
      <c r="L161" s="73">
        <v>0.51099905999999995</v>
      </c>
      <c r="M161" s="73">
        <v>0.51099905999999995</v>
      </c>
      <c r="N161" s="73">
        <v>0.51099905999999995</v>
      </c>
      <c r="O161" s="73">
        <v>0.51099905999999995</v>
      </c>
      <c r="P161" s="73">
        <v>0.51099905999999995</v>
      </c>
      <c r="Q161" s="73"/>
      <c r="R161" s="73">
        <v>0.51099905999999995</v>
      </c>
      <c r="S161" s="73"/>
    </row>
    <row r="162" spans="1:19" hidden="1">
      <c r="A162" s="10" t="s">
        <v>152</v>
      </c>
      <c r="B162" s="12" t="s">
        <v>153</v>
      </c>
      <c r="C162" s="74">
        <f>1.05457266*10^-34</f>
        <v>1.0545726600000002E-34</v>
      </c>
      <c r="D162" s="74">
        <f>1.05457266*10^-34</f>
        <v>1.0545726600000002E-34</v>
      </c>
      <c r="E162" s="74">
        <f>1.05457266*10^-34</f>
        <v>1.0545726600000002E-34</v>
      </c>
      <c r="F162" s="74">
        <f>1.05457266*10^-34</f>
        <v>1.0545726600000002E-34</v>
      </c>
      <c r="G162" s="74">
        <f>1.05457266*10^-34</f>
        <v>1.0545726600000002E-34</v>
      </c>
      <c r="H162" s="74"/>
      <c r="I162" s="74">
        <f t="shared" ref="I162:P162" si="194">1.05457266*10^-34</f>
        <v>1.0545726600000002E-34</v>
      </c>
      <c r="J162" s="74">
        <f t="shared" si="194"/>
        <v>1.0545726600000002E-34</v>
      </c>
      <c r="K162" s="74">
        <f t="shared" si="194"/>
        <v>1.0545726600000002E-34</v>
      </c>
      <c r="L162" s="74">
        <f t="shared" si="194"/>
        <v>1.0545726600000002E-34</v>
      </c>
      <c r="M162" s="74">
        <f t="shared" si="194"/>
        <v>1.0545726600000002E-34</v>
      </c>
      <c r="N162" s="74">
        <f t="shared" si="194"/>
        <v>1.0545726600000002E-34</v>
      </c>
      <c r="O162" s="74">
        <f t="shared" si="194"/>
        <v>1.0545726600000002E-34</v>
      </c>
      <c r="P162" s="74">
        <f t="shared" si="194"/>
        <v>1.0545726600000002E-34</v>
      </c>
      <c r="Q162" s="74"/>
      <c r="R162" s="74">
        <f t="shared" ref="R162" si="195">1.05457266*10^-34</f>
        <v>1.0545726600000002E-34</v>
      </c>
      <c r="S162" s="74"/>
    </row>
    <row r="163" spans="1:19" hidden="1">
      <c r="A163" s="10" t="s">
        <v>154</v>
      </c>
      <c r="B163" s="12" t="s">
        <v>155</v>
      </c>
      <c r="C163" s="73">
        <v>299792458</v>
      </c>
      <c r="D163" s="73">
        <v>299792458</v>
      </c>
      <c r="E163" s="73">
        <v>299792458</v>
      </c>
      <c r="F163" s="73">
        <v>299792458</v>
      </c>
      <c r="G163" s="73">
        <v>299792458</v>
      </c>
      <c r="H163" s="73"/>
      <c r="I163" s="73">
        <v>299792458</v>
      </c>
      <c r="J163" s="73">
        <v>299792458</v>
      </c>
      <c r="K163" s="73">
        <v>299792458</v>
      </c>
      <c r="L163" s="73">
        <v>299792458</v>
      </c>
      <c r="M163" s="73">
        <v>299792458</v>
      </c>
      <c r="N163" s="73">
        <v>299792458</v>
      </c>
      <c r="O163" s="73">
        <v>299792458</v>
      </c>
      <c r="P163" s="73">
        <v>299792458</v>
      </c>
      <c r="Q163" s="73"/>
      <c r="R163" s="73">
        <v>299792458</v>
      </c>
      <c r="S163" s="73"/>
    </row>
    <row r="164" spans="1:19" hidden="1"/>
    <row r="165" spans="1:19" hidden="1"/>
    <row r="166" spans="1:19" hidden="1"/>
    <row r="167" spans="1:19" hidden="1"/>
  </sheetData>
  <pageMargins left="0.7" right="0.7" top="0.75" bottom="0.75" header="0.3" footer="0.3"/>
  <pageSetup scale="5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C786845D91EE42A1226FCED7A58220" ma:contentTypeVersion="5" ma:contentTypeDescription="Create a new document." ma:contentTypeScope="" ma:versionID="5bf592a6e0be105b23de791e5ba14add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fa080f8495b52bf656d2343d62b66d99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6C93D3-B880-4636-981C-CB702FCF57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BEEDC7-CCBF-40E7-AF9D-54A309AED79F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sharepoint/v4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E25E66-14E9-45D2-94BF-97F06611E6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 Optimized peak energy</vt:lpstr>
    </vt:vector>
  </TitlesOfParts>
  <Manager/>
  <Company>SLAC National Accelerator Laboratory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From Gabe Marcus</dc:title>
  <dc:subject/>
  <dc:creator>Juhao Wu</dc:creator>
  <cp:keywords/>
  <dc:description/>
  <cp:lastModifiedBy>Microsoft Office User</cp:lastModifiedBy>
  <cp:lastPrinted>2018-12-21T19:10:36Z</cp:lastPrinted>
  <dcterms:created xsi:type="dcterms:W3CDTF">2012-03-15T18:49:58Z</dcterms:created>
  <dcterms:modified xsi:type="dcterms:W3CDTF">2020-04-17T00:40:20Z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0x01010075C786845D91EE42A1226FCED7A58220</vt:lpwstr>
  </property>
</Properties>
</file>