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<sst xmlns="http://schemas.openxmlformats.org/spreadsheetml/2006/main" count="3833" uniqueCount="150">
  <si>
    <t>Punti</t>
  </si>
  <si>
    <t>Battuta</t>
  </si>
  <si>
    <t>Ricezione</t>
  </si>
  <si>
    <t>Attacco</t>
  </si>
  <si>
    <t>Muro</t>
  </si>
  <si>
    <t>Tot</t>
  </si>
  <si>
    <t>V-P</t>
  </si>
  <si>
    <t>Err</t>
  </si>
  <si>
    <t>Pt</t>
  </si>
  <si>
    <t>Pos%</t>
  </si>
  <si>
    <t>Prf%</t>
  </si>
  <si>
    <t>Mur</t>
  </si>
  <si>
    <t>Pt%</t>
  </si>
  <si>
    <t>Set 1</t>
  </si>
  <si>
    <t>data:</t>
  </si>
  <si>
    <t>A#</t>
  </si>
  <si>
    <t>P=</t>
  </si>
  <si>
    <t>B+</t>
  </si>
  <si>
    <t>A+</t>
  </si>
  <si>
    <t>luogo:</t>
  </si>
  <si>
    <t>Lizzana</t>
  </si>
  <si>
    <t>A=</t>
  </si>
  <si>
    <t>B=</t>
  </si>
  <si>
    <t>M=</t>
  </si>
  <si>
    <t>B#</t>
  </si>
  <si>
    <t>R-</t>
  </si>
  <si>
    <t>R+</t>
  </si>
  <si>
    <t>R=</t>
  </si>
  <si>
    <t>R#</t>
  </si>
  <si>
    <t>Set 2</t>
  </si>
  <si>
    <t>M#</t>
  </si>
  <si>
    <t>R/</t>
  </si>
  <si>
    <t>Set 3</t>
  </si>
  <si>
    <t>squadra:</t>
  </si>
  <si>
    <t>Set 4</t>
  </si>
  <si>
    <t>Lagaris Volley</t>
  </si>
  <si>
    <t>avversari:</t>
  </si>
  <si>
    <t>Marzola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</si>
  <si>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</si>
  <si>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</si>
  <si>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</si>
  <si>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</si>
  <si>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</si>
  <si>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</si>
  <si>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</si>
  <si>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</si>
  <si>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</si>
  <si>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</si>
  <si>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M+</t>
  </si>
  <si>
    <t>Set 5</t>
  </si>
  <si>
    <t>SQUADRA</t>
  </si>
  <si>
    <t>PARTITA</t>
  </si>
  <si>
    <t>Totali squadra</t>
  </si>
  <si>
    <t>Efficenza</t>
  </si>
  <si>
    <t>Punti vinti</t>
  </si>
  <si>
    <t>Bat</t>
  </si>
  <si>
    <t>Att</t>
  </si>
  <si>
    <t>Er. Av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</si>
  <si>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</si>
  <si>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</si>
  <si>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</si>
  <si>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</si>
  <si>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</si>
  <si>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</si>
  <si>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</si>
  <si>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</si>
  <si>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</si>
  <si>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</si>
  <si>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</si>
  <si>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A-</t>
  </si>
  <si>
    <t>A/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</si>
  <si>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</si>
  <si>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</si>
  <si>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</si>
  <si>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</si>
  <si>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</si>
  <si>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t>SET 1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</si>
  <si>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</si>
  <si>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</si>
  <si>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</si>
  <si>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</si>
  <si>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</si>
  <si>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</si>
  <si>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 2</t>
  </si>
  <si>
    <t>SET 3</t>
  </si>
  <si>
    <t>SET2</t>
  </si>
  <si>
    <t>SET3</t>
  </si>
  <si>
    <t>SET 4</t>
  </si>
  <si>
    <t>SET4</t>
  </si>
  <si>
    <t>SET 5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</si>
  <si>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</si>
  <si>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</si>
  <si>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</si>
  <si>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</si>
  <si>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</si>
  <si>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</si>
  <si>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</si>
  <si>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</si>
  <si>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</si>
  <si>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</si>
  <si>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Martina Rizzi</t>
  </si>
  <si>
    <t>Francesca Peretti</t>
  </si>
  <si>
    <t>Licia Fondriest</t>
  </si>
  <si>
    <t>Serena Olocco</t>
  </si>
  <si>
    <t>Anna Gardumi</t>
  </si>
  <si>
    <t>Alessia Ruele</t>
  </si>
  <si>
    <t>Veronica Osele</t>
  </si>
  <si>
    <t>L</t>
  </si>
  <si>
    <t>Elisa Della Valentina</t>
  </si>
  <si>
    <t>Jana Belic</t>
  </si>
  <si>
    <t>Stefania Della Valentina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</si>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</sst>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 %"/>
    <numFmt numFmtId="165" formatCode="dd/mm/yyyy"/>
    <numFmt numFmtId="166" formatCode="mmm d"/>
  </numFmts>
  <fonts count="22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/>
    <font>
      <i/>
      <name val="Lato"/>
    </font>
    <font>
      <b/>
      <i/>
      <name val="Lato"/>
    </font>
    <font>
      <sz val="10.0"/>
      <name val="Lato"/>
    </font>
    <font>
      <sz val="10.0"/>
      <name val="Arial"/>
    </font>
    <font>
      <b/>
      <sz val="10.0"/>
      <color rgb="FF000000"/>
      <name val="Arial"/>
    </font>
    <font>
      <b/>
      <sz val="10.0"/>
      <name val="Lato"/>
    </font>
    <font>
      <sz val="10.0"/>
      <color rgb="FF000000"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1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5" numFmtId="0" xfId="0" applyAlignment="1" applyBorder="1" applyFont="1">
      <alignment shrinkToFit="0" wrapText="1"/>
    </xf>
    <xf borderId="3" fillId="0" fontId="5" numFmtId="0" xfId="0" applyAlignment="1" applyBorder="1" applyFont="1">
      <alignment shrinkToFit="0" wrapText="1"/>
    </xf>
    <xf borderId="2" fillId="0" fontId="1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horizontal="center" readingOrder="0" shrinkToFit="0" wrapText="1"/>
    </xf>
    <xf borderId="6" fillId="0" fontId="5" numFmtId="0" xfId="0" applyAlignment="1" applyBorder="1" applyFont="1">
      <alignment shrinkToFit="0" wrapText="1"/>
    </xf>
    <xf borderId="7" fillId="0" fontId="5" numFmtId="0" xfId="0" applyAlignment="1" applyBorder="1" applyFont="1">
      <alignment shrinkToFit="0" wrapText="1"/>
    </xf>
    <xf borderId="8" fillId="0" fontId="5" numFmtId="0" xfId="0" applyAlignment="1" applyBorder="1" applyFont="1">
      <alignment shrinkToFit="0" wrapText="1"/>
    </xf>
    <xf borderId="7" fillId="0" fontId="6" numFmtId="0" xfId="0" applyAlignment="1" applyBorder="1" applyFont="1">
      <alignment horizontal="center" readingOrder="0" shrinkToFit="0" wrapText="1"/>
    </xf>
    <xf borderId="9" fillId="0" fontId="7" numFmtId="0" xfId="0" applyAlignment="1" applyBorder="1" applyFont="1">
      <alignment horizontal="center" readingOrder="0" shrinkToFit="0" wrapText="1"/>
    </xf>
    <xf borderId="8" fillId="0" fontId="7" numFmtId="0" xfId="0" applyAlignment="1" applyBorder="1" applyFont="1">
      <alignment horizontal="center" readingOrder="0" shrinkToFit="0" wrapText="1"/>
    </xf>
    <xf borderId="7" fillId="0" fontId="7" numFmtId="0" xfId="0" applyAlignment="1" applyBorder="1" applyFont="1">
      <alignment horizontal="center" readingOrder="0" shrinkToFit="0" wrapText="1"/>
    </xf>
    <xf borderId="10" fillId="0" fontId="7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11" fillId="0" fontId="4" numFmtId="0" xfId="0" applyAlignment="1" applyBorder="1" applyFont="1">
      <alignment readingOrder="0" shrinkToFit="0" wrapText="1"/>
    </xf>
    <xf borderId="12" fillId="0" fontId="4" numFmtId="0" xfId="0" applyAlignment="1" applyBorder="1" applyFont="1">
      <alignment horizontal="center" readingOrder="0" shrinkToFit="0" wrapText="1"/>
    </xf>
    <xf borderId="13" fillId="0" fontId="4" numFmtId="0" xfId="0" applyAlignment="1" applyBorder="1" applyFont="1">
      <alignment readingOrder="0" shrinkToFit="0" wrapText="1"/>
    </xf>
    <xf borderId="14" fillId="0" fontId="4" numFmtId="0" xfId="0" applyAlignment="1" applyBorder="1" applyFont="1">
      <alignment horizontal="center" readingOrder="0" shrinkToFit="0" wrapText="1"/>
    </xf>
    <xf borderId="15" fillId="0" fontId="4" numFmtId="0" xfId="0" applyAlignment="1" applyBorder="1" applyFont="1">
      <alignment horizontal="center" readingOrder="0" shrinkToFit="0" wrapText="1"/>
    </xf>
    <xf borderId="13" fillId="0" fontId="4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horizontal="left" shrinkToFit="0" wrapText="1"/>
    </xf>
    <xf borderId="13" fillId="0" fontId="4" numFmtId="164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shrinkToFit="0" wrapText="0"/>
    </xf>
    <xf borderId="14" fillId="0" fontId="9" numFmtId="0" xfId="0" applyAlignment="1" applyBorder="1" applyFont="1">
      <alignment shrinkToFit="0" wrapText="1"/>
    </xf>
    <xf borderId="0" fillId="0" fontId="9" numFmtId="0" xfId="0" applyAlignment="1" applyFont="1">
      <alignment shrinkToFit="0" wrapText="1"/>
    </xf>
    <xf borderId="16" fillId="0" fontId="9" numFmtId="0" xfId="0" applyAlignment="1" applyBorder="1" applyFont="1">
      <alignment shrinkToFit="0" wrapText="1"/>
    </xf>
    <xf borderId="17" fillId="0" fontId="10" numFmtId="1" xfId="0" applyAlignment="1" applyBorder="1" applyFont="1" applyNumberFormat="1">
      <alignment horizontal="center" readingOrder="0" shrinkToFit="0" vertical="center" wrapText="0"/>
    </xf>
    <xf borderId="13" fillId="0" fontId="4" numFmtId="9" xfId="0" applyAlignment="1" applyBorder="1" applyFont="1" applyNumberFormat="1">
      <alignment horizontal="center" readingOrder="0" shrinkToFit="0" wrapText="1"/>
    </xf>
    <xf borderId="17" fillId="0" fontId="0" numFmtId="0" xfId="0" applyAlignment="1" applyBorder="1" applyFont="1">
      <alignment horizontal="center" readingOrder="0" shrinkToFit="0" vertical="center" wrapText="0"/>
    </xf>
    <xf borderId="18" fillId="0" fontId="4" numFmtId="0" xfId="0" applyAlignment="1" applyBorder="1" applyFont="1">
      <alignment horizontal="center" readingOrder="0" shrinkToFit="0" wrapText="1"/>
    </xf>
    <xf borderId="17" fillId="0" fontId="0" numFmtId="0" xfId="0" applyAlignment="1" applyBorder="1" applyFont="1">
      <alignment horizontal="center" shrinkToFit="0" vertical="center" wrapText="0"/>
    </xf>
    <xf borderId="19" fillId="0" fontId="4" numFmtId="0" xfId="0" applyAlignment="1" applyBorder="1" applyFont="1">
      <alignment readingOrder="0" shrinkToFit="0" wrapText="1"/>
    </xf>
    <xf borderId="17" fillId="0" fontId="0" numFmtId="0" xfId="0" applyAlignment="1" applyBorder="1" applyFont="1">
      <alignment shrinkToFit="0" wrapText="0"/>
    </xf>
    <xf borderId="17" fillId="0" fontId="4" numFmtId="0" xfId="0" applyAlignment="1" applyBorder="1" applyFont="1">
      <alignment horizontal="center" readingOrder="0" shrinkToFit="0" wrapText="1"/>
    </xf>
    <xf borderId="20" fillId="0" fontId="4" numFmtId="0" xfId="0" applyAlignment="1" applyBorder="1" applyFont="1">
      <alignment readingOrder="0" shrinkToFit="0" wrapText="1"/>
    </xf>
    <xf borderId="21" fillId="0" fontId="4" numFmtId="0" xfId="0" applyAlignment="1" applyBorder="1" applyFont="1">
      <alignment horizontal="center" readingOrder="0" shrinkToFit="0" wrapText="1"/>
    </xf>
    <xf borderId="22" fillId="0" fontId="4" numFmtId="1" xfId="0" applyAlignment="1" applyBorder="1" applyFont="1" applyNumberFormat="1">
      <alignment horizontal="center" readingOrder="0" shrinkToFit="0" wrapText="1"/>
    </xf>
    <xf borderId="13" fillId="0" fontId="4" numFmtId="1" xfId="0" applyAlignment="1" applyBorder="1" applyFont="1" applyNumberFormat="1">
      <alignment horizontal="center" readingOrder="0" shrinkToFit="0" wrapText="1"/>
    </xf>
    <xf borderId="17" fillId="0" fontId="4" numFmtId="1" xfId="0" applyAlignment="1" applyBorder="1" applyFont="1" applyNumberFormat="1">
      <alignment horizontal="center" readingOrder="0" shrinkToFit="0" wrapText="1"/>
    </xf>
    <xf borderId="20" fillId="0" fontId="4" numFmtId="1" xfId="0" applyAlignment="1" applyBorder="1" applyFont="1" applyNumberFormat="1">
      <alignment horizontal="center" readingOrder="0" shrinkToFit="0" wrapText="1"/>
    </xf>
    <xf borderId="17" fillId="0" fontId="4" numFmtId="9" xfId="0" applyAlignment="1" applyBorder="1" applyFont="1" applyNumberFormat="1">
      <alignment horizontal="center" readingOrder="0" shrinkToFit="0" wrapText="1"/>
    </xf>
    <xf borderId="20" fillId="0" fontId="4" numFmtId="164" xfId="0" applyAlignment="1" applyBorder="1" applyFont="1" applyNumberFormat="1">
      <alignment horizontal="center" readingOrder="0" shrinkToFit="0" wrapText="1"/>
    </xf>
    <xf borderId="15" fillId="0" fontId="4" numFmtId="1" xfId="0" applyAlignment="1" applyBorder="1" applyFont="1" applyNumberFormat="1">
      <alignment horizontal="center" readingOrder="0" shrinkToFit="0" wrapText="1"/>
    </xf>
    <xf borderId="23" fillId="0" fontId="4" numFmtId="0" xfId="0" applyAlignment="1" applyBorder="1" applyFont="1">
      <alignment horizontal="center" readingOrder="0" shrinkToFit="0" wrapText="1"/>
    </xf>
    <xf borderId="20" fillId="0" fontId="4" numFmtId="0" xfId="0" applyAlignment="1" applyBorder="1" applyFont="1">
      <alignment horizontal="center" readingOrder="0" shrinkToFit="0" wrapText="1"/>
    </xf>
    <xf borderId="22" fillId="0" fontId="4" numFmtId="0" xfId="0" applyAlignment="1" applyBorder="1" applyFont="1">
      <alignment horizontal="center" readingOrder="0" shrinkToFit="0" wrapText="1"/>
    </xf>
    <xf borderId="23" fillId="0" fontId="4" numFmtId="1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0" fillId="2" fontId="12" numFmtId="165" xfId="0" applyAlignment="1" applyFill="1" applyFont="1" applyNumberFormat="1">
      <alignment horizontal="left" readingOrder="0" shrinkToFit="0" wrapText="1"/>
    </xf>
    <xf borderId="24" fillId="0" fontId="9" numFmtId="0" xfId="0" applyAlignment="1" applyBorder="1" applyFont="1">
      <alignment shrinkToFit="0" wrapText="1"/>
    </xf>
    <xf borderId="17" fillId="0" fontId="0" numFmtId="0" xfId="0" applyAlignment="1" applyBorder="1" applyFont="1">
      <alignment readingOrder="0" shrinkToFit="0" wrapText="0"/>
    </xf>
    <xf borderId="24" fillId="0" fontId="9" numFmtId="0" xfId="0" applyAlignment="1" applyBorder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17" fillId="0" fontId="10" numFmtId="0" xfId="0" applyAlignment="1" applyBorder="1" applyFont="1">
      <alignment horizontal="center" readingOrder="0" shrinkToFit="0" vertical="center" wrapText="0"/>
    </xf>
    <xf borderId="17" fillId="0" fontId="10" numFmtId="0" xfId="0" applyAlignment="1" applyBorder="1" applyFont="1">
      <alignment horizontal="center" shrinkToFit="0" vertical="center" wrapText="0"/>
    </xf>
    <xf borderId="17" fillId="0" fontId="10" numFmtId="0" xfId="0" applyAlignment="1" applyBorder="1" applyFont="1">
      <alignment horizontal="right" shrinkToFit="0" vertical="center" wrapText="0"/>
    </xf>
    <xf borderId="25" fillId="0" fontId="9" numFmtId="0" xfId="0" applyAlignment="1" applyBorder="1" applyFont="1">
      <alignment shrinkToFit="0" wrapText="1"/>
    </xf>
    <xf borderId="0" fillId="0" fontId="8" numFmtId="0" xfId="0" applyAlignment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2" fontId="12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26" fillId="0" fontId="4" numFmtId="0" xfId="0" applyAlignment="1" applyBorder="1" applyFont="1">
      <alignment readingOrder="0" shrinkToFit="0" wrapText="1"/>
    </xf>
    <xf borderId="27" fillId="0" fontId="4" numFmtId="0" xfId="0" applyAlignment="1" applyBorder="1" applyFont="1">
      <alignment horizontal="center" readingOrder="0" shrinkToFit="0" wrapText="1"/>
    </xf>
    <xf borderId="28" fillId="0" fontId="4" numFmtId="0" xfId="0" applyAlignment="1" applyBorder="1" applyFont="1">
      <alignment readingOrder="0" shrinkToFit="0" wrapText="1"/>
    </xf>
    <xf borderId="25" fillId="0" fontId="4" numFmtId="0" xfId="0" applyAlignment="1" applyBorder="1" applyFont="1">
      <alignment horizontal="center" readingOrder="0" shrinkToFit="0" wrapText="1"/>
    </xf>
    <xf borderId="29" fillId="0" fontId="4" numFmtId="0" xfId="0" applyAlignment="1" applyBorder="1" applyFont="1">
      <alignment horizontal="center" readingOrder="0" shrinkToFit="0" wrapText="1"/>
    </xf>
    <xf borderId="28" fillId="0" fontId="4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shrinkToFit="0" wrapText="0"/>
    </xf>
    <xf borderId="0" fillId="0" fontId="10" numFmtId="0" xfId="0" applyAlignment="1" applyFont="1">
      <alignment shrinkToFit="0" wrapText="0"/>
    </xf>
    <xf borderId="28" fillId="0" fontId="4" numFmtId="164" xfId="0" applyAlignment="1" applyBorder="1" applyFont="1" applyNumberFormat="1">
      <alignment horizontal="center" readingOrder="0" shrinkToFit="0" wrapText="1"/>
    </xf>
    <xf borderId="14" fillId="0" fontId="10" numFmtId="0" xfId="0" applyAlignment="1" applyBorder="1" applyFont="1">
      <alignment shrinkToFit="0" wrapText="0"/>
    </xf>
    <xf borderId="30" fillId="0" fontId="4" numFmtId="0" xfId="0" applyAlignment="1" applyBorder="1" applyFont="1">
      <alignment horizontal="center" readingOrder="0" shrinkToFit="0" wrapText="1"/>
    </xf>
    <xf borderId="17" fillId="0" fontId="0" numFmtId="0" xfId="0" applyAlignment="1" applyBorder="1" applyFont="1">
      <alignment horizontal="center" shrinkToFit="0" wrapText="0"/>
    </xf>
    <xf borderId="31" fillId="0" fontId="9" numFmtId="0" xfId="0" applyAlignment="1" applyBorder="1" applyFont="1">
      <alignment shrinkToFit="0" wrapText="1"/>
    </xf>
    <xf borderId="32" fillId="0" fontId="4" numFmtId="9" xfId="0" applyAlignment="1" applyBorder="1" applyFont="1" applyNumberFormat="1">
      <alignment horizontal="center" readingOrder="0" shrinkToFit="0" wrapText="1"/>
    </xf>
    <xf borderId="17" fillId="0" fontId="0" numFmtId="1" xfId="0" applyAlignment="1" applyBorder="1" applyFont="1" applyNumberFormat="1">
      <alignment horizontal="center" shrinkToFit="0" wrapText="0"/>
    </xf>
    <xf borderId="33" fillId="0" fontId="4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left" readingOrder="0" shrinkToFit="0" wrapText="1"/>
    </xf>
    <xf borderId="34" fillId="0" fontId="6" numFmtId="0" xfId="0" applyAlignment="1" applyBorder="1" applyFont="1">
      <alignment horizontal="left" readingOrder="0" shrinkToFit="0" wrapText="1"/>
    </xf>
    <xf borderId="35" fillId="0" fontId="5" numFmtId="0" xfId="0" applyAlignment="1" applyBorder="1" applyFont="1">
      <alignment shrinkToFit="0" wrapText="1"/>
    </xf>
    <xf borderId="36" fillId="0" fontId="5" numFmtId="0" xfId="0" applyAlignment="1" applyBorder="1" applyFont="1">
      <alignment shrinkToFit="0" wrapText="1"/>
    </xf>
    <xf borderId="2" fillId="0" fontId="4" numFmtId="0" xfId="0" applyAlignment="1" applyBorder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wrapText="1"/>
    </xf>
    <xf borderId="17" fillId="0" fontId="0" numFmtId="9" xfId="0" applyAlignment="1" applyBorder="1" applyFont="1" applyNumberFormat="1">
      <alignment horizontal="center" shrinkToFit="0" wrapText="0"/>
    </xf>
    <xf borderId="37" fillId="0" fontId="4" numFmtId="0" xfId="0" applyAlignment="1" applyBorder="1" applyFont="1">
      <alignment horizontal="center" readingOrder="0" shrinkToFit="0" wrapText="1"/>
    </xf>
    <xf borderId="17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3" fillId="0" fontId="4" numFmtId="1" xfId="0" applyAlignment="1" applyBorder="1" applyFont="1" applyNumberFormat="1">
      <alignment horizontal="center" readingOrder="0" shrinkToFit="0" wrapText="1"/>
    </xf>
    <xf borderId="25" fillId="0" fontId="0" numFmtId="9" xfId="0" applyAlignment="1" applyBorder="1" applyFont="1" applyNumberFormat="1">
      <alignment horizontal="center" shrinkToFit="0" wrapText="0"/>
    </xf>
    <xf borderId="35" fillId="0" fontId="4" numFmtId="0" xfId="0" applyAlignment="1" applyBorder="1" applyFont="1">
      <alignment horizontal="center" readingOrder="0" shrinkToFit="0" wrapText="1"/>
    </xf>
    <xf borderId="38" fillId="0" fontId="4" numFmtId="0" xfId="0" applyAlignment="1" applyBorder="1" applyFont="1">
      <alignment horizontal="center" readingOrder="0" shrinkToFit="0" wrapText="1"/>
    </xf>
    <xf borderId="39" fillId="0" fontId="4" numFmtId="0" xfId="0" applyAlignment="1" applyBorder="1" applyFont="1">
      <alignment horizontal="center" readingOrder="0" shrinkToFit="0" wrapText="1"/>
    </xf>
    <xf borderId="40" fillId="0" fontId="4" numFmtId="0" xfId="0" applyAlignment="1" applyBorder="1" applyFont="1">
      <alignment horizontal="center" readingOrder="0" shrinkToFit="0" wrapText="1"/>
    </xf>
    <xf borderId="41" fillId="0" fontId="4" numFmtId="0" xfId="0" applyAlignment="1" applyBorder="1" applyFont="1">
      <alignment horizontal="center" readingOrder="0" shrinkToFit="0" wrapText="1"/>
    </xf>
    <xf borderId="35" fillId="0" fontId="4" numFmtId="9" xfId="0" applyAlignment="1" applyBorder="1" applyFont="1" applyNumberFormat="1">
      <alignment horizontal="center" readingOrder="0" shrinkToFit="0" wrapText="1"/>
    </xf>
    <xf borderId="36" fillId="0" fontId="4" numFmtId="164" xfId="0" applyAlignment="1" applyBorder="1" applyFont="1" applyNumberFormat="1">
      <alignment horizontal="center" readingOrder="0" shrinkToFit="0" wrapText="1"/>
    </xf>
    <xf borderId="42" fillId="0" fontId="4" numFmtId="0" xfId="0" applyAlignment="1" applyBorder="1" applyFont="1">
      <alignment horizontal="center" readingOrder="0" shrinkToFit="0" wrapText="1"/>
    </xf>
    <xf borderId="43" fillId="0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44" fillId="0" fontId="2" numFmtId="0" xfId="0" applyAlignment="1" applyBorder="1" applyFont="1">
      <alignment horizontal="center" readingOrder="0" shrinkToFit="0" vertical="bottom" wrapText="0"/>
    </xf>
    <xf borderId="45" fillId="0" fontId="2" numFmtId="0" xfId="0" applyAlignment="1" applyBorder="1" applyFont="1">
      <alignment horizontal="center" readingOrder="0" shrinkToFit="0" wrapText="0"/>
    </xf>
    <xf borderId="45" fillId="0" fontId="2" numFmtId="0" xfId="0" applyAlignment="1" applyBorder="1" applyFont="1">
      <alignment horizontal="center" readingOrder="0" shrinkToFit="0" wrapText="1"/>
    </xf>
    <xf borderId="30" fillId="0" fontId="4" numFmtId="0" xfId="0" applyAlignment="1" applyBorder="1" applyFont="1">
      <alignment horizontal="center" shrinkToFit="0" wrapText="1"/>
    </xf>
    <xf borderId="31" fillId="0" fontId="4" numFmtId="0" xfId="0" applyAlignment="1" applyBorder="1" applyFont="1">
      <alignment horizontal="center" shrinkToFit="0" wrapText="1"/>
    </xf>
    <xf borderId="32" fillId="0" fontId="4" numFmtId="0" xfId="0" applyAlignment="1" applyBorder="1" applyFont="1">
      <alignment horizontal="center" shrinkToFit="0" wrapText="1"/>
    </xf>
    <xf borderId="32" fillId="0" fontId="4" numFmtId="9" xfId="0" applyAlignment="1" applyBorder="1" applyFont="1" applyNumberFormat="1">
      <alignment horizontal="center" shrinkToFit="0" wrapText="1"/>
    </xf>
    <xf borderId="46" fillId="0" fontId="4" numFmtId="0" xfId="0" applyAlignment="1" applyBorder="1" applyFont="1">
      <alignment horizontal="center" shrinkToFit="0" wrapText="1"/>
    </xf>
    <xf borderId="3" fillId="0" fontId="11" numFmtId="0" xfId="0" applyAlignment="1" applyBorder="1" applyFont="1">
      <alignment horizontal="center" readingOrder="0" shrinkToFit="0" vertical="bottom" wrapText="0"/>
    </xf>
    <xf borderId="47" fillId="0" fontId="8" numFmtId="1" xfId="0" applyAlignment="1" applyBorder="1" applyFont="1" applyNumberFormat="1">
      <alignment horizontal="center" readingOrder="0" shrinkToFit="0" wrapText="0"/>
    </xf>
    <xf borderId="12" fillId="0" fontId="8" numFmtId="1" xfId="0" applyAlignment="1" applyBorder="1" applyFont="1" applyNumberFormat="1">
      <alignment horizontal="center" readingOrder="0" shrinkToFit="0" wrapText="0"/>
    </xf>
    <xf borderId="13" fillId="0" fontId="8" numFmtId="0" xfId="0" applyAlignment="1" applyBorder="1" applyFont="1">
      <alignment horizontal="center" shrinkToFit="0" wrapText="1"/>
    </xf>
    <xf borderId="48" fillId="0" fontId="8" numFmtId="0" xfId="0" applyAlignment="1" applyBorder="1" applyFont="1">
      <alignment horizontal="center" shrinkToFit="0" wrapText="1"/>
    </xf>
    <xf borderId="47" fillId="0" fontId="8" numFmtId="1" xfId="0" applyAlignment="1" applyBorder="1" applyFont="1" applyNumberFormat="1">
      <alignment horizontal="center" shrinkToFit="0" wrapText="1"/>
    </xf>
    <xf borderId="12" fillId="0" fontId="8" numFmtId="1" xfId="0" applyAlignment="1" applyBorder="1" applyFont="1" applyNumberFormat="1">
      <alignment horizontal="center" shrinkToFit="0" wrapText="1"/>
    </xf>
    <xf borderId="13" fillId="0" fontId="8" numFmtId="1" xfId="0" applyAlignment="1" applyBorder="1" applyFont="1" applyNumberFormat="1">
      <alignment horizontal="center" shrinkToFit="0" wrapText="1"/>
    </xf>
    <xf borderId="14" fillId="0" fontId="8" numFmtId="0" xfId="0" applyAlignment="1" applyBorder="1" applyFont="1">
      <alignment horizontal="center" shrinkToFit="0" wrapText="1"/>
    </xf>
    <xf borderId="15" fillId="0" fontId="8" numFmtId="1" xfId="0" applyAlignment="1" applyBorder="1" applyFont="1" applyNumberFormat="1">
      <alignment horizontal="center" shrinkToFit="0" wrapText="1"/>
    </xf>
    <xf borderId="12" fillId="0" fontId="8" numFmtId="9" xfId="0" applyAlignment="1" applyBorder="1" applyFont="1" applyNumberFormat="1">
      <alignment horizontal="center" shrinkToFit="0" wrapText="1"/>
    </xf>
    <xf borderId="13" fillId="0" fontId="8" numFmtId="9" xfId="0" applyAlignment="1" applyBorder="1" applyFont="1" applyNumberFormat="1">
      <alignment horizontal="center" shrinkToFit="0" wrapText="1"/>
    </xf>
    <xf borderId="49" fillId="0" fontId="8" numFmtId="0" xfId="0" applyAlignment="1" applyBorder="1" applyFont="1">
      <alignment horizontal="center" shrinkToFit="0" wrapText="1"/>
    </xf>
    <xf borderId="43" fillId="0" fontId="4" numFmtId="0" xfId="0" applyAlignment="1" applyBorder="1" applyFont="1">
      <alignment shrinkToFit="0" wrapText="1"/>
    </xf>
    <xf borderId="50" fillId="0" fontId="11" numFmtId="0" xfId="0" applyAlignment="1" applyBorder="1" applyFont="1">
      <alignment horizontal="center" readingOrder="0" shrinkToFit="0" vertical="bottom" wrapText="0"/>
    </xf>
    <xf borderId="51" fillId="0" fontId="8" numFmtId="0" xfId="0" applyAlignment="1" applyBorder="1" applyFont="1">
      <alignment horizontal="center" readingOrder="0" shrinkToFit="0" wrapText="0"/>
    </xf>
    <xf borderId="17" fillId="0" fontId="8" numFmtId="1" xfId="0" applyAlignment="1" applyBorder="1" applyFont="1" applyNumberFormat="1">
      <alignment horizontal="center" readingOrder="0" shrinkToFit="0" wrapText="0"/>
    </xf>
    <xf borderId="20" fillId="0" fontId="8" numFmtId="0" xfId="0" applyAlignment="1" applyBorder="1" applyFont="1">
      <alignment horizontal="center" shrinkToFit="0" wrapText="1"/>
    </xf>
    <xf borderId="52" fillId="0" fontId="8" numFmtId="0" xfId="0" applyAlignment="1" applyBorder="1" applyFont="1">
      <alignment horizontal="center" shrinkToFit="0" wrapText="1"/>
    </xf>
    <xf borderId="51" fillId="0" fontId="8" numFmtId="1" xfId="0" applyAlignment="1" applyBorder="1" applyFont="1" applyNumberFormat="1">
      <alignment horizontal="center" shrinkToFit="0" wrapText="1"/>
    </xf>
    <xf borderId="17" fillId="0" fontId="8" numFmtId="1" xfId="0" applyAlignment="1" applyBorder="1" applyFont="1" applyNumberFormat="1">
      <alignment horizontal="center" shrinkToFit="0" wrapText="1"/>
    </xf>
    <xf borderId="20" fillId="0" fontId="8" numFmtId="1" xfId="0" applyAlignment="1" applyBorder="1" applyFont="1" applyNumberFormat="1">
      <alignment horizontal="center" shrinkToFit="0" wrapText="1"/>
    </xf>
    <xf borderId="21" fillId="0" fontId="8" numFmtId="0" xfId="0" applyAlignment="1" applyBorder="1" applyFont="1">
      <alignment horizontal="center" shrinkToFit="0" wrapText="1"/>
    </xf>
    <xf borderId="22" fillId="0" fontId="8" numFmtId="1" xfId="0" applyAlignment="1" applyBorder="1" applyFont="1" applyNumberFormat="1">
      <alignment horizontal="center" shrinkToFit="0" wrapText="1"/>
    </xf>
    <xf borderId="17" fillId="0" fontId="8" numFmtId="9" xfId="0" applyAlignment="1" applyBorder="1" applyFont="1" applyNumberFormat="1">
      <alignment horizontal="center" shrinkToFit="0" wrapText="1"/>
    </xf>
    <xf borderId="20" fillId="0" fontId="8" numFmtId="9" xfId="0" applyAlignment="1" applyBorder="1" applyFont="1" applyNumberFormat="1">
      <alignment horizontal="center" shrinkToFit="0" wrapText="1"/>
    </xf>
    <xf borderId="53" fillId="0" fontId="8" numFmtId="1" xfId="0" applyAlignment="1" applyBorder="1" applyFont="1" applyNumberFormat="1">
      <alignment horizontal="center" shrinkToFit="0" wrapText="1"/>
    </xf>
    <xf borderId="54" fillId="0" fontId="8" numFmtId="1" xfId="0" applyAlignment="1" applyBorder="1" applyFont="1" applyNumberFormat="1">
      <alignment horizontal="center" readingOrder="0" shrinkToFit="0" wrapText="0"/>
    </xf>
    <xf borderId="27" fillId="0" fontId="8" numFmtId="1" xfId="0" applyAlignment="1" applyBorder="1" applyFont="1" applyNumberFormat="1">
      <alignment horizontal="center" readingOrder="0" shrinkToFit="0" wrapText="0"/>
    </xf>
    <xf borderId="28" fillId="0" fontId="8" numFmtId="0" xfId="0" applyAlignment="1" applyBorder="1" applyFont="1">
      <alignment horizontal="center" shrinkToFit="0" wrapText="1"/>
    </xf>
    <xf borderId="55" fillId="0" fontId="8" numFmtId="0" xfId="0" applyAlignment="1" applyBorder="1" applyFont="1">
      <alignment horizontal="center" shrinkToFit="0" wrapText="1"/>
    </xf>
    <xf borderId="54" fillId="0" fontId="8" numFmtId="1" xfId="0" applyAlignment="1" applyBorder="1" applyFont="1" applyNumberFormat="1">
      <alignment horizontal="center" shrinkToFit="0" wrapText="1"/>
    </xf>
    <xf borderId="27" fillId="0" fontId="8" numFmtId="1" xfId="0" applyAlignment="1" applyBorder="1" applyFont="1" applyNumberFormat="1">
      <alignment horizontal="center" shrinkToFit="0" wrapText="1"/>
    </xf>
    <xf borderId="28" fillId="0" fontId="8" numFmtId="1" xfId="0" applyAlignment="1" applyBorder="1" applyFont="1" applyNumberFormat="1">
      <alignment horizontal="center" shrinkToFit="0" wrapText="1"/>
    </xf>
    <xf borderId="25" fillId="0" fontId="8" numFmtId="0" xfId="0" applyAlignment="1" applyBorder="1" applyFont="1">
      <alignment horizontal="center" shrinkToFit="0" wrapText="1"/>
    </xf>
    <xf borderId="29" fillId="0" fontId="8" numFmtId="1" xfId="0" applyAlignment="1" applyBorder="1" applyFont="1" applyNumberFormat="1">
      <alignment horizontal="center" shrinkToFit="0" wrapText="1"/>
    </xf>
    <xf borderId="27" fillId="0" fontId="8" numFmtId="9" xfId="0" applyAlignment="1" applyBorder="1" applyFont="1" applyNumberFormat="1">
      <alignment horizontal="center" shrinkToFit="0" wrapText="1"/>
    </xf>
    <xf borderId="28" fillId="0" fontId="8" numFmtId="9" xfId="0" applyAlignment="1" applyBorder="1" applyFont="1" applyNumberFormat="1">
      <alignment horizontal="center" shrinkToFit="0" wrapText="1"/>
    </xf>
    <xf borderId="56" fillId="0" fontId="8" numFmtId="0" xfId="0" applyAlignment="1" applyBorder="1" applyFont="1">
      <alignment horizontal="center" shrinkToFit="0" wrapText="1"/>
    </xf>
    <xf borderId="0" fillId="0" fontId="11" numFmtId="0" xfId="0" applyAlignment="1" applyFont="1">
      <alignment horizontal="center" readingOrder="0" shrinkToFit="0" vertical="bottom" wrapText="0"/>
    </xf>
    <xf borderId="30" fillId="0" fontId="8" numFmtId="1" xfId="0" applyAlignment="1" applyBorder="1" applyFont="1" applyNumberFormat="1">
      <alignment horizontal="center" readingOrder="0" shrinkToFit="0" wrapText="0"/>
    </xf>
    <xf borderId="31" fillId="2" fontId="12" numFmtId="1" xfId="0" applyAlignment="1" applyBorder="1" applyFont="1" applyNumberFormat="1">
      <alignment horizontal="center" shrinkToFit="0" wrapText="1"/>
    </xf>
    <xf borderId="32" fillId="2" fontId="12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center" shrinkToFit="0" wrapText="1"/>
    </xf>
    <xf borderId="30" fillId="0" fontId="8" numFmtId="1" xfId="0" applyAlignment="1" applyBorder="1" applyFont="1" applyNumberFormat="1">
      <alignment horizontal="center" shrinkToFit="0" wrapText="1"/>
    </xf>
    <xf borderId="32" fillId="2" fontId="12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shrinkToFit="0" wrapText="1"/>
    </xf>
    <xf borderId="31" fillId="0" fontId="8" numFmtId="0" xfId="0" applyAlignment="1" applyBorder="1" applyFont="1">
      <alignment horizontal="center" readingOrder="0" shrinkToFit="0" wrapText="1"/>
    </xf>
    <xf borderId="31" fillId="0" fontId="8" numFmtId="9" xfId="0" applyAlignment="1" applyBorder="1" applyFont="1" applyNumberFormat="1">
      <alignment horizontal="center" shrinkToFit="0" wrapText="1"/>
    </xf>
    <xf borderId="32" fillId="0" fontId="8" numFmtId="9" xfId="0" applyAlignment="1" applyBorder="1" applyFont="1" applyNumberFormat="1">
      <alignment horizontal="center" shrinkToFit="0" wrapText="1"/>
    </xf>
    <xf borderId="25" fillId="0" fontId="0" numFmtId="0" xfId="0" applyAlignment="1" applyBorder="1" applyFont="1">
      <alignment horizontal="center" shrinkToFit="0" wrapText="0"/>
    </xf>
    <xf borderId="31" fillId="0" fontId="8" numFmtId="1" xfId="0" applyAlignment="1" applyBorder="1" applyFont="1" applyNumberFormat="1">
      <alignment horizontal="center" shrinkToFit="0" wrapText="1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46" fillId="0" fontId="8" numFmtId="1" xfId="0" applyAlignment="1" applyBorder="1" applyFont="1" applyNumberFormat="1">
      <alignment horizontal="center" shrinkToFit="0" wrapText="1"/>
    </xf>
    <xf borderId="0" fillId="0" fontId="0" numFmtId="10" xfId="0" applyAlignment="1" applyFont="1" applyNumberFormat="1">
      <alignment horizontal="center" shrinkToFit="0" wrapText="0"/>
    </xf>
    <xf borderId="6" fillId="0" fontId="3" numFmtId="0" xfId="0" applyAlignment="1" applyBorder="1" applyFont="1">
      <alignment horizontal="center" readingOrder="0" shrinkToFit="0" vertical="bottom" wrapText="0"/>
    </xf>
    <xf borderId="0" fillId="0" fontId="0" numFmtId="0" xfId="0" applyAlignment="1" applyFont="1">
      <alignment horizontal="left" shrinkToFit="0" wrapText="0"/>
    </xf>
    <xf borderId="7" fillId="0" fontId="4" numFmtId="0" xfId="0" applyAlignment="1" applyBorder="1" applyFont="1">
      <alignment horizontal="center" shrinkToFit="0" wrapText="1"/>
    </xf>
    <xf borderId="0" fillId="0" fontId="0" numFmtId="1" xfId="0" applyAlignment="1" applyFont="1" applyNumberFormat="1">
      <alignment horizontal="left" shrinkToFit="0" wrapText="0"/>
    </xf>
    <xf borderId="7" fillId="0" fontId="11" numFmtId="166" xfId="0" applyAlignment="1" applyBorder="1" applyFont="1" applyNumberFormat="1">
      <alignment horizontal="center" readingOrder="0" shrinkToFit="0" vertical="bottom" wrapText="0"/>
    </xf>
    <xf borderId="57" fillId="2" fontId="12" numFmtId="0" xfId="0" applyAlignment="1" applyBorder="1" applyFont="1">
      <alignment horizontal="center" shrinkToFit="0" wrapText="1"/>
    </xf>
    <xf borderId="58" fillId="2" fontId="12" numFmtId="0" xfId="0" applyAlignment="1" applyBorder="1" applyFont="1">
      <alignment shrinkToFit="0" wrapText="1"/>
    </xf>
    <xf borderId="58" fillId="0" fontId="11" numFmtId="0" xfId="0" applyAlignment="1" applyBorder="1" applyFont="1">
      <alignment horizontal="center" readingOrder="0" shrinkToFit="0" wrapText="0"/>
    </xf>
    <xf borderId="59" fillId="2" fontId="12" numFmtId="0" xfId="0" applyAlignment="1" applyBorder="1" applyFont="1">
      <alignment horizontal="center" shrinkToFit="0" wrapText="1"/>
    </xf>
    <xf borderId="7" fillId="0" fontId="11" numFmtId="0" xfId="0" applyAlignment="1" applyBorder="1" applyFont="1">
      <alignment horizontal="center" shrinkToFit="0" wrapText="1"/>
    </xf>
    <xf borderId="57" fillId="0" fontId="11" numFmtId="0" xfId="0" applyAlignment="1" applyBorder="1" applyFont="1">
      <alignment horizontal="center" shrinkToFit="0" wrapText="1"/>
    </xf>
    <xf borderId="58" fillId="2" fontId="12" numFmtId="0" xfId="0" applyAlignment="1" applyBorder="1" applyFon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7" fillId="0" fontId="8" numFmtId="0" xfId="0" applyAlignment="1" applyBorder="1" applyFont="1">
      <alignment horizontal="center" shrinkToFit="0" wrapText="1"/>
    </xf>
    <xf borderId="57" fillId="0" fontId="8" numFmtId="0" xfId="0" applyAlignment="1" applyBorder="1" applyFont="1">
      <alignment horizontal="center" shrinkToFit="0" wrapText="1"/>
    </xf>
    <xf borderId="0" fillId="0" fontId="9" numFmtId="1" xfId="0" applyAlignment="1" applyFont="1" applyNumberFormat="1">
      <alignment shrinkToFit="0" wrapText="1"/>
    </xf>
    <xf borderId="58" fillId="0" fontId="8" numFmtId="0" xfId="0" applyAlignment="1" applyBorder="1" applyFont="1">
      <alignment horizontal="center" shrinkToFit="0" wrapText="1"/>
    </xf>
    <xf borderId="59" fillId="0" fontId="8" numFmtId="9" xfId="0" applyAlignment="1" applyBorder="1" applyFont="1" applyNumberFormat="1">
      <alignment horizontal="center" shrinkToFit="0" wrapText="1"/>
    </xf>
    <xf borderId="10" fillId="0" fontId="8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25" fillId="0" fontId="0" numFmtId="9" xfId="0" applyAlignment="1" applyBorder="1" applyFont="1" applyNumberFormat="1">
      <alignment shrinkToFit="0" wrapText="0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0" numFmtId="9" xfId="0" applyAlignment="1" applyFont="1" applyNumberFormat="1">
      <alignment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0" numFmtId="1" xfId="0" applyAlignment="1" applyFont="1" applyNumberFormat="1">
      <alignment horizontal="center" readingOrder="0" shrinkToFit="0" wrapText="0"/>
    </xf>
    <xf borderId="2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5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"",Evento!B3))"),"24/10/2017 Lizzana")</f>
        <v>24/10/2017 Lizzana</v>
      </c>
      <c r="C1" s="3"/>
      <c r="D1" s="4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/>
    </row>
    <row r="2">
      <c r="A2" s="3"/>
      <c r="B2" s="2" t="str">
        <f>Evento!B4</f>
        <v>Lagaris Volley</v>
      </c>
      <c r="C2" s="4"/>
      <c r="D2" s="4"/>
      <c r="E2" s="8"/>
      <c r="F2" s="8"/>
      <c r="G2" s="8">
        <f>if(I2&gt;I3,1,0)+if(J2&gt;J3,1,0)+if(K2&gt;K3,1,0)+if(L2&gt;L3,1,0)+if(M2&gt;M3,1,0)</f>
        <v>3</v>
      </c>
      <c r="H2" s="9"/>
      <c r="I2" s="9">
        <f>Evento!B6</f>
        <v>25</v>
      </c>
      <c r="J2" s="9">
        <f>Evento!B8</f>
        <v>23</v>
      </c>
      <c r="K2" s="5">
        <f>Evento!B10</f>
        <v>25</v>
      </c>
      <c r="L2" s="5">
        <f>Evento!B12</f>
        <v>25</v>
      </c>
      <c r="M2" s="6" t="str">
        <f>Evento!B14</f>
        <v/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</row>
    <row r="3">
      <c r="A3" s="3"/>
      <c r="B3" s="2" t="str">
        <f>Evento!B5</f>
        <v>Marzola</v>
      </c>
      <c r="C3" s="3"/>
      <c r="D3" s="3"/>
      <c r="E3" s="10"/>
      <c r="F3" s="10"/>
      <c r="G3" s="10">
        <f>if(I3&gt;I2,1,0)+if(J3&gt;J2,1,0)+if(K3&gt;K2,1,0)+if(L3&gt;L2,1,0)+if(M3&gt;M2,1,0)</f>
        <v>1</v>
      </c>
      <c r="H3" s="9"/>
      <c r="I3" s="5">
        <f>Evento!B7</f>
        <v>15</v>
      </c>
      <c r="J3" s="5">
        <f>Evento!B9</f>
        <v>25</v>
      </c>
      <c r="K3" s="5">
        <f>Evento!B11</f>
        <v>13</v>
      </c>
      <c r="L3" s="5">
        <f>Evento!B13</f>
        <v>14</v>
      </c>
      <c r="M3" s="6" t="str">
        <f>Evento!B15</f>
        <v/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</row>
    <row r="4">
      <c r="A4" s="1"/>
      <c r="B4" s="1"/>
      <c r="C4" s="1"/>
      <c r="D4" s="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7"/>
    </row>
    <row r="5">
      <c r="A5" s="1"/>
      <c r="B5" s="12" t="str">
        <f>Atleti!C1</f>
        <v>Lagaris Volley</v>
      </c>
      <c r="C5" s="13"/>
      <c r="D5" s="14"/>
      <c r="E5" s="15"/>
      <c r="F5" s="14"/>
      <c r="G5" s="16" t="s">
        <v>0</v>
      </c>
      <c r="H5" s="14"/>
      <c r="I5" s="15"/>
      <c r="J5" s="16" t="s">
        <v>1</v>
      </c>
      <c r="K5" s="13"/>
      <c r="L5" s="14"/>
      <c r="M5" s="15"/>
      <c r="N5" s="16" t="s">
        <v>2</v>
      </c>
      <c r="O5" s="13"/>
      <c r="P5" s="13"/>
      <c r="Q5" s="14"/>
      <c r="R5" s="15"/>
      <c r="S5" s="16" t="s">
        <v>3</v>
      </c>
      <c r="T5" s="13"/>
      <c r="U5" s="13"/>
      <c r="V5" s="13"/>
      <c r="W5" s="14"/>
      <c r="X5" s="15"/>
      <c r="Y5" s="17" t="s">
        <v>4</v>
      </c>
      <c r="Z5" s="7"/>
    </row>
    <row r="6">
      <c r="A6" s="1"/>
      <c r="B6" s="18"/>
      <c r="C6" s="19"/>
      <c r="D6" s="20"/>
      <c r="E6" s="21"/>
      <c r="F6" s="21"/>
      <c r="G6" s="22" t="s">
        <v>5</v>
      </c>
      <c r="H6" s="23" t="s">
        <v>6</v>
      </c>
      <c r="I6" s="21"/>
      <c r="J6" s="22" t="s">
        <v>5</v>
      </c>
      <c r="K6" s="24" t="s">
        <v>7</v>
      </c>
      <c r="L6" s="23" t="s">
        <v>8</v>
      </c>
      <c r="M6" s="21"/>
      <c r="N6" s="22" t="s">
        <v>5</v>
      </c>
      <c r="O6" s="24" t="s">
        <v>7</v>
      </c>
      <c r="P6" s="24" t="s">
        <v>9</v>
      </c>
      <c r="Q6" s="23" t="s">
        <v>10</v>
      </c>
      <c r="R6" s="21"/>
      <c r="S6" s="22" t="s">
        <v>5</v>
      </c>
      <c r="T6" s="24" t="s">
        <v>7</v>
      </c>
      <c r="U6" s="24" t="s">
        <v>11</v>
      </c>
      <c r="V6" s="24" t="s">
        <v>8</v>
      </c>
      <c r="W6" s="23" t="s">
        <v>12</v>
      </c>
      <c r="X6" s="21"/>
      <c r="Y6" s="25" t="s">
        <v>8</v>
      </c>
      <c r="Z6" s="7"/>
    </row>
    <row r="7">
      <c r="A7" s="26"/>
      <c r="B7" s="27">
        <f>Atleti!A3</f>
        <v>5</v>
      </c>
      <c r="C7" s="28" t="str">
        <f>Atleti!B3</f>
        <v/>
      </c>
      <c r="D7" s="29" t="str">
        <f>Atleti!C3</f>
        <v>Martina Rizzi</v>
      </c>
      <c r="E7" s="30"/>
      <c r="F7" s="30"/>
      <c r="G7" s="31" t="str">
        <f>IF('Gioc 5'!$J$11=0,"-",'Gioc 5'!$J$11)</f>
        <v>-</v>
      </c>
      <c r="H7" s="32" t="str">
        <f>if('Gioc 5'!J17=0,"-",'Gioc 5'!J17)</f>
        <v>-</v>
      </c>
      <c r="I7" s="30"/>
      <c r="J7" s="31" t="str">
        <f>if('Gioc 5'!$G$13=0,"-",'Gioc 5'!$G$13)</f>
        <v>-</v>
      </c>
      <c r="K7" s="28" t="str">
        <f>if('Gioc 5'!$F$13=0,"-",'Gioc 5'!$F$13)</f>
        <v>-</v>
      </c>
      <c r="L7" s="32" t="str">
        <f>if('Gioc 5'!$B$13=0,"-",'Gioc 5'!$B$13)</f>
        <v>-</v>
      </c>
      <c r="M7" s="30"/>
      <c r="N7" s="31" t="str">
        <f>if('Gioc 5'!$G$6=0,"-",'Gioc 5'!$G$6)</f>
        <v>-</v>
      </c>
      <c r="O7" s="28" t="str">
        <f>if('Gioc 5'!$F$6=0,"-",'Gioc 5'!$F$6)</f>
        <v>-</v>
      </c>
      <c r="P7" s="28" t="str">
        <f>if('Gioc 5'!B9=0,"-",'Gioc 5'!B9)</f>
        <v>-</v>
      </c>
      <c r="Q7" s="34" t="str">
        <f>If('Gioc 5'!$B$6&gt;0,('Gioc 5'!$B$6/'Gioc 5'!$G$6),"-")</f>
        <v>-</v>
      </c>
      <c r="R7" s="30"/>
      <c r="S7" s="31" t="str">
        <f>if('Gioc 5'!$H$20=0,"-",'Gioc 5'!$H$20)</f>
        <v>-</v>
      </c>
      <c r="T7" s="28" t="str">
        <f>if('Gioc 5'!$G$20=0,"-",'Gioc 5'!$G$20)</f>
        <v>-</v>
      </c>
      <c r="U7" s="28" t="str">
        <f>if('Gioc 5'!$F$20=0,"-",'Gioc 5'!$F$20)</f>
        <v>-</v>
      </c>
      <c r="V7" s="28" t="str">
        <f>if('Gioc 5'!$B$20=0,"-",'Gioc 5'!$B$20)</f>
        <v>-</v>
      </c>
      <c r="W7" s="40" t="str">
        <f>if('Gioc 5'!$B$20&gt;0,'Gioc 5'!$B$20/'Gioc 5'!$H$20,"-")</f>
        <v>-</v>
      </c>
      <c r="X7" s="30"/>
      <c r="Y7" s="42" t="str">
        <f>if('Gioc 5'!$I$6=0,"-",'Gioc 5'!$I$6)</f>
        <v>-</v>
      </c>
      <c r="Z7" s="7"/>
    </row>
    <row r="8">
      <c r="A8" s="26"/>
      <c r="B8" s="44">
        <f>Atleti!A4</f>
        <v>7</v>
      </c>
      <c r="C8" s="46" t="str">
        <f>Atleti!B4</f>
        <v/>
      </c>
      <c r="D8" s="47" t="str">
        <f>Atleti!C4</f>
        <v>Francesca Peretti</v>
      </c>
      <c r="E8" s="48"/>
      <c r="F8" s="48"/>
      <c r="G8" s="49">
        <f>IF('Gioc 7'!$J$11=0,"-",'Gioc 7'!$J$11)</f>
        <v>18</v>
      </c>
      <c r="H8" s="50">
        <f>if('Gioc 7'!J17=0,"-",'Gioc 7'!J17)</f>
        <v>9</v>
      </c>
      <c r="I8" s="48"/>
      <c r="J8" s="49">
        <f>if('Gioc 7'!$G$13=0,"-",'Gioc 7'!$G$13)</f>
        <v>14</v>
      </c>
      <c r="K8" s="51">
        <f>if('Gioc 7'!$F$13=0,"-",'Gioc 7'!$F$13)</f>
        <v>1</v>
      </c>
      <c r="L8" s="52">
        <f>if('Gioc 7'!$B$13=0,"-",'Gioc 7'!$B$13)</f>
        <v>3</v>
      </c>
      <c r="M8" s="48"/>
      <c r="N8" s="49">
        <f>if('Gioc 7'!$G$6=0,"-",'Gioc 7'!$G$6)</f>
        <v>15</v>
      </c>
      <c r="O8" s="46" t="str">
        <f>if('Gioc 7'!$F$6=0,"-",'Gioc 7'!$F$6)</f>
        <v>-</v>
      </c>
      <c r="P8" s="53">
        <f>if('Gioc 7'!$B$9=0,"-",'Gioc 7'!$B$9)</f>
        <v>0.7333333333</v>
      </c>
      <c r="Q8" s="54">
        <f>If('Gioc 7'!$B$6&gt;0,('Gioc 7'!$B$6/'Gioc 7'!$G$6),"-")</f>
        <v>0.2</v>
      </c>
      <c r="R8" s="48"/>
      <c r="S8" s="55">
        <f>if('Gioc 7'!$H$20=0,"-",'Gioc 7'!$H$20)</f>
        <v>40</v>
      </c>
      <c r="T8" s="51">
        <f>if('Gioc 7'!$G$20=0,"-",'Gioc 7'!$G$20)</f>
        <v>8</v>
      </c>
      <c r="U8" s="46" t="str">
        <f>if('Gioc 7'!$F$20=0,"-",'Gioc 7'!$F$20)</f>
        <v>-</v>
      </c>
      <c r="V8" s="51">
        <f>if('Gioc 7'!$B$20=0,"-",'Gioc 7'!$B$20)</f>
        <v>15</v>
      </c>
      <c r="W8" s="40">
        <f>if('Gioc 7'!$B$20&gt;0,'Gioc 7'!$B$20/'Gioc 7'!$H$20,"-")</f>
        <v>0.375</v>
      </c>
      <c r="X8" s="48"/>
      <c r="Y8" s="56" t="str">
        <f>if('Gioc 7'!$I$6=0,"-",'Gioc 7'!$I$6)</f>
        <v>-</v>
      </c>
      <c r="Z8" s="7"/>
    </row>
    <row r="9">
      <c r="A9" s="26"/>
      <c r="B9" s="44">
        <f>Atleti!A5</f>
        <v>10</v>
      </c>
      <c r="C9" s="46" t="str">
        <f>Atleti!B5</f>
        <v/>
      </c>
      <c r="D9" s="47" t="str">
        <f>Atleti!C5</f>
        <v>Licia Fondriest</v>
      </c>
      <c r="E9" s="48"/>
      <c r="F9" s="48"/>
      <c r="G9" s="49">
        <f>IF('Gioc 10'!$J$11=0,"-",'Gioc 10'!$J$11)</f>
        <v>10</v>
      </c>
      <c r="H9" s="50">
        <f>if('Gioc 10'!J17=0,"-",'Gioc 10'!J17)</f>
        <v>9</v>
      </c>
      <c r="I9" s="48"/>
      <c r="J9" s="49">
        <f>if('Gioc 10'!$G$13=0,"-",'Gioc 10'!$G$13)</f>
        <v>22</v>
      </c>
      <c r="K9" s="51">
        <f>if('Gioc 10'!$F$13=0,"-",'Gioc 10'!$F$13)</f>
        <v>1</v>
      </c>
      <c r="L9" s="52">
        <f>if('Gioc 10'!$B$13=0,"-",'Gioc 10'!$B$13)</f>
        <v>4</v>
      </c>
      <c r="M9" s="48"/>
      <c r="N9" s="49">
        <f>if('Gioc 10'!$G$6=0,"-",'Gioc 10'!$G$6)</f>
        <v>1</v>
      </c>
      <c r="O9" s="46" t="str">
        <f>if('Gioc 10'!$F$6=0,"-",'Gioc 10'!$F$6)</f>
        <v>-</v>
      </c>
      <c r="P9" s="53">
        <f>if('Gioc 10'!$B$9=0,"-",'Gioc 10'!$B$9)</f>
        <v>1</v>
      </c>
      <c r="Q9" s="54" t="str">
        <f>If('Gioc 10'!$B$6&gt;0,('Gioc 10'!$B$6/'Gioc 10'!$G$6),"-")</f>
        <v>-</v>
      </c>
      <c r="R9" s="48"/>
      <c r="S9" s="55">
        <f>if('Gioc 10'!$H$20=0,"-",'Gioc 10'!$H$20)</f>
        <v>16</v>
      </c>
      <c r="T9" s="46" t="str">
        <f>if('Gioc 10'!$G$20=0,"-",'Gioc 10'!$G$20)</f>
        <v>-</v>
      </c>
      <c r="U9" s="46" t="str">
        <f>if('Gioc 10'!$F$20=0,"-",'Gioc 10'!$F$20)</f>
        <v>-</v>
      </c>
      <c r="V9" s="51">
        <f>if('Gioc 10'!$B$20=0,"-",'Gioc 10'!$B$20)</f>
        <v>6</v>
      </c>
      <c r="W9" s="40">
        <f>if('Gioc 10'!$B$20&gt;0,'Gioc 10'!$B$20/'Gioc 10'!$H$20,"-")</f>
        <v>0.375</v>
      </c>
      <c r="X9" s="48"/>
      <c r="Y9" s="56" t="str">
        <f>if('Gioc 10'!$I$6=0,"-",'Gioc 10'!$I$6)</f>
        <v>-</v>
      </c>
      <c r="Z9" s="7"/>
    </row>
    <row r="10">
      <c r="A10" s="26"/>
      <c r="B10" s="44">
        <f>Atleti!A6</f>
        <v>3</v>
      </c>
      <c r="C10" s="46" t="str">
        <f>Atleti!B6</f>
        <v/>
      </c>
      <c r="D10" s="47" t="str">
        <f>Atleti!C6</f>
        <v>Serena Olocco</v>
      </c>
      <c r="E10" s="48"/>
      <c r="F10" s="48"/>
      <c r="G10" s="49">
        <f>IF('Gioc 3'!$J$11=0,"-",'Gioc 3'!$J$11)</f>
        <v>14</v>
      </c>
      <c r="H10" s="50">
        <f>if('Gioc 3'!J17=0,"-",'Gioc 3'!J17)</f>
        <v>7</v>
      </c>
      <c r="I10" s="48"/>
      <c r="J10" s="49">
        <f>if('Gioc 3'!$G$13=0,"-",'Gioc 3'!$G$13)</f>
        <v>18</v>
      </c>
      <c r="K10" s="51">
        <f>if('Gioc 3'!$F$13=0,"-",'Gioc 3'!$F$13)</f>
        <v>1</v>
      </c>
      <c r="L10" s="57" t="str">
        <f>if('Gioc 3'!$B$13=0,"-",'Gioc 3'!$B$13)</f>
        <v>-</v>
      </c>
      <c r="M10" s="48"/>
      <c r="N10" s="58" t="str">
        <f>if('Gioc 3'!$G$6=0,"-",'Gioc 3'!$G$6)</f>
        <v>-</v>
      </c>
      <c r="O10" s="46" t="str">
        <f>if('Gioc 3'!$F$6=0,"-",'Gioc 3'!$F$6)</f>
        <v>-</v>
      </c>
      <c r="P10" s="46" t="str">
        <f>if('Gioc 3'!$B$9=0,"-",'Gioc 3'!$B$9)</f>
        <v>-</v>
      </c>
      <c r="Q10" s="54" t="str">
        <f>If('Gioc 3'!$B$6&gt;0,('Gioc 3'!$B$6/'Gioc 3'!$G$6),"-")</f>
        <v>-</v>
      </c>
      <c r="R10" s="48"/>
      <c r="S10" s="55">
        <f>if('Gioc 3'!$H$20=0,"-",'Gioc 3'!$H$20)</f>
        <v>40</v>
      </c>
      <c r="T10" s="51">
        <f>if('Gioc 3'!$G$20=0,"-",'Gioc 3'!$G$20)</f>
        <v>6</v>
      </c>
      <c r="U10" s="46" t="str">
        <f>if('Gioc 3'!$F$20=0,"-",'Gioc 3'!$F$20)</f>
        <v>-</v>
      </c>
      <c r="V10" s="51">
        <f>if('Gioc 3'!$B$20=0,"-",'Gioc 3'!$B$20)</f>
        <v>12</v>
      </c>
      <c r="W10" s="40">
        <f>if('Gioc 3'!$B$20&gt;0,'Gioc 3'!$B$20/'Gioc 3'!$H$20,"-")</f>
        <v>0.3</v>
      </c>
      <c r="X10" s="48"/>
      <c r="Y10" s="59">
        <f>if('Gioc 3'!$I$6=0,"-",'Gioc 3'!$I$6)</f>
        <v>2</v>
      </c>
      <c r="Z10" s="7"/>
    </row>
    <row r="11">
      <c r="A11" s="26"/>
      <c r="B11" s="44">
        <f>Atleti!A7</f>
        <v>14</v>
      </c>
      <c r="C11" s="46" t="str">
        <f>Atleti!B7</f>
        <v/>
      </c>
      <c r="D11" s="47" t="str">
        <f>Atleti!C7</f>
        <v>Anna Gardumi</v>
      </c>
      <c r="E11" s="48"/>
      <c r="F11" s="48"/>
      <c r="G11" s="49">
        <f>IF('Gioc 14'!$J$11=0,"-",'Gioc 14'!$J$11)</f>
        <v>4</v>
      </c>
      <c r="H11" s="50">
        <f>if('Gioc 14'!J17=0,"-",'Gioc 14'!J17)</f>
        <v>1</v>
      </c>
      <c r="I11" s="48"/>
      <c r="J11" s="49">
        <f>if('Gioc 14'!$G$13=0,"-",'Gioc 14'!$G$13)</f>
        <v>17</v>
      </c>
      <c r="K11" s="51">
        <f>if('Gioc 14'!$F$13=0,"-",'Gioc 14'!$F$13)</f>
        <v>1</v>
      </c>
      <c r="L11" s="52">
        <f>if('Gioc 14'!$B$13=0,"-",'Gioc 14'!$B$13)</f>
        <v>1</v>
      </c>
      <c r="M11" s="48"/>
      <c r="N11" s="58" t="str">
        <f>if('Gioc 14'!$G$6=0,"-",'Gioc 14'!$G$6)</f>
        <v>-</v>
      </c>
      <c r="O11" s="46" t="str">
        <f>if('Gioc 14'!$F$6=0,"-",'Gioc 14'!$F$6)</f>
        <v>-</v>
      </c>
      <c r="P11" s="46" t="str">
        <f>if('Gioc 14'!$B$9=0,"-",'Gioc 14'!$B$9)</f>
        <v>-</v>
      </c>
      <c r="Q11" s="54" t="str">
        <f>If('Gioc 14'!$B$6&gt;0,('Gioc 14'!$B$6/'Gioc 14'!$G$6),"-")</f>
        <v>-</v>
      </c>
      <c r="R11" s="48"/>
      <c r="S11" s="55">
        <f>if('Gioc 14'!$H$20=0,"-",'Gioc 14'!$H$20)</f>
        <v>4</v>
      </c>
      <c r="T11" s="46" t="str">
        <f>if('Gioc 14'!$G$20=0,"-",'Gioc 14'!$G$20)</f>
        <v>-</v>
      </c>
      <c r="U11" s="46" t="str">
        <f>if('Gioc 14'!$F$20=0,"-",'Gioc 14'!$F$20)</f>
        <v>-</v>
      </c>
      <c r="V11" s="51">
        <f>if('Gioc 14'!$B$20=0,"-",'Gioc 14'!$B$20)</f>
        <v>3</v>
      </c>
      <c r="W11" s="40">
        <f>if('Gioc 14'!$B$20&gt;0,'Gioc 14'!$B$20/'Gioc 14'!$H$20,"-")</f>
        <v>0.75</v>
      </c>
      <c r="X11" s="48"/>
      <c r="Y11" s="56" t="str">
        <f>if('Gioc 14'!$I$6=0,"-",'Gioc 14'!$I$6)</f>
        <v>-</v>
      </c>
      <c r="Z11" s="7"/>
    </row>
    <row r="12">
      <c r="A12" s="26"/>
      <c r="B12" s="44">
        <f>Atleti!A8</f>
        <v>16</v>
      </c>
      <c r="C12" s="46" t="str">
        <f>Atleti!B8</f>
        <v/>
      </c>
      <c r="D12" s="47" t="str">
        <f>Atleti!C8</f>
        <v>Alessia Ruele</v>
      </c>
      <c r="E12" s="48"/>
      <c r="F12" s="48"/>
      <c r="G12" s="49">
        <f>IF('Gioc 16'!$J$11=0,"-",'Gioc 16'!$J$11)</f>
        <v>14</v>
      </c>
      <c r="H12" s="50">
        <f>if('Gioc 16'!J17=0,"-",'Gioc 16'!J17)</f>
        <v>11</v>
      </c>
      <c r="I12" s="48"/>
      <c r="J12" s="49">
        <f>if('Gioc 16'!$G$13=0,"-",'Gioc 16'!$G$13)</f>
        <v>12</v>
      </c>
      <c r="K12" s="46" t="str">
        <f>if('Gioc 16'!$F$13=0,"-",'Gioc 16'!$F$13)</f>
        <v>-</v>
      </c>
      <c r="L12" s="57" t="str">
        <f>if('Gioc 16'!$B$13=0,"-",'Gioc 16'!$B$13)</f>
        <v>-</v>
      </c>
      <c r="M12" s="48"/>
      <c r="N12" s="58" t="str">
        <f>if('Gioc 16'!$G$6=0,"-",'Gioc 16'!$G$6)</f>
        <v>-</v>
      </c>
      <c r="O12" s="46" t="str">
        <f>if('Gioc 16'!$F$6=0,"-",'Gioc 16'!$F$6)</f>
        <v>-</v>
      </c>
      <c r="P12" s="46" t="str">
        <f>if('Gioc 16'!$B$9=0,"-",'Gioc 16'!$B$9)</f>
        <v>-</v>
      </c>
      <c r="Q12" s="54" t="str">
        <f>If('Gioc 16'!$B$6&gt;0,('Gioc 16'!$B$6/'Gioc 16'!$G$6),"-")</f>
        <v>-</v>
      </c>
      <c r="R12" s="48"/>
      <c r="S12" s="55">
        <f>if('Gioc 16'!$H$20=0,"-",'Gioc 16'!$H$20)</f>
        <v>20</v>
      </c>
      <c r="T12" s="46" t="str">
        <f>if('Gioc 16'!$G$20=0,"-",'Gioc 16'!$G$20)</f>
        <v>-</v>
      </c>
      <c r="U12" s="46" t="str">
        <f>if('Gioc 16'!$F$20=0,"-",'Gioc 16'!$F$20)</f>
        <v>-</v>
      </c>
      <c r="V12" s="51">
        <f>if('Gioc 16'!$B$20=0,"-",'Gioc 16'!$B$20)</f>
        <v>13</v>
      </c>
      <c r="W12" s="40">
        <f>if('Gioc 16'!$B$20&gt;0,'Gioc 16'!$B$20/'Gioc 16'!$H$20,"-")</f>
        <v>0.65</v>
      </c>
      <c r="X12" s="48"/>
      <c r="Y12" s="59">
        <f>if('Gioc 16'!$I$6=0,"-",'Gioc 16'!$I$6)</f>
        <v>1</v>
      </c>
      <c r="Z12" s="7"/>
    </row>
    <row r="13">
      <c r="A13" s="26"/>
      <c r="B13" s="44">
        <f>Atleti!A9</f>
        <v>15</v>
      </c>
      <c r="C13" s="46"/>
      <c r="D13" s="47" t="str">
        <f>Atleti!C9</f>
        <v>Veronica Osele</v>
      </c>
      <c r="E13" s="48"/>
      <c r="F13" s="48"/>
      <c r="G13" s="58" t="str">
        <f>IF('Gioc 1'!$J$11=0,"-",'Gioc 1'!$J$11)</f>
        <v>-</v>
      </c>
      <c r="H13" s="32" t="str">
        <f>if('Gioc 1'!J17=0,"-",'Gioc 1'!J17)</f>
        <v>-</v>
      </c>
      <c r="I13" s="48"/>
      <c r="J13" s="58" t="str">
        <f>if('Gioc 1'!$G$13=0,"-",'Gioc 1'!$G$13)</f>
        <v>-</v>
      </c>
      <c r="K13" s="46" t="str">
        <f>if('Gioc 1'!$F$13=0,"-",'Gioc 1'!$F$13)</f>
        <v>-</v>
      </c>
      <c r="L13" s="57" t="str">
        <f>if('Gioc 1'!$B$13=0,"-",'Gioc 1'!$B$13)</f>
        <v>-</v>
      </c>
      <c r="M13" s="48"/>
      <c r="N13" s="58" t="str">
        <f>if('Gioc 1'!$G$6=0,"-",'Gioc 1'!$G$6)</f>
        <v>-</v>
      </c>
      <c r="O13" s="46" t="str">
        <f>if('Gioc 1'!$F$6=0,"-",'Gioc 1'!$F$6)</f>
        <v>-</v>
      </c>
      <c r="P13" s="46" t="str">
        <f>if('Gioc 1'!$B$9=0,"-",'Gioc 1'!$B$9)</f>
        <v>-</v>
      </c>
      <c r="Q13" s="54" t="str">
        <f>If('Gioc 1'!$B$6&gt;0,('Gioc 1'!$B$6/'Gioc 1'!$G$6),"-")</f>
        <v>-</v>
      </c>
      <c r="R13" s="48"/>
      <c r="S13" s="31" t="str">
        <f>if('Gioc 1'!$H$20=0,"-",'Gioc 1'!$H$20)</f>
        <v>-</v>
      </c>
      <c r="T13" s="46" t="str">
        <f>if('Gioc 1'!$G$20=0,"-",'Gioc 1'!$G$20)</f>
        <v>-</v>
      </c>
      <c r="U13" s="46" t="str">
        <f>if('Gioc 1'!$F$20=0,"-",'Gioc 1'!$F$20)</f>
        <v>-</v>
      </c>
      <c r="V13" s="46" t="str">
        <f>if('Gioc 1'!$B$20=0,"-",'Gioc 1'!$B$20)</f>
        <v>-</v>
      </c>
      <c r="W13" s="40" t="str">
        <f>if('Gioc 1'!$B$20&gt;0,'Gioc 1'!$B$20/'Gioc 1'!$H$20,"-")</f>
        <v>-</v>
      </c>
      <c r="X13" s="48"/>
      <c r="Y13" s="56" t="str">
        <f>if('Gioc 1'!$I$6=0,"-",'Gioc 1'!$I$6)</f>
        <v>-</v>
      </c>
      <c r="Z13" s="7"/>
    </row>
    <row r="14">
      <c r="A14" s="26"/>
      <c r="B14" s="44">
        <f>Atleti!A10</f>
        <v>11</v>
      </c>
      <c r="C14" s="46" t="str">
        <f>Atleti!B10</f>
        <v>L</v>
      </c>
      <c r="D14" s="47" t="str">
        <f>Atleti!C10</f>
        <v>Elisa Della Valentina</v>
      </c>
      <c r="E14" s="48"/>
      <c r="F14" s="48"/>
      <c r="G14" s="58" t="str">
        <f>IF('Gioc 11'!$J$11=0,"-",'Gioc 11'!$J$11)</f>
        <v>-</v>
      </c>
      <c r="H14" s="32" t="str">
        <f>if('Gioc 11'!J17=0,"-",'Gioc 11'!J17)</f>
        <v>-</v>
      </c>
      <c r="I14" s="48"/>
      <c r="J14" s="58" t="str">
        <f>if('Gioc 11'!$G$13=0,"-",'Gioc 11'!$G$13)</f>
        <v>-</v>
      </c>
      <c r="K14" s="46" t="str">
        <f>if('Gioc 11'!$F$13=0,"-",'Gioc 11'!$F$13)</f>
        <v>-</v>
      </c>
      <c r="L14" s="57" t="str">
        <f>if('Gioc 11'!$B$13=0,"-",'Gioc 11'!$B$13)</f>
        <v>-</v>
      </c>
      <c r="M14" s="48"/>
      <c r="N14" s="49">
        <f>if('Gioc 11'!$G$6=0,"-",'Gioc 11'!$G$6)</f>
        <v>18</v>
      </c>
      <c r="O14" s="46" t="str">
        <f>if('Gioc 11'!$F$6=0,"-",'Gioc 11'!$F$6)</f>
        <v>-</v>
      </c>
      <c r="P14" s="53">
        <f>if('Gioc 11'!$B$9=0,"-",'Gioc 11'!$B$9)</f>
        <v>0.7777777778</v>
      </c>
      <c r="Q14" s="54">
        <f>If('Gioc 11'!$B$6&gt;0,('Gioc 11'!$B$6/'Gioc 11'!$G$6),"-")</f>
        <v>0.3888888889</v>
      </c>
      <c r="R14" s="48"/>
      <c r="S14" s="31" t="str">
        <f>if('Gioc 11'!$H$20=0,"-",'Gioc 11'!$H$20)</f>
        <v>-</v>
      </c>
      <c r="T14" s="46" t="str">
        <f>if('Gioc 11'!$G$20=0,"-",'Gioc 11'!$G$20)</f>
        <v>-</v>
      </c>
      <c r="U14" s="46" t="str">
        <f>if('Gioc 11'!$F$20=0,"-",'Gioc 11'!$F$20)</f>
        <v>-</v>
      </c>
      <c r="V14" s="46" t="str">
        <f>if('Gioc 11'!$B$20=0,"-",'Gioc 11'!$B$20)</f>
        <v>-</v>
      </c>
      <c r="W14" s="40" t="str">
        <f>if('Gioc 11'!$B$20&gt;0,'Gioc 11'!$B$20/'Gioc 11'!$H$20,"-")</f>
        <v>-</v>
      </c>
      <c r="X14" s="48"/>
      <c r="Y14" s="56" t="str">
        <f>if('Gioc 11'!$I$6=0,"-",'Gioc 11'!$I$6)</f>
        <v>-</v>
      </c>
      <c r="Z14" s="7"/>
    </row>
    <row r="15">
      <c r="A15" s="26"/>
      <c r="B15" s="44">
        <f>Atleti!A11</f>
        <v>12</v>
      </c>
      <c r="C15" s="46" t="str">
        <f>Atleti!B11</f>
        <v/>
      </c>
      <c r="D15" s="47" t="str">
        <f>Atleti!C11</f>
        <v>Jana Belic</v>
      </c>
      <c r="E15" s="48"/>
      <c r="F15" s="48"/>
      <c r="G15" s="58" t="str">
        <f>IF('Gioc 12'!$J$11=0,"-",'Gioc 12'!$J$11)</f>
        <v>-</v>
      </c>
      <c r="H15" s="50">
        <f>if('Gioc 12'!J17=0,"-",'Gioc 12'!J17)</f>
        <v>-1</v>
      </c>
      <c r="I15" s="48"/>
      <c r="J15" s="58" t="str">
        <f>if('Gioc 12'!$G$13=0,"-",'Gioc 12'!$G$13)</f>
        <v>-</v>
      </c>
      <c r="K15" s="46" t="str">
        <f>if('Gioc 12'!$F$13=0,"-",'Gioc 12'!$F$13)</f>
        <v>-</v>
      </c>
      <c r="L15" s="57" t="str">
        <f>if('Gioc 12'!$B$13=0,"-",'Gioc 12'!$B$13)</f>
        <v>-</v>
      </c>
      <c r="M15" s="48"/>
      <c r="N15" s="49">
        <f>if('Gioc 12'!$G$6=0,"-",'Gioc 12'!$G$6)</f>
        <v>1</v>
      </c>
      <c r="O15" s="51">
        <f>if('Gioc 12'!$F$6=0,"-",'Gioc 12'!$F$6)</f>
        <v>1</v>
      </c>
      <c r="P15" s="46" t="str">
        <f>if('Gioc 12'!$B$9=0,"-",'Gioc 12'!$B$9)</f>
        <v>-</v>
      </c>
      <c r="Q15" s="54" t="str">
        <f>If('Gioc 12'!$B$6&gt;0,('Gioc 12'!$B$6/'Gioc 12'!$G$6),"-")</f>
        <v>-</v>
      </c>
      <c r="R15" s="48"/>
      <c r="S15" s="31" t="str">
        <f>if('Gioc 12'!$H$20=0,"-",'Gioc 12'!$H$20)</f>
        <v>-</v>
      </c>
      <c r="T15" s="46" t="str">
        <f>if('Gioc 12'!$G$20=0,"-",'Gioc 12'!$G$20)</f>
        <v>-</v>
      </c>
      <c r="U15" s="46" t="str">
        <f>if('Gioc 12'!$F$20=0,"-",'Gioc 12'!$F$20)</f>
        <v>-</v>
      </c>
      <c r="V15" s="46" t="str">
        <f>if('Gioc 12'!$B$20=0,"-",'Gioc 12'!$B$20)</f>
        <v>-</v>
      </c>
      <c r="W15" s="40" t="str">
        <f>if('Gioc 12'!$B$20&gt;0,'Gioc 12'!$B$20/'Gioc 12'!$H$20,"-")</f>
        <v>-</v>
      </c>
      <c r="X15" s="48"/>
      <c r="Y15" s="56" t="str">
        <f>if('Gioc 12'!$I$6=0,"-",'Gioc 12'!$I$6)</f>
        <v>-</v>
      </c>
      <c r="Z15" s="7"/>
    </row>
    <row r="16">
      <c r="A16" s="26"/>
      <c r="B16" s="44">
        <f>Atleti!A12</f>
        <v>9</v>
      </c>
      <c r="C16" s="46" t="str">
        <f>Atleti!B12</f>
        <v/>
      </c>
      <c r="D16" s="47" t="str">
        <f>Atleti!C12</f>
        <v>Stefania Della Valentina</v>
      </c>
      <c r="E16" s="48"/>
      <c r="F16" s="48"/>
      <c r="G16" s="58" t="str">
        <f>IF('Gioc 9'!$J$11=0,"-",'Gioc 9'!$J$11)</f>
        <v>-</v>
      </c>
      <c r="H16" s="32" t="str">
        <f>if('Gioc 9'!J17=0,"-",'Gioc 9'!J17)</f>
        <v>-</v>
      </c>
      <c r="I16" s="48"/>
      <c r="J16" s="58" t="str">
        <f>if('Gioc 9'!$G$13=0,"-",'Gioc 9'!$G$13)</f>
        <v>-</v>
      </c>
      <c r="K16" s="46" t="str">
        <f>if('Gioc 9'!$F$13=0,"-",'Gioc 9'!$F$13)</f>
        <v>-</v>
      </c>
      <c r="L16" s="57" t="str">
        <f>if('Gioc 9'!$B$13=0,"-",'Gioc 9'!$B$13)</f>
        <v>-</v>
      </c>
      <c r="M16" s="48"/>
      <c r="N16" s="58" t="str">
        <f>if('Gioc 9'!$G$6=0,"-",'Gioc 9'!$G$6)</f>
        <v>-</v>
      </c>
      <c r="O16" s="46" t="str">
        <f>if('Gioc 9'!$F$6=0,"-",'Gioc 9'!$F$6)</f>
        <v>-</v>
      </c>
      <c r="P16" s="46" t="str">
        <f>if('Gioc 9'!$B$9=0,"-",'Gioc 9'!$B$9)</f>
        <v>-</v>
      </c>
      <c r="Q16" s="54" t="str">
        <f>If('Gioc 9'!$B$6&gt;0,('Gioc 9'!$B$6/'Gioc 9'!$G$6),"-")</f>
        <v>-</v>
      </c>
      <c r="R16" s="48"/>
      <c r="S16" s="31" t="str">
        <f>if('Gioc 9'!$H$20=0,"-",'Gioc 9'!$H$20)</f>
        <v>-</v>
      </c>
      <c r="T16" s="46" t="str">
        <f>if('Gioc 9'!$G$20=0,"-",'Gioc 9'!$G$20)</f>
        <v>-</v>
      </c>
      <c r="U16" s="46" t="str">
        <f>if('Gioc 9'!$F$20=0,"-",'Gioc 9'!$F$20)</f>
        <v>-</v>
      </c>
      <c r="V16" s="46" t="str">
        <f>if('Gioc 9'!$B$20=0,"-",'Gioc 9'!$B$20)</f>
        <v>-</v>
      </c>
      <c r="W16" s="40" t="str">
        <f>if('Gioc 9'!$B$20&gt;0,'Gioc 9'!$B$20/'Gioc 9'!$H$20,"-")</f>
        <v>-</v>
      </c>
      <c r="X16" s="48"/>
      <c r="Y16" s="56" t="str">
        <f>if('Gioc 9'!$I$6=0,"-",'Gioc 9'!$I$6)</f>
        <v>-</v>
      </c>
      <c r="Z16" s="7"/>
    </row>
    <row r="17">
      <c r="A17" s="26"/>
      <c r="B17" s="44">
        <f>Atleti!A13</f>
        <v>18</v>
      </c>
      <c r="C17" s="46" t="str">
        <f>Atleti!B13</f>
        <v/>
      </c>
      <c r="D17" s="47" t="str">
        <f>Atleti!C13</f>
        <v>Martina Consolati</v>
      </c>
      <c r="E17" s="48"/>
      <c r="F17" s="48"/>
      <c r="G17" s="49">
        <f>IF('Gioc 18'!$J$11=0,"-",'Gioc 18'!$J$11)</f>
        <v>13</v>
      </c>
      <c r="H17" s="50">
        <f>if('Gioc 18'!J17=0,"-",'Gioc 18'!J17)</f>
        <v>4</v>
      </c>
      <c r="I17" s="48"/>
      <c r="J17" s="49">
        <f>if('Gioc 18'!$G$13=0,"-",'Gioc 18'!$G$13)</f>
        <v>14</v>
      </c>
      <c r="K17" s="51">
        <f>if('Gioc 18'!$F$13=0,"-",'Gioc 18'!$F$13)</f>
        <v>2</v>
      </c>
      <c r="L17" s="57" t="str">
        <f>if('Gioc 18'!$B$13=0,"-",'Gioc 18'!$B$13)</f>
        <v>-</v>
      </c>
      <c r="M17" s="48"/>
      <c r="N17" s="49">
        <f>if('Gioc 18'!$G$6=0,"-",'Gioc 18'!$G$6)</f>
        <v>26</v>
      </c>
      <c r="O17" s="51">
        <f>if('Gioc 18'!$F$6=0,"-",'Gioc 18'!$F$6)</f>
        <v>3</v>
      </c>
      <c r="P17" s="53">
        <f>if('Gioc 18'!$B$9=0,"-",'Gioc 18'!$B$9)</f>
        <v>0.4615384615</v>
      </c>
      <c r="Q17" s="54">
        <f>If('Gioc 18'!$B$6&gt;0,('Gioc 18'!$B$6/'Gioc 18'!$G$6),"-")</f>
        <v>0.03846153846</v>
      </c>
      <c r="R17" s="48"/>
      <c r="S17" s="55">
        <f>if('Gioc 18'!$H$20=0,"-",'Gioc 18'!$H$20)</f>
        <v>43</v>
      </c>
      <c r="T17" s="51">
        <f>if('Gioc 18'!$G$20=0,"-",'Gioc 18'!$G$20)</f>
        <v>3</v>
      </c>
      <c r="U17" s="46" t="str">
        <f>if('Gioc 18'!$F$20=0,"-",'Gioc 18'!$F$20)</f>
        <v>-</v>
      </c>
      <c r="V17" s="51">
        <f>if('Gioc 18'!$B$20=0,"-",'Gioc 18'!$B$20)</f>
        <v>13</v>
      </c>
      <c r="W17" s="40">
        <f>if('Gioc 18'!$B$20&gt;0,'Gioc 18'!$B$20/'Gioc 18'!$H$20,"-")</f>
        <v>0.3023255814</v>
      </c>
      <c r="X17" s="48"/>
      <c r="Y17" s="56" t="str">
        <f>if('Gioc 18'!$I$6=0,"-",'Gioc 18'!$I$6)</f>
        <v>-</v>
      </c>
      <c r="Z17" s="7"/>
    </row>
    <row r="18">
      <c r="A18" s="26"/>
      <c r="B18" s="74">
        <v>2.0</v>
      </c>
      <c r="C18" s="75" t="str">
        <f>Atleti!B14</f>
        <v/>
      </c>
      <c r="D18" s="76" t="str">
        <f>Atleti!C14</f>
        <v>Elisa Barozzi</v>
      </c>
      <c r="E18" s="77"/>
      <c r="F18" s="77"/>
      <c r="G18" s="78" t="str">
        <f>IF('Gioc 2'!$J$11=0,"-",'Gioc 2'!$J$11)</f>
        <v>-</v>
      </c>
      <c r="H18" s="32" t="str">
        <f>if('Gioc 2'!J17=0,"-",'Gioc 2'!J17)</f>
        <v>-</v>
      </c>
      <c r="I18" s="77"/>
      <c r="J18" s="78" t="str">
        <f>if('Gioc 2'!$G$13=0,"-",'Gioc 2'!$G$13)</f>
        <v>-</v>
      </c>
      <c r="K18" s="75" t="str">
        <f>if('Gioc 2'!$F$13=0,"-",'Gioc 2'!$F$13)</f>
        <v>-</v>
      </c>
      <c r="L18" s="79" t="str">
        <f>if('Gioc 2'!$B$13=0,"-",'Gioc 2'!$B$13)</f>
        <v>-</v>
      </c>
      <c r="M18" s="77"/>
      <c r="N18" s="78" t="str">
        <f>if('Gioc 2'!$G$6=0,"-",'Gioc 2'!$G$6)</f>
        <v>-</v>
      </c>
      <c r="O18" s="75" t="str">
        <f>if('Gioc 2'!$F$6=0,"-",'Gioc 2'!$F$6)</f>
        <v>-</v>
      </c>
      <c r="P18" s="75" t="str">
        <f>if('Gioc 2'!$B$9=0,"-",'Gioc 2'!$B$9)</f>
        <v>-</v>
      </c>
      <c r="Q18" s="82" t="str">
        <f>If('Gioc 2'!$B$6&gt;0,('Gioc 2'!$B$6/'Gioc 2'!$G$6),"-")</f>
        <v>-</v>
      </c>
      <c r="R18" s="77"/>
      <c r="S18" s="84" t="str">
        <f>if('Gioc 2'!$H$20=0,"-",'Gioc 2'!$H$20)</f>
        <v>-</v>
      </c>
      <c r="T18" s="75" t="str">
        <f>if('Gioc 2'!$G$20=0,"-",'Gioc 2'!$G$20)</f>
        <v>-</v>
      </c>
      <c r="U18" s="75" t="str">
        <f>if('Gioc 2'!$F$20=0,"-",'Gioc 2'!$F$20)</f>
        <v>-</v>
      </c>
      <c r="V18" s="75" t="str">
        <f>if('Gioc 2'!$B$20=0,"-",'Gioc 2'!$B$20)</f>
        <v>-</v>
      </c>
      <c r="W18" s="87" t="str">
        <f>if('Gioc 2'!$B$20&gt;0,'Gioc 2'!$B$20/'Gioc 2'!$H$20,"-")</f>
        <v>-</v>
      </c>
      <c r="X18" s="77"/>
      <c r="Y18" s="89" t="str">
        <f>if('Gioc 2'!$I$6=0,"-",'Gioc 2'!$I$6)</f>
        <v>-</v>
      </c>
      <c r="Z18" s="7"/>
    </row>
    <row r="19">
      <c r="A19" s="90"/>
      <c r="B19" s="91" t="s">
        <v>52</v>
      </c>
      <c r="C19" s="92"/>
      <c r="D19" s="93"/>
      <c r="E19" s="94"/>
      <c r="F19" s="95"/>
      <c r="G19" s="97">
        <f>SUM(G7:G18)</f>
        <v>73</v>
      </c>
      <c r="H19" s="100">
        <f>if(Squadra!J16=0,"-",Squadra!J16)</f>
        <v>40</v>
      </c>
      <c r="I19" s="102"/>
      <c r="J19" s="103">
        <f t="shared" ref="J19:L19" si="1">SUM(J7:J18)</f>
        <v>97</v>
      </c>
      <c r="K19" s="104">
        <f t="shared" si="1"/>
        <v>6</v>
      </c>
      <c r="L19" s="105">
        <f t="shared" si="1"/>
        <v>8</v>
      </c>
      <c r="M19" s="102"/>
      <c r="N19" s="106">
        <f t="shared" ref="N19:O19" si="2">SUM(N7:N18)</f>
        <v>61</v>
      </c>
      <c r="O19" s="102">
        <f t="shared" si="2"/>
        <v>4</v>
      </c>
      <c r="P19" s="107">
        <f>Squadra!B8</f>
        <v>0.6229508197</v>
      </c>
      <c r="Q19" s="108">
        <f>if(Squadra!B5&gt;0,Squadra!B5/Squadra!G5,"-")</f>
        <v>0.1803278689</v>
      </c>
      <c r="R19" s="102"/>
      <c r="S19" s="106">
        <f t="shared" ref="S19:T19" si="3">SUM(S7:S18)</f>
        <v>163</v>
      </c>
      <c r="T19" s="102">
        <f t="shared" si="3"/>
        <v>17</v>
      </c>
      <c r="U19" s="102" t="str">
        <f>if(SUM(U7:U18)=0,"-",SUM(U7:U18))</f>
        <v>-</v>
      </c>
      <c r="V19" s="102">
        <f>SUM(V7:V18)</f>
        <v>62</v>
      </c>
      <c r="W19" s="108">
        <f>if(Squadra!B19&gt;0,Squadra!B19/Squadra!H19,"-")</f>
        <v>0.3803680982</v>
      </c>
      <c r="X19" s="102"/>
      <c r="Y19" s="109">
        <f>SUM(Y7:Y18)</f>
        <v>3</v>
      </c>
      <c r="Z19" s="7"/>
    </row>
    <row r="20">
      <c r="A20" s="7"/>
      <c r="B20" s="110"/>
      <c r="C20" s="111"/>
      <c r="D20" s="112" t="s">
        <v>54</v>
      </c>
      <c r="E20" s="113" t="s">
        <v>55</v>
      </c>
      <c r="F20" s="113" t="s">
        <v>56</v>
      </c>
      <c r="G20" s="113" t="s">
        <v>11</v>
      </c>
      <c r="H20" s="114" t="s">
        <v>57</v>
      </c>
      <c r="I20" s="111"/>
      <c r="J20" s="115"/>
      <c r="K20" s="116"/>
      <c r="L20" s="117"/>
      <c r="M20" s="111"/>
      <c r="N20" s="115"/>
      <c r="O20" s="116"/>
      <c r="P20" s="116"/>
      <c r="Q20" s="118"/>
      <c r="R20" s="111"/>
      <c r="S20" s="115"/>
      <c r="T20" s="116"/>
      <c r="U20" s="116"/>
      <c r="V20" s="116"/>
      <c r="W20" s="118"/>
      <c r="X20" s="111"/>
      <c r="Y20" s="119"/>
      <c r="Z20" s="7"/>
    </row>
    <row r="21">
      <c r="A21" s="7"/>
      <c r="B21" s="110"/>
      <c r="C21" s="111"/>
      <c r="D21" s="120" t="str">
        <f>if(I$2&gt;0,"Set 1","")</f>
        <v>Set 1</v>
      </c>
      <c r="E21" s="121">
        <f>if(Squadra!B34&gt;0,Squadra!B34,0)</f>
        <v>2</v>
      </c>
      <c r="F21" s="122">
        <f>Squadra!B41</f>
        <v>18</v>
      </c>
      <c r="G21" s="122">
        <f>Squadra!I27</f>
        <v>0</v>
      </c>
      <c r="H21" s="123">
        <f>if(I3&gt;I2,abs(I3-(E21+F21+G21)),abs(I2-(E21+F21+G21)))</f>
        <v>5</v>
      </c>
      <c r="I21" s="124"/>
      <c r="J21" s="125">
        <f>Squadra!G34</f>
        <v>23</v>
      </c>
      <c r="K21" s="126">
        <f>Squadra!F34</f>
        <v>1</v>
      </c>
      <c r="L21" s="127">
        <f>Squadra!B34</f>
        <v>2</v>
      </c>
      <c r="M21" s="128"/>
      <c r="N21" s="129">
        <f>Squadra!G27</f>
        <v>16</v>
      </c>
      <c r="O21" s="126">
        <f>Squadra!F27</f>
        <v>1</v>
      </c>
      <c r="P21" s="130">
        <f>Squadra!B30</f>
        <v>0.6875</v>
      </c>
      <c r="Q21" s="131">
        <f>if(Squadra!B27&gt;0,Squadra!B27/Squadra!G27,"-")</f>
        <v>0.25</v>
      </c>
      <c r="R21" s="128"/>
      <c r="S21" s="129">
        <f>Squadra!H41</f>
        <v>48</v>
      </c>
      <c r="T21" s="126">
        <f>Squadra!G41</f>
        <v>4</v>
      </c>
      <c r="U21" s="126">
        <f>Squadra!I27</f>
        <v>0</v>
      </c>
      <c r="V21" s="126">
        <f>Squadra!B41</f>
        <v>18</v>
      </c>
      <c r="W21" s="131">
        <f>if(Squadra!B41&gt;0,Squadra!B41/Squadra!H41,"-")</f>
        <v>0.375</v>
      </c>
      <c r="X21" s="128"/>
      <c r="Y21" s="132" t="str">
        <f>if(Squadra!I27&gt;0,Squadra!I27,"-")</f>
        <v>-</v>
      </c>
      <c r="Z21" s="133"/>
    </row>
    <row r="22">
      <c r="A22" s="7"/>
      <c r="B22" s="110"/>
      <c r="C22" s="111"/>
      <c r="D22" s="134" t="str">
        <f>if(J$2&gt;0,"Set 2","")</f>
        <v>Set 2</v>
      </c>
      <c r="E22" s="135">
        <f>if(Squadra!B56&gt;0,Squadra!B56,0)</f>
        <v>0</v>
      </c>
      <c r="F22" s="136">
        <f>Squadra!B63</f>
        <v>14</v>
      </c>
      <c r="G22" s="136">
        <f>Squadra!I49</f>
        <v>2</v>
      </c>
      <c r="H22" s="137">
        <f>if(J3&gt;J2,abs(J3-(E22+F22+G22)),abs(J2-(E22+F22+G22)))</f>
        <v>9</v>
      </c>
      <c r="I22" s="138"/>
      <c r="J22" s="139">
        <f>Squadra!G56</f>
        <v>25</v>
      </c>
      <c r="K22" s="140">
        <f>Squadra!F56</f>
        <v>1</v>
      </c>
      <c r="L22" s="141">
        <f>Squadra!B56</f>
        <v>0</v>
      </c>
      <c r="M22" s="142"/>
      <c r="N22" s="143">
        <f>Squadra!G49</f>
        <v>20</v>
      </c>
      <c r="O22" s="140">
        <f>Squadra!F49</f>
        <v>3</v>
      </c>
      <c r="P22" s="144">
        <f>Squadra!B52</f>
        <v>0.6</v>
      </c>
      <c r="Q22" s="145">
        <f>if(Squadra!B49&gt;0,(Squadra!B49/Squadra!G49),"-")</f>
        <v>0.2</v>
      </c>
      <c r="R22" s="142"/>
      <c r="S22" s="143">
        <f>Squadra!H63</f>
        <v>41</v>
      </c>
      <c r="T22" s="140">
        <f>Squadra!G63</f>
        <v>9</v>
      </c>
      <c r="U22" s="140">
        <f>Squadra!I49</f>
        <v>2</v>
      </c>
      <c r="V22" s="140">
        <f>Squadra!B63</f>
        <v>14</v>
      </c>
      <c r="W22" s="145">
        <f>if(Squadra!B63&gt;0,Squadra!B63/Squadra!H63,"-")</f>
        <v>0.3414634146</v>
      </c>
      <c r="X22" s="142"/>
      <c r="Y22" s="146">
        <f>if(Squadra!I49&gt;0,Squadra!I49,"-")</f>
        <v>2</v>
      </c>
      <c r="Z22" s="133"/>
    </row>
    <row r="23">
      <c r="A23" s="7"/>
      <c r="B23" s="110"/>
      <c r="C23" s="111"/>
      <c r="D23" s="134" t="str">
        <f>if(K$2&gt;0,"Set 3","")</f>
        <v>Set 3</v>
      </c>
      <c r="E23" s="147">
        <f>if(Squadra!B79&gt;0,Squadra!B79,0)</f>
        <v>3</v>
      </c>
      <c r="F23" s="148">
        <f>Squadra!B86</f>
        <v>17</v>
      </c>
      <c r="G23" s="148">
        <f>Squadra!I72</f>
        <v>0</v>
      </c>
      <c r="H23" s="149">
        <f>if(K3&gt;K2,abs(I3-(E23+F23+G23)),abs(K2-(E23+F23+G23)))</f>
        <v>5</v>
      </c>
      <c r="I23" s="150"/>
      <c r="J23" s="151">
        <f>Squadra!G79</f>
        <v>24</v>
      </c>
      <c r="K23" s="152">
        <f>Squadra!F79</f>
        <v>3</v>
      </c>
      <c r="L23" s="153">
        <f>Squadra!B79</f>
        <v>3</v>
      </c>
      <c r="M23" s="154"/>
      <c r="N23" s="155">
        <f>Squadra!G72</f>
        <v>13</v>
      </c>
      <c r="O23" s="152">
        <f>Squadra!F72</f>
        <v>0</v>
      </c>
      <c r="P23" s="156">
        <f>Squadra!B75</f>
        <v>0.6153846154</v>
      </c>
      <c r="Q23" s="157">
        <f>if(Squadra!B72&gt;0,Squadra!B72/Squadra!G72,"-")</f>
        <v>0.1538461538</v>
      </c>
      <c r="R23" s="154"/>
      <c r="S23" s="155">
        <f>Squadra!H86</f>
        <v>44</v>
      </c>
      <c r="T23" s="152">
        <f>Squadra!G86</f>
        <v>3</v>
      </c>
      <c r="U23" s="152">
        <f>Squadra!I72</f>
        <v>0</v>
      </c>
      <c r="V23" s="152">
        <f>Squadra!B86</f>
        <v>17</v>
      </c>
      <c r="W23" s="157">
        <f>if(Squadra!B86&gt;0,Squadra!B86/Squadra!H86,"-")</f>
        <v>0.3863636364</v>
      </c>
      <c r="X23" s="154"/>
      <c r="Y23" s="158" t="str">
        <f>if(Squadra!I72&gt;0,Squadra!I72,"-")</f>
        <v>-</v>
      </c>
      <c r="Z23" s="133"/>
    </row>
    <row r="24">
      <c r="A24" s="7"/>
      <c r="B24" s="110"/>
      <c r="C24" s="111"/>
      <c r="D24" s="159" t="str">
        <f>if(L$2&gt;0,"Set 4","")</f>
        <v>Set 4</v>
      </c>
      <c r="E24" s="160">
        <f>if(D24&lt;&gt;"",if(Squadra!B102&gt;0,Squadra!B102,0),"")</f>
        <v>3</v>
      </c>
      <c r="F24" s="161">
        <f>if(D24&lt;&gt;"",if(Squadra!B109&gt;0,Squadra!B109,0),"")</f>
        <v>13</v>
      </c>
      <c r="G24" s="161">
        <f>if(D24&lt;&gt;"",if(Squadra!I95&gt;0,Squadra!I95,0),"")</f>
        <v>1</v>
      </c>
      <c r="H24" s="162">
        <f>if(D24&lt;&gt;"",if(L3&gt;L2,abs(L3-(E24+F24+G24)),abs(L2-(E24+F24+G24))),"")</f>
        <v>8</v>
      </c>
      <c r="I24" s="163"/>
      <c r="J24" s="164">
        <f>if(D24&lt;&gt;"",IF(Squadra!G102=0,"0",Squadra!G102),"")</f>
        <v>25</v>
      </c>
      <c r="K24" s="161">
        <f>if(D24&lt;&gt;"",IF(Squadra!F102=0,"0",Squadra!F102),"")</f>
        <v>1</v>
      </c>
      <c r="L24" s="165">
        <f>if(D24&lt;&gt;"",IF(Squadra!F102=0,"0",Squadra!F102),"")</f>
        <v>1</v>
      </c>
      <c r="M24" s="166"/>
      <c r="N24" s="164">
        <f>if(D24&lt;&gt;"",IF(Squadra!G95&gt;0,Squadra!G95,"0"),"")</f>
        <v>12</v>
      </c>
      <c r="O24" s="167" t="str">
        <f>if(D24&lt;&gt;"",if(Squadra!F95&gt;0,Squadra!F95,"0"),"")</f>
        <v>0</v>
      </c>
      <c r="P24" s="168">
        <f>if(D24&lt;&gt;"",if(Squadra!B95&gt;0,Squadra!B98,"0"),"")</f>
        <v>0.5833333333</v>
      </c>
      <c r="Q24" s="169">
        <f>if(D24&lt;&gt;"",if(Squadra!B95&gt;0,Squadra!B95/Squadra!G95,"0"),"")</f>
        <v>0.08333333333</v>
      </c>
      <c r="R24" s="166"/>
      <c r="S24" s="164">
        <f>if(D24&lt;&gt;"",if(Squadra!H109&gt;0,Squadra!H109,"-"),"")</f>
        <v>30</v>
      </c>
      <c r="T24" s="171">
        <f>if(D24&lt;&gt;"",if(Squadra!G109&gt;0,Squadra!G109,"-"),"")</f>
        <v>1</v>
      </c>
      <c r="U24" s="171">
        <f>if(D24&lt;&gt;"",if(Squadra!I95&gt;0,Squadra!I95,"0"),"")</f>
        <v>1</v>
      </c>
      <c r="V24" s="171">
        <f>if(D24&lt;&gt;"",if(Squadra!B109&gt;0,Squadra!B109,"0"),"")</f>
        <v>13</v>
      </c>
      <c r="W24" s="169">
        <f>if(D24&lt;&gt;"",if(Squadra!B109&gt;0,Squadra!B109/Squadra!H109,"0"),"")</f>
        <v>0.4333333333</v>
      </c>
      <c r="X24" s="166"/>
      <c r="Y24" s="175">
        <f>if(D24&lt;&gt;"",if(Squadra!I95&gt;0,Squadra!I95,"0"),"")</f>
        <v>1</v>
      </c>
      <c r="Z24" s="7"/>
    </row>
    <row r="25">
      <c r="A25" s="7"/>
      <c r="B25" s="177"/>
      <c r="C25" s="179"/>
      <c r="D25" s="181" t="str">
        <f>If(M2="","","Set 5")</f>
        <v/>
      </c>
      <c r="E25" s="182" t="str">
        <f>if(D25&lt;&gt;"",if(Squadra!B125&gt;0,Squadra!B125,0),"")</f>
        <v/>
      </c>
      <c r="F25" s="183" t="str">
        <f>if($D$25&lt;&gt;"",if(Squadra!B132&gt;0,Squadra!B132,0),"")</f>
        <v/>
      </c>
      <c r="G25" s="184" t="str">
        <f>if(D25&lt;&gt;"",if(Squadra!I118&gt;0,Squadra!I118,"0"),"")</f>
        <v/>
      </c>
      <c r="H25" s="185" t="str">
        <f>if(D25&lt;&gt;"",if(M3&gt;M2,abs(M3-(E25+F25+G25)),abs(M2-(E25+F25+G25))),"")</f>
        <v/>
      </c>
      <c r="I25" s="186"/>
      <c r="J25" s="187" t="str">
        <f>if(D25&lt;&gt;"",IF(Squadra!G125=0,"0",Squadra!G125),"")</f>
        <v/>
      </c>
      <c r="K25" s="188" t="str">
        <f>if(D25&lt;&gt;"",IF(Squadra!G125=0,"0",Squadra!F125),"")</f>
        <v/>
      </c>
      <c r="L25" s="185" t="str">
        <f>if(D25&lt;&gt;"",IF(Squadra!G125=0,"0",Squadra!B125),"")</f>
        <v/>
      </c>
      <c r="M25" s="190"/>
      <c r="N25" s="191" t="str">
        <f>if(D25&lt;&gt;"",if(Squadra!G118&gt;0,Squadra!G118,"0"),"")</f>
        <v/>
      </c>
      <c r="O25" s="193" t="str">
        <f>if(D25&lt;&gt;"",if(Squadra!H118&gt;0,Squadra!H96,"0"),"")</f>
        <v/>
      </c>
      <c r="P25" s="193" t="str">
        <f>if(D25&lt;&gt;"",if(Squadra!B119&gt;0,Squadra!B119,"0"),"")</f>
        <v/>
      </c>
      <c r="Q25" s="194" t="str">
        <f>if(D25&lt;&gt;"",if(Squadra!B118&gt;0,Squadra!B118/Squadra!G118,"0"),"")</f>
        <v/>
      </c>
      <c r="R25" s="190"/>
      <c r="S25" s="191" t="str">
        <f>if(D25&lt;&gt;"",if(Squadra!H132&gt;0,Squadra!H132,"0"),"")</f>
        <v/>
      </c>
      <c r="T25" s="193" t="str">
        <f>if(D25&lt;&gt;"",if(Squadra!G132&gt;0,Squadra!G132,"0"),"")</f>
        <v/>
      </c>
      <c r="U25" s="193" t="str">
        <f>if(D25&lt;&gt;"",if(Squadra!I118&gt;0,Squadra!I118,"0"),"")</f>
        <v/>
      </c>
      <c r="V25" s="193" t="str">
        <f>if(D25&lt;&gt;"",if(Squadra!B132&gt;0,Squadra!B132,"0"),)</f>
        <v/>
      </c>
      <c r="W25" s="194" t="str">
        <f>if(D25&lt;&gt;"",if(Squadra!B132&gt;0,Squadra!B132/Squadra!H132,"0"),"")</f>
        <v/>
      </c>
      <c r="X25" s="190"/>
      <c r="Y25" s="195" t="str">
        <f>if(D25&lt;&gt;"",if(Squadra!I118&gt;0,Squadra!I118,"0"),"")</f>
        <v/>
      </c>
      <c r="Z25" s="7"/>
    </row>
    <row r="26">
      <c r="A26" s="7"/>
      <c r="B26" s="196"/>
      <c r="C26" s="7"/>
      <c r="D26" s="196"/>
      <c r="E26" s="197"/>
      <c r="F26" s="197"/>
      <c r="G26" s="197"/>
      <c r="H26" s="198"/>
      <c r="I26" s="198"/>
      <c r="J26" s="198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96" t="s">
        <v>71</v>
      </c>
      <c r="C27" s="7"/>
      <c r="D27" s="196" t="s">
        <v>72</v>
      </c>
      <c r="E27" s="197"/>
      <c r="F27" s="197"/>
      <c r="G27" s="197" t="s">
        <v>73</v>
      </c>
      <c r="H27" s="198"/>
      <c r="I27" s="198"/>
      <c r="J27" s="200">
        <f>Squadra!K11-O19</f>
        <v>29</v>
      </c>
      <c r="K27" s="201" t="s">
        <v>74</v>
      </c>
      <c r="L27" s="4"/>
      <c r="M27" s="203">
        <f>Squadra!J7</f>
        <v>2</v>
      </c>
      <c r="N27" s="201" t="s">
        <v>75</v>
      </c>
      <c r="O27" s="4"/>
      <c r="P27" s="4"/>
      <c r="Q27" s="204">
        <f>Squadra!J5</f>
        <v>4</v>
      </c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96" t="s">
        <v>77</v>
      </c>
      <c r="C28" s="7"/>
      <c r="D28" s="205" t="s">
        <v>78</v>
      </c>
      <c r="E28" s="197"/>
      <c r="F28" s="197"/>
      <c r="G28" s="197" t="s">
        <v>79</v>
      </c>
      <c r="H28" s="198"/>
      <c r="I28" s="198"/>
      <c r="J28" s="200">
        <f>I3+J3+K3+L3+M3-Squadra!J11</f>
        <v>38</v>
      </c>
      <c r="K28" s="7"/>
      <c r="L28" s="2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196" t="s">
        <v>80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206"/>
      <c r="D31" s="206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B32" s="207"/>
    </row>
    <row r="33">
      <c r="B33" s="208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</cols>
  <sheetData>
    <row r="1">
      <c r="A1" s="33"/>
      <c r="B1" s="33"/>
    </row>
    <row r="2">
      <c r="A2" s="60" t="s">
        <v>14</v>
      </c>
      <c r="B2" s="61">
        <v>43032.0</v>
      </c>
    </row>
    <row r="3">
      <c r="A3" s="60" t="s">
        <v>19</v>
      </c>
      <c r="B3" s="70" t="s">
        <v>20</v>
      </c>
    </row>
    <row r="4">
      <c r="A4" s="60" t="s">
        <v>33</v>
      </c>
      <c r="B4" s="71" t="s">
        <v>35</v>
      </c>
    </row>
    <row r="5">
      <c r="A5" s="60" t="s">
        <v>36</v>
      </c>
      <c r="B5" s="72" t="s">
        <v>37</v>
      </c>
    </row>
    <row r="6">
      <c r="A6" s="60" t="s">
        <v>38</v>
      </c>
      <c r="B6" s="70">
        <v>25.0</v>
      </c>
    </row>
    <row r="7">
      <c r="A7" s="60" t="s">
        <v>39</v>
      </c>
      <c r="B7" s="70">
        <v>15.0</v>
      </c>
    </row>
    <row r="8">
      <c r="A8" s="60" t="s">
        <v>40</v>
      </c>
      <c r="B8" s="70">
        <v>23.0</v>
      </c>
    </row>
    <row r="9">
      <c r="A9" s="60" t="s">
        <v>41</v>
      </c>
      <c r="B9" s="70">
        <v>25.0</v>
      </c>
    </row>
    <row r="10">
      <c r="A10" s="60" t="s">
        <v>42</v>
      </c>
      <c r="B10" s="70">
        <v>25.0</v>
      </c>
    </row>
    <row r="11">
      <c r="A11" s="60" t="s">
        <v>43</v>
      </c>
      <c r="B11" s="70">
        <v>13.0</v>
      </c>
    </row>
    <row r="12">
      <c r="A12" s="60" t="s">
        <v>44</v>
      </c>
      <c r="B12" s="73">
        <v>25.0</v>
      </c>
    </row>
    <row r="13">
      <c r="A13" s="60" t="s">
        <v>45</v>
      </c>
      <c r="B13" s="73">
        <v>14.0</v>
      </c>
    </row>
    <row r="14">
      <c r="A14" s="60" t="s">
        <v>46</v>
      </c>
      <c r="B14" s="73"/>
    </row>
    <row r="15">
      <c r="A15" s="60" t="s">
        <v>47</v>
      </c>
      <c r="B15" s="7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35" t="s">
        <v>13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  <c r="AH1" s="37"/>
      <c r="AI1" s="37"/>
    </row>
    <row r="2" ht="12.75" customHeight="1">
      <c r="A2" s="38"/>
      <c r="B2" s="39">
        <v>14.0</v>
      </c>
      <c r="C2" s="41" t="s">
        <v>15</v>
      </c>
      <c r="D2" s="41" t="s">
        <v>16</v>
      </c>
      <c r="E2" s="41" t="s">
        <v>17</v>
      </c>
      <c r="F2" s="41" t="s">
        <v>17</v>
      </c>
      <c r="G2" s="41" t="s">
        <v>18</v>
      </c>
      <c r="H2" s="41"/>
      <c r="I2" s="41"/>
      <c r="J2" s="41"/>
      <c r="K2" s="41"/>
      <c r="L2" s="41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5"/>
      <c r="AB2" s="45"/>
      <c r="AC2" s="45"/>
      <c r="AD2" s="45"/>
      <c r="AE2" s="45"/>
      <c r="AF2" s="45"/>
      <c r="AG2" s="62"/>
      <c r="AH2" s="37"/>
      <c r="AI2" s="37"/>
    </row>
    <row r="3" ht="12.75" customHeight="1">
      <c r="A3" s="38"/>
      <c r="B3" s="39">
        <v>3.0</v>
      </c>
      <c r="C3" s="41" t="s">
        <v>15</v>
      </c>
      <c r="D3" s="41" t="s">
        <v>18</v>
      </c>
      <c r="E3" s="41" t="s">
        <v>21</v>
      </c>
      <c r="F3" s="41" t="s">
        <v>18</v>
      </c>
      <c r="G3" s="41" t="s">
        <v>15</v>
      </c>
      <c r="H3" s="41" t="s">
        <v>21</v>
      </c>
      <c r="I3" s="41" t="s">
        <v>17</v>
      </c>
      <c r="J3" s="41" t="s">
        <v>15</v>
      </c>
      <c r="K3" s="41" t="s">
        <v>17</v>
      </c>
      <c r="L3" s="41" t="s">
        <v>15</v>
      </c>
      <c r="M3" s="41" t="s">
        <v>17</v>
      </c>
      <c r="N3" s="41" t="s">
        <v>17</v>
      </c>
      <c r="O3" s="41" t="s">
        <v>22</v>
      </c>
      <c r="P3" s="41" t="s">
        <v>18</v>
      </c>
      <c r="Q3" s="41" t="s">
        <v>18</v>
      </c>
      <c r="R3" s="41" t="s">
        <v>15</v>
      </c>
      <c r="S3" s="41" t="s">
        <v>15</v>
      </c>
      <c r="T3" s="41" t="s">
        <v>17</v>
      </c>
      <c r="U3" s="41" t="s">
        <v>18</v>
      </c>
      <c r="V3" s="41" t="s">
        <v>17</v>
      </c>
      <c r="W3" s="43"/>
      <c r="X3" s="43"/>
      <c r="Y3" s="43"/>
      <c r="Z3" s="43"/>
      <c r="AA3" s="45"/>
      <c r="AB3" s="45"/>
      <c r="AC3" s="45"/>
      <c r="AD3" s="45"/>
      <c r="AE3" s="45"/>
      <c r="AF3" s="45"/>
      <c r="AG3" s="62"/>
      <c r="AH3" s="37"/>
      <c r="AI3" s="37"/>
    </row>
    <row r="4" ht="12.75" customHeight="1">
      <c r="A4" s="38"/>
      <c r="B4" s="39">
        <v>16.0</v>
      </c>
      <c r="C4" s="41" t="s">
        <v>15</v>
      </c>
      <c r="D4" s="41" t="s">
        <v>15</v>
      </c>
      <c r="E4" s="41" t="s">
        <v>18</v>
      </c>
      <c r="F4" s="41" t="s">
        <v>23</v>
      </c>
      <c r="G4" s="41" t="s">
        <v>17</v>
      </c>
      <c r="H4" s="41" t="s">
        <v>17</v>
      </c>
      <c r="I4" s="41" t="s">
        <v>17</v>
      </c>
      <c r="J4" s="41" t="s">
        <v>23</v>
      </c>
      <c r="K4" s="41" t="s">
        <v>18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63"/>
      <c r="AB4" s="63"/>
      <c r="AC4" s="63"/>
      <c r="AD4" s="63"/>
      <c r="AE4" s="63"/>
      <c r="AF4" s="63"/>
      <c r="AG4" s="64"/>
      <c r="AH4" s="65"/>
      <c r="AI4" s="65"/>
    </row>
    <row r="5" ht="12.75" customHeight="1">
      <c r="A5" s="38"/>
      <c r="B5" s="39">
        <v>10.0</v>
      </c>
      <c r="C5" s="41" t="s">
        <v>18</v>
      </c>
      <c r="D5" s="41" t="s">
        <v>18</v>
      </c>
      <c r="E5" s="41" t="s">
        <v>17</v>
      </c>
      <c r="F5" s="41" t="s">
        <v>17</v>
      </c>
      <c r="G5" s="41" t="s">
        <v>17</v>
      </c>
      <c r="H5" s="41" t="s">
        <v>17</v>
      </c>
      <c r="I5" s="41" t="s">
        <v>17</v>
      </c>
      <c r="J5" s="41" t="s">
        <v>18</v>
      </c>
      <c r="K5" s="41" t="s">
        <v>18</v>
      </c>
      <c r="L5" s="41" t="s">
        <v>17</v>
      </c>
      <c r="M5" s="41" t="s">
        <v>24</v>
      </c>
      <c r="N5" s="41" t="s">
        <v>17</v>
      </c>
      <c r="O5" s="41"/>
      <c r="P5" s="41"/>
      <c r="Q5" s="41"/>
      <c r="R5" s="41"/>
      <c r="S5" s="43"/>
      <c r="T5" s="43"/>
      <c r="U5" s="43"/>
      <c r="V5" s="43"/>
      <c r="W5" s="43"/>
      <c r="X5" s="43"/>
      <c r="Y5" s="43"/>
      <c r="Z5" s="43"/>
      <c r="AA5" s="45"/>
      <c r="AB5" s="45"/>
      <c r="AC5" s="45"/>
      <c r="AD5" s="45"/>
      <c r="AE5" s="45"/>
      <c r="AF5" s="45"/>
      <c r="AG5" s="62"/>
      <c r="AH5" s="37"/>
      <c r="AI5" s="37"/>
    </row>
    <row r="6" ht="12.75" customHeight="1">
      <c r="A6" s="38"/>
      <c r="B6" s="39">
        <v>7.0</v>
      </c>
      <c r="C6" s="41" t="s">
        <v>24</v>
      </c>
      <c r="D6" s="41" t="s">
        <v>17</v>
      </c>
      <c r="E6" s="41" t="s">
        <v>18</v>
      </c>
      <c r="F6" s="41" t="s">
        <v>15</v>
      </c>
      <c r="G6" s="41" t="s">
        <v>25</v>
      </c>
      <c r="H6" s="41" t="s">
        <v>18</v>
      </c>
      <c r="I6" s="41" t="s">
        <v>15</v>
      </c>
      <c r="J6" s="41" t="s">
        <v>21</v>
      </c>
      <c r="K6" s="41" t="s">
        <v>26</v>
      </c>
      <c r="L6" s="41" t="s">
        <v>15</v>
      </c>
      <c r="M6" s="41" t="s">
        <v>21</v>
      </c>
      <c r="N6" s="41" t="s">
        <v>26</v>
      </c>
      <c r="O6" s="41" t="s">
        <v>25</v>
      </c>
      <c r="P6" s="41"/>
      <c r="Q6" s="41"/>
      <c r="R6" s="41"/>
      <c r="S6" s="41"/>
      <c r="T6" s="41"/>
      <c r="U6" s="41"/>
      <c r="V6" s="41"/>
      <c r="W6" s="41"/>
      <c r="X6" s="41"/>
      <c r="Y6" s="41"/>
      <c r="Z6" s="43"/>
      <c r="AA6" s="45"/>
      <c r="AB6" s="45"/>
      <c r="AC6" s="45"/>
      <c r="AD6" s="45"/>
      <c r="AE6" s="45"/>
      <c r="AF6" s="45"/>
      <c r="AG6" s="62"/>
      <c r="AH6" s="37"/>
      <c r="AI6" s="37"/>
    </row>
    <row r="7" ht="12.75" customHeight="1">
      <c r="A7" s="38"/>
      <c r="B7" s="39">
        <v>18.0</v>
      </c>
      <c r="C7" s="41" t="s">
        <v>27</v>
      </c>
      <c r="D7" s="41" t="s">
        <v>26</v>
      </c>
      <c r="E7" s="41" t="s">
        <v>18</v>
      </c>
      <c r="F7" s="41" t="s">
        <v>25</v>
      </c>
      <c r="G7" s="41" t="s">
        <v>15</v>
      </c>
      <c r="H7" s="41" t="s">
        <v>28</v>
      </c>
      <c r="I7" s="41" t="s">
        <v>18</v>
      </c>
      <c r="J7" s="41" t="s">
        <v>15</v>
      </c>
      <c r="K7" s="41" t="s">
        <v>18</v>
      </c>
      <c r="L7" s="41" t="s">
        <v>17</v>
      </c>
      <c r="M7" s="41" t="s">
        <v>26</v>
      </c>
      <c r="N7" s="41" t="s">
        <v>25</v>
      </c>
      <c r="O7" s="41" t="s">
        <v>26</v>
      </c>
      <c r="P7" s="41" t="s">
        <v>15</v>
      </c>
      <c r="Q7" s="41" t="s">
        <v>18</v>
      </c>
      <c r="R7" s="41" t="s">
        <v>18</v>
      </c>
      <c r="S7" s="41" t="s">
        <v>18</v>
      </c>
      <c r="T7" s="41" t="s">
        <v>15</v>
      </c>
      <c r="U7" s="41" t="s">
        <v>18</v>
      </c>
      <c r="V7" s="41" t="s">
        <v>18</v>
      </c>
      <c r="W7" s="41" t="s">
        <v>18</v>
      </c>
      <c r="X7" s="41" t="s">
        <v>15</v>
      </c>
      <c r="Y7" s="41" t="s">
        <v>18</v>
      </c>
      <c r="Z7" s="41" t="s">
        <v>18</v>
      </c>
      <c r="AA7" s="63" t="s">
        <v>18</v>
      </c>
      <c r="AB7" s="63" t="s">
        <v>15</v>
      </c>
      <c r="AC7" s="45"/>
      <c r="AD7" s="45"/>
      <c r="AE7" s="45"/>
      <c r="AF7" s="45"/>
      <c r="AG7" s="62"/>
      <c r="AH7" s="37"/>
      <c r="AI7" s="37"/>
    </row>
    <row r="8" ht="12.75" customHeight="1">
      <c r="A8" s="38"/>
      <c r="B8" s="39">
        <v>11.0</v>
      </c>
      <c r="C8" s="41" t="s">
        <v>28</v>
      </c>
      <c r="D8" s="41" t="s">
        <v>26</v>
      </c>
      <c r="E8" s="41" t="s">
        <v>28</v>
      </c>
      <c r="F8" s="41" t="s">
        <v>28</v>
      </c>
      <c r="G8" s="41" t="s">
        <v>26</v>
      </c>
      <c r="H8" s="41"/>
      <c r="I8" s="41"/>
      <c r="J8" s="41"/>
      <c r="K8" s="41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5"/>
      <c r="AB8" s="45"/>
      <c r="AC8" s="45"/>
      <c r="AD8" s="45"/>
      <c r="AE8" s="45"/>
      <c r="AF8" s="45"/>
      <c r="AG8" s="62"/>
      <c r="AH8" s="37"/>
      <c r="AI8" s="37"/>
    </row>
    <row r="9" ht="12.75" customHeight="1">
      <c r="A9" s="38"/>
      <c r="B9" s="39"/>
      <c r="C9" s="41"/>
      <c r="D9" s="41"/>
      <c r="E9" s="41"/>
      <c r="F9" s="41"/>
      <c r="G9" s="41"/>
      <c r="H9" s="41"/>
      <c r="I9" s="41"/>
      <c r="J9" s="41"/>
      <c r="K9" s="41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5"/>
      <c r="AB9" s="45"/>
      <c r="AC9" s="45"/>
      <c r="AD9" s="45"/>
      <c r="AE9" s="45"/>
      <c r="AF9" s="45"/>
      <c r="AG9" s="62"/>
      <c r="AH9" s="37"/>
      <c r="AI9" s="37"/>
    </row>
    <row r="10" ht="12.75" customHeight="1">
      <c r="A10" s="38"/>
      <c r="B10" s="66"/>
      <c r="C10" s="41"/>
      <c r="D10" s="41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5"/>
      <c r="AB10" s="45"/>
      <c r="AC10" s="45"/>
      <c r="AD10" s="45"/>
      <c r="AE10" s="45"/>
      <c r="AF10" s="45"/>
      <c r="AG10" s="62"/>
      <c r="AH10" s="37"/>
      <c r="AI10" s="37"/>
    </row>
    <row r="11" ht="12.75" customHeight="1">
      <c r="A11" s="38"/>
      <c r="B11" s="67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5"/>
      <c r="AB11" s="45"/>
      <c r="AC11" s="45"/>
      <c r="AD11" s="45"/>
      <c r="AE11" s="45"/>
      <c r="AF11" s="45"/>
      <c r="AG11" s="62"/>
      <c r="AH11" s="37"/>
      <c r="AI11" s="37"/>
    </row>
    <row r="12" ht="12.75" customHeight="1">
      <c r="A12" s="38"/>
      <c r="B12" s="67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5"/>
      <c r="AB12" s="45"/>
      <c r="AC12" s="45"/>
      <c r="AD12" s="45"/>
      <c r="AE12" s="45"/>
      <c r="AF12" s="45"/>
      <c r="AG12" s="62"/>
      <c r="AH12" s="37"/>
      <c r="AI12" s="37"/>
    </row>
    <row r="13" ht="12.75" customHeight="1">
      <c r="A13" s="38"/>
      <c r="B13" s="68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5"/>
      <c r="AB13" s="45"/>
      <c r="AC13" s="45"/>
      <c r="AD13" s="45"/>
      <c r="AE13" s="45"/>
      <c r="AF13" s="45"/>
      <c r="AG13" s="62"/>
      <c r="AH13" s="37"/>
      <c r="AI13" s="37"/>
    </row>
    <row r="14" ht="12.75" customHeight="1">
      <c r="A14" s="37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37"/>
      <c r="AH14" s="37"/>
      <c r="AI14" s="37"/>
    </row>
    <row r="15" ht="12.75" customHeight="1">
      <c r="A15" s="35" t="s">
        <v>29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7"/>
      <c r="AH15" s="37"/>
      <c r="AI15" s="37"/>
    </row>
    <row r="16" ht="12.75" customHeight="1">
      <c r="A16" s="38"/>
      <c r="B16" s="39">
        <v>14.0</v>
      </c>
      <c r="C16" s="41" t="s">
        <v>17</v>
      </c>
      <c r="D16" s="41" t="s">
        <v>17</v>
      </c>
      <c r="E16" s="41" t="s">
        <v>17</v>
      </c>
      <c r="F16" s="41" t="s">
        <v>22</v>
      </c>
      <c r="G16" s="41" t="s">
        <v>17</v>
      </c>
      <c r="H16" s="41" t="s">
        <v>16</v>
      </c>
      <c r="I16" s="41"/>
      <c r="J16" s="41"/>
      <c r="K16" s="41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5"/>
      <c r="AB16" s="45"/>
      <c r="AC16" s="45"/>
      <c r="AD16" s="45"/>
      <c r="AE16" s="45"/>
      <c r="AF16" s="45"/>
      <c r="AG16" s="62"/>
      <c r="AH16" s="37"/>
      <c r="AI16" s="37"/>
    </row>
    <row r="17" ht="12.75" customHeight="1">
      <c r="A17" s="38"/>
      <c r="B17" s="39">
        <v>3.0</v>
      </c>
      <c r="C17" s="41" t="s">
        <v>18</v>
      </c>
      <c r="D17" s="41" t="s">
        <v>21</v>
      </c>
      <c r="E17" s="41" t="s">
        <v>18</v>
      </c>
      <c r="F17" s="41" t="s">
        <v>21</v>
      </c>
      <c r="G17" s="41" t="s">
        <v>18</v>
      </c>
      <c r="H17" s="41" t="s">
        <v>30</v>
      </c>
      <c r="I17" s="41" t="s">
        <v>17</v>
      </c>
      <c r="J17" s="41" t="s">
        <v>18</v>
      </c>
      <c r="K17" s="41" t="s">
        <v>17</v>
      </c>
      <c r="L17" s="41" t="s">
        <v>18</v>
      </c>
      <c r="M17" s="41" t="s">
        <v>17</v>
      </c>
      <c r="N17" s="41" t="s">
        <v>18</v>
      </c>
      <c r="O17" s="41" t="s">
        <v>15</v>
      </c>
      <c r="P17" s="41" t="s">
        <v>18</v>
      </c>
      <c r="Q17" s="41"/>
      <c r="R17" s="41"/>
      <c r="S17" s="41"/>
      <c r="T17" s="41"/>
      <c r="U17" s="41"/>
      <c r="V17" s="43"/>
      <c r="W17" s="43"/>
      <c r="X17" s="43"/>
      <c r="Y17" s="43"/>
      <c r="Z17" s="43"/>
      <c r="AA17" s="45"/>
      <c r="AB17" s="45"/>
      <c r="AC17" s="45"/>
      <c r="AD17" s="45"/>
      <c r="AE17" s="45"/>
      <c r="AF17" s="45"/>
      <c r="AG17" s="62"/>
      <c r="AH17" s="37"/>
      <c r="AI17" s="37"/>
    </row>
    <row r="18" ht="12.75" customHeight="1">
      <c r="A18" s="38"/>
      <c r="B18" s="39">
        <v>16.0</v>
      </c>
      <c r="C18" s="41" t="s">
        <v>15</v>
      </c>
      <c r="D18" s="41" t="s">
        <v>17</v>
      </c>
      <c r="E18" s="41" t="s">
        <v>17</v>
      </c>
      <c r="F18" s="41" t="s">
        <v>15</v>
      </c>
      <c r="G18" s="41" t="s">
        <v>15</v>
      </c>
      <c r="H18" s="41" t="s">
        <v>30</v>
      </c>
      <c r="I18" s="41" t="s">
        <v>18</v>
      </c>
      <c r="J18" s="41" t="s">
        <v>17</v>
      </c>
      <c r="K18" s="41" t="s">
        <v>17</v>
      </c>
      <c r="L18" s="41"/>
      <c r="M18" s="41"/>
      <c r="N18" s="41"/>
      <c r="O18" s="41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5"/>
      <c r="AB18" s="45"/>
      <c r="AC18" s="45"/>
      <c r="AD18" s="45"/>
      <c r="AE18" s="45"/>
      <c r="AF18" s="45"/>
      <c r="AG18" s="62"/>
      <c r="AH18" s="37"/>
      <c r="AI18" s="37"/>
    </row>
    <row r="19" ht="12.75" customHeight="1">
      <c r="A19" s="38"/>
      <c r="B19" s="39">
        <v>10.0</v>
      </c>
      <c r="C19" s="41" t="s">
        <v>15</v>
      </c>
      <c r="D19" s="41" t="s">
        <v>15</v>
      </c>
      <c r="E19" s="41" t="s">
        <v>17</v>
      </c>
      <c r="F19" s="41" t="s">
        <v>17</v>
      </c>
      <c r="G19" s="41" t="s">
        <v>17</v>
      </c>
      <c r="H19" s="41" t="s">
        <v>18</v>
      </c>
      <c r="I19" s="41" t="s">
        <v>17</v>
      </c>
      <c r="J19" s="41" t="s">
        <v>18</v>
      </c>
      <c r="K19" s="41" t="s">
        <v>15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3"/>
      <c r="W19" s="43"/>
      <c r="X19" s="43"/>
      <c r="Y19" s="43"/>
      <c r="Z19" s="43"/>
      <c r="AA19" s="45"/>
      <c r="AB19" s="45"/>
      <c r="AC19" s="45"/>
      <c r="AD19" s="45"/>
      <c r="AE19" s="45"/>
      <c r="AF19" s="45"/>
      <c r="AG19" s="62"/>
      <c r="AH19" s="37"/>
      <c r="AI19" s="37"/>
    </row>
    <row r="20" ht="12.75" customHeight="1">
      <c r="A20" s="38"/>
      <c r="B20" s="39">
        <v>7.0</v>
      </c>
      <c r="C20" s="41" t="s">
        <v>18</v>
      </c>
      <c r="D20" s="41" t="s">
        <v>17</v>
      </c>
      <c r="E20" s="41" t="s">
        <v>21</v>
      </c>
      <c r="F20" s="41" t="s">
        <v>15</v>
      </c>
      <c r="G20" s="41" t="s">
        <v>26</v>
      </c>
      <c r="H20" s="41" t="s">
        <v>21</v>
      </c>
      <c r="I20" s="41" t="s">
        <v>25</v>
      </c>
      <c r="J20" s="41" t="s">
        <v>18</v>
      </c>
      <c r="K20" s="41" t="s">
        <v>15</v>
      </c>
      <c r="L20" s="41" t="s">
        <v>17</v>
      </c>
      <c r="M20" s="41" t="s">
        <v>21</v>
      </c>
      <c r="N20" s="41" t="s">
        <v>26</v>
      </c>
      <c r="O20" s="41" t="s">
        <v>28</v>
      </c>
      <c r="P20" s="41" t="s">
        <v>18</v>
      </c>
      <c r="Q20" s="41" t="s">
        <v>15</v>
      </c>
      <c r="R20" s="41" t="s">
        <v>21</v>
      </c>
      <c r="S20" s="41" t="s">
        <v>18</v>
      </c>
      <c r="T20" s="41" t="s">
        <v>15</v>
      </c>
      <c r="U20" s="41" t="s">
        <v>21</v>
      </c>
      <c r="V20" s="41" t="s">
        <v>26</v>
      </c>
      <c r="W20" s="41" t="s">
        <v>15</v>
      </c>
      <c r="X20" s="41" t="s">
        <v>17</v>
      </c>
      <c r="Y20" s="41" t="s">
        <v>17</v>
      </c>
      <c r="Z20" s="41" t="s">
        <v>18</v>
      </c>
      <c r="AA20" s="63" t="s">
        <v>17</v>
      </c>
      <c r="AB20" s="45"/>
      <c r="AC20" s="45"/>
      <c r="AD20" s="45"/>
      <c r="AE20" s="45"/>
      <c r="AF20" s="45"/>
      <c r="AG20" s="62"/>
      <c r="AH20" s="37"/>
      <c r="AI20" s="37"/>
    </row>
    <row r="21" ht="12.75" customHeight="1">
      <c r="A21" s="38"/>
      <c r="B21" s="39">
        <v>18.0</v>
      </c>
      <c r="C21" s="41" t="s">
        <v>25</v>
      </c>
      <c r="D21" s="41" t="s">
        <v>26</v>
      </c>
      <c r="E21" s="41" t="s">
        <v>26</v>
      </c>
      <c r="F21" s="41" t="s">
        <v>17</v>
      </c>
      <c r="G21" s="41" t="s">
        <v>26</v>
      </c>
      <c r="H21" s="41" t="s">
        <v>15</v>
      </c>
      <c r="I21" s="41" t="s">
        <v>18</v>
      </c>
      <c r="J21" s="41" t="s">
        <v>21</v>
      </c>
      <c r="K21" s="41" t="s">
        <v>17</v>
      </c>
      <c r="L21" s="41" t="s">
        <v>17</v>
      </c>
      <c r="M21" s="41" t="s">
        <v>17</v>
      </c>
      <c r="N21" s="41" t="s">
        <v>26</v>
      </c>
      <c r="O21" s="41" t="s">
        <v>27</v>
      </c>
      <c r="P21" s="41" t="s">
        <v>25</v>
      </c>
      <c r="Q21" s="41" t="s">
        <v>15</v>
      </c>
      <c r="R21" s="41" t="s">
        <v>18</v>
      </c>
      <c r="S21" s="41" t="s">
        <v>18</v>
      </c>
      <c r="T21" s="41" t="s">
        <v>21</v>
      </c>
      <c r="U21" s="41" t="s">
        <v>25</v>
      </c>
      <c r="V21" s="41" t="s">
        <v>27</v>
      </c>
      <c r="W21" s="41"/>
      <c r="X21" s="41"/>
      <c r="Y21" s="41"/>
      <c r="Z21" s="41"/>
      <c r="AA21" s="63"/>
      <c r="AB21" s="63"/>
      <c r="AC21" s="63"/>
      <c r="AD21" s="63"/>
      <c r="AE21" s="63"/>
      <c r="AF21" s="63"/>
      <c r="AG21" s="62"/>
      <c r="AH21" s="37"/>
      <c r="AI21" s="37"/>
    </row>
    <row r="22" ht="12.75" customHeight="1">
      <c r="A22" s="38"/>
      <c r="B22" s="39">
        <v>11.0</v>
      </c>
      <c r="C22" s="41" t="s">
        <v>28</v>
      </c>
      <c r="D22" s="41" t="s">
        <v>26</v>
      </c>
      <c r="E22" s="41" t="s">
        <v>28</v>
      </c>
      <c r="F22" s="41" t="s">
        <v>28</v>
      </c>
      <c r="G22" s="41" t="s">
        <v>31</v>
      </c>
      <c r="H22" s="41"/>
      <c r="I22" s="41"/>
      <c r="J22" s="41"/>
      <c r="K22" s="41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5"/>
      <c r="AB22" s="45"/>
      <c r="AC22" s="45"/>
      <c r="AD22" s="45"/>
      <c r="AE22" s="45"/>
      <c r="AF22" s="45"/>
      <c r="AG22" s="62"/>
      <c r="AH22" s="37"/>
      <c r="AI22" s="37"/>
    </row>
    <row r="23" ht="12.75" customHeight="1">
      <c r="A23" s="38"/>
      <c r="B23" s="39">
        <v>12.0</v>
      </c>
      <c r="C23" s="41" t="s">
        <v>27</v>
      </c>
      <c r="D23" s="41"/>
      <c r="E23" s="41"/>
      <c r="F23" s="41"/>
      <c r="G23" s="41"/>
      <c r="H23" s="41"/>
      <c r="I23" s="41"/>
      <c r="J23" s="41"/>
      <c r="K23" s="41"/>
      <c r="L23" s="41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5"/>
      <c r="AB23" s="45"/>
      <c r="AC23" s="45"/>
      <c r="AD23" s="45"/>
      <c r="AE23" s="45"/>
      <c r="AF23" s="45"/>
      <c r="AG23" s="62"/>
      <c r="AH23" s="37"/>
      <c r="AI23" s="37"/>
    </row>
    <row r="24" ht="12.75" customHeight="1">
      <c r="A24" s="38"/>
      <c r="B24" s="39"/>
      <c r="C24" s="41"/>
      <c r="D24" s="41"/>
      <c r="E24" s="41"/>
      <c r="F24" s="41"/>
      <c r="G24" s="41"/>
      <c r="H24" s="41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5"/>
      <c r="AB24" s="45"/>
      <c r="AC24" s="45"/>
      <c r="AD24" s="45"/>
      <c r="AE24" s="45"/>
      <c r="AF24" s="45"/>
      <c r="AG24" s="62"/>
      <c r="AH24" s="37"/>
      <c r="AI24" s="37"/>
    </row>
    <row r="25" ht="12.75" customHeight="1">
      <c r="A25" s="38"/>
      <c r="B25" s="39"/>
      <c r="C25" s="41"/>
      <c r="D25" s="41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5"/>
      <c r="AB25" s="45"/>
      <c r="AC25" s="45"/>
      <c r="AD25" s="45"/>
      <c r="AE25" s="45"/>
      <c r="AF25" s="45"/>
      <c r="AG25" s="62"/>
      <c r="AH25" s="37"/>
      <c r="AI25" s="37"/>
    </row>
    <row r="26" ht="12.75" customHeight="1">
      <c r="A26" s="38"/>
      <c r="B26" s="67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5"/>
      <c r="AB26" s="45"/>
      <c r="AC26" s="45"/>
      <c r="AD26" s="45"/>
      <c r="AE26" s="45"/>
      <c r="AF26" s="45"/>
      <c r="AG26" s="62"/>
      <c r="AH26" s="37"/>
      <c r="AI26" s="37"/>
    </row>
    <row r="27" ht="12.75" customHeight="1">
      <c r="A27" s="38"/>
      <c r="B27" s="67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5"/>
      <c r="AB27" s="45"/>
      <c r="AC27" s="45"/>
      <c r="AD27" s="45"/>
      <c r="AE27" s="45"/>
      <c r="AF27" s="45"/>
      <c r="AG27" s="62"/>
      <c r="AH27" s="37"/>
      <c r="AI27" s="37"/>
    </row>
    <row r="28" ht="12.75" customHeight="1">
      <c r="A28" s="37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37"/>
      <c r="AH28" s="37"/>
      <c r="AI28" s="37"/>
    </row>
    <row r="29" ht="12.75" customHeight="1">
      <c r="A29" s="35" t="s">
        <v>32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7"/>
      <c r="AH29" s="37"/>
      <c r="AI29" s="37"/>
    </row>
    <row r="30" ht="12.75" customHeight="1">
      <c r="A30" s="38"/>
      <c r="B30" s="39">
        <v>14.0</v>
      </c>
      <c r="C30" s="41" t="s">
        <v>15</v>
      </c>
      <c r="D30" s="41" t="s">
        <v>15</v>
      </c>
      <c r="E30" s="41" t="s">
        <v>17</v>
      </c>
      <c r="F30" s="41" t="s">
        <v>17</v>
      </c>
      <c r="G30" s="41" t="s">
        <v>17</v>
      </c>
      <c r="H30" s="41" t="s">
        <v>17</v>
      </c>
      <c r="I30" s="41"/>
      <c r="J30" s="41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5"/>
      <c r="AB30" s="45"/>
      <c r="AC30" s="45"/>
      <c r="AD30" s="45"/>
      <c r="AE30" s="45"/>
      <c r="AF30" s="45"/>
      <c r="AG30" s="62"/>
      <c r="AH30" s="37"/>
      <c r="AI30" s="37"/>
    </row>
    <row r="31" ht="12.75" customHeight="1">
      <c r="A31" s="38"/>
      <c r="B31" s="39">
        <v>3.0</v>
      </c>
      <c r="C31" s="41" t="s">
        <v>18</v>
      </c>
      <c r="D31" s="41" t="s">
        <v>18</v>
      </c>
      <c r="E31" s="41" t="s">
        <v>18</v>
      </c>
      <c r="F31" s="41" t="s">
        <v>21</v>
      </c>
      <c r="G31" s="41" t="s">
        <v>15</v>
      </c>
      <c r="H31" s="41" t="s">
        <v>15</v>
      </c>
      <c r="I31" s="41" t="s">
        <v>17</v>
      </c>
      <c r="J31" s="41" t="s">
        <v>17</v>
      </c>
      <c r="K31" s="41" t="s">
        <v>18</v>
      </c>
      <c r="L31" s="41" t="s">
        <v>17</v>
      </c>
      <c r="M31" s="41" t="s">
        <v>17</v>
      </c>
      <c r="N31" s="41" t="s">
        <v>18</v>
      </c>
      <c r="O31" s="41" t="s">
        <v>15</v>
      </c>
      <c r="P31" s="41" t="s">
        <v>21</v>
      </c>
      <c r="Q31" s="41" t="s">
        <v>15</v>
      </c>
      <c r="R31" s="41" t="s">
        <v>17</v>
      </c>
      <c r="S31" s="41" t="s">
        <v>18</v>
      </c>
      <c r="T31" s="43"/>
      <c r="U31" s="43"/>
      <c r="V31" s="43"/>
      <c r="W31" s="43"/>
      <c r="X31" s="43"/>
      <c r="Y31" s="43"/>
      <c r="Z31" s="43"/>
      <c r="AA31" s="45"/>
      <c r="AB31" s="45"/>
      <c r="AC31" s="45"/>
      <c r="AD31" s="45"/>
      <c r="AE31" s="45"/>
      <c r="AF31" s="45"/>
      <c r="AG31" s="62"/>
      <c r="AH31" s="37"/>
      <c r="AI31" s="37"/>
    </row>
    <row r="32" ht="12.75" customHeight="1">
      <c r="A32" s="38"/>
      <c r="B32" s="39">
        <v>16.0</v>
      </c>
      <c r="C32" s="41" t="s">
        <v>15</v>
      </c>
      <c r="D32" s="41" t="s">
        <v>18</v>
      </c>
      <c r="E32" s="41" t="s">
        <v>15</v>
      </c>
      <c r="F32" s="41" t="s">
        <v>17</v>
      </c>
      <c r="G32" s="41" t="s">
        <v>15</v>
      </c>
      <c r="H32" s="41" t="s">
        <v>15</v>
      </c>
      <c r="I32" s="41" t="s">
        <v>18</v>
      </c>
      <c r="J32" s="41" t="s">
        <v>15</v>
      </c>
      <c r="K32" s="41"/>
      <c r="L32" s="41"/>
      <c r="M32" s="41"/>
      <c r="N32" s="41"/>
      <c r="O32" s="41"/>
      <c r="P32" s="41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5"/>
      <c r="AB32" s="45"/>
      <c r="AC32" s="45"/>
      <c r="AD32" s="45"/>
      <c r="AE32" s="45"/>
      <c r="AF32" s="45"/>
      <c r="AG32" s="62"/>
      <c r="AH32" s="37"/>
      <c r="AI32" s="37"/>
    </row>
    <row r="33" ht="12.75" customHeight="1">
      <c r="A33" s="38"/>
      <c r="B33" s="39">
        <v>10.0</v>
      </c>
      <c r="C33" s="41" t="s">
        <v>18</v>
      </c>
      <c r="D33" s="41" t="s">
        <v>18</v>
      </c>
      <c r="E33" s="41" t="s">
        <v>22</v>
      </c>
      <c r="F33" s="41" t="s">
        <v>24</v>
      </c>
      <c r="G33" s="41" t="s">
        <v>17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3"/>
      <c r="X33" s="43"/>
      <c r="Y33" s="43"/>
      <c r="Z33" s="43"/>
      <c r="AA33" s="45"/>
      <c r="AB33" s="45"/>
      <c r="AC33" s="45"/>
      <c r="AD33" s="45"/>
      <c r="AE33" s="45"/>
      <c r="AF33" s="45"/>
      <c r="AG33" s="62"/>
      <c r="AH33" s="37"/>
      <c r="AI33" s="37"/>
    </row>
    <row r="34" ht="12.75" customHeight="1">
      <c r="A34" s="38"/>
      <c r="B34" s="39">
        <v>7.0</v>
      </c>
      <c r="C34" s="41" t="s">
        <v>15</v>
      </c>
      <c r="D34" s="41" t="s">
        <v>17</v>
      </c>
      <c r="E34" s="41" t="s">
        <v>18</v>
      </c>
      <c r="F34" s="41" t="s">
        <v>15</v>
      </c>
      <c r="G34" s="41" t="s">
        <v>15</v>
      </c>
      <c r="H34" s="41" t="s">
        <v>18</v>
      </c>
      <c r="I34" s="41" t="s">
        <v>18</v>
      </c>
      <c r="J34" s="41" t="s">
        <v>18</v>
      </c>
      <c r="K34" s="41" t="s">
        <v>18</v>
      </c>
      <c r="L34" s="41" t="s">
        <v>24</v>
      </c>
      <c r="M34" s="41" t="s">
        <v>24</v>
      </c>
      <c r="N34" s="41" t="s">
        <v>17</v>
      </c>
      <c r="O34" s="41" t="s">
        <v>22</v>
      </c>
      <c r="P34" s="41" t="s">
        <v>26</v>
      </c>
      <c r="Q34" s="41" t="s">
        <v>28</v>
      </c>
      <c r="R34" s="41" t="s">
        <v>18</v>
      </c>
      <c r="S34" s="41" t="s">
        <v>18</v>
      </c>
      <c r="T34" s="41" t="s">
        <v>15</v>
      </c>
      <c r="U34" s="41" t="s">
        <v>18</v>
      </c>
      <c r="V34" s="41"/>
      <c r="W34" s="41"/>
      <c r="X34" s="41"/>
      <c r="Y34" s="41"/>
      <c r="Z34" s="41"/>
      <c r="AA34" s="45"/>
      <c r="AB34" s="45"/>
      <c r="AC34" s="45"/>
      <c r="AD34" s="45"/>
      <c r="AE34" s="45"/>
      <c r="AF34" s="45"/>
      <c r="AG34" s="62"/>
      <c r="AH34" s="37"/>
      <c r="AI34" s="37"/>
    </row>
    <row r="35" ht="12.75" customHeight="1">
      <c r="A35" s="38"/>
      <c r="B35" s="39">
        <v>18.0</v>
      </c>
      <c r="C35" s="41" t="s">
        <v>25</v>
      </c>
      <c r="D35" s="41" t="s">
        <v>18</v>
      </c>
      <c r="E35" s="41" t="s">
        <v>21</v>
      </c>
      <c r="F35" s="41" t="s">
        <v>26</v>
      </c>
      <c r="G35" s="41" t="s">
        <v>26</v>
      </c>
      <c r="H35" s="41" t="s">
        <v>25</v>
      </c>
      <c r="I35" s="41" t="s">
        <v>25</v>
      </c>
      <c r="J35" s="41" t="s">
        <v>18</v>
      </c>
      <c r="K35" s="41" t="s">
        <v>18</v>
      </c>
      <c r="L35" s="41" t="s">
        <v>15</v>
      </c>
      <c r="M35" s="41" t="s">
        <v>17</v>
      </c>
      <c r="N35" s="41" t="s">
        <v>18</v>
      </c>
      <c r="O35" s="41" t="s">
        <v>17</v>
      </c>
      <c r="P35" s="41" t="s">
        <v>17</v>
      </c>
      <c r="Q35" s="41" t="s">
        <v>17</v>
      </c>
      <c r="R35" s="41" t="s">
        <v>26</v>
      </c>
      <c r="S35" s="41" t="s">
        <v>15</v>
      </c>
      <c r="T35" s="41" t="s">
        <v>18</v>
      </c>
      <c r="U35" s="41" t="s">
        <v>25</v>
      </c>
      <c r="V35" s="41" t="s">
        <v>23</v>
      </c>
      <c r="W35" s="41" t="s">
        <v>25</v>
      </c>
      <c r="X35" s="41" t="s">
        <v>18</v>
      </c>
      <c r="Y35" s="41" t="s">
        <v>17</v>
      </c>
      <c r="Z35" s="41" t="s">
        <v>22</v>
      </c>
      <c r="AA35" s="63"/>
      <c r="AB35" s="45"/>
      <c r="AC35" s="45"/>
      <c r="AD35" s="45"/>
      <c r="AE35" s="45"/>
      <c r="AF35" s="45"/>
      <c r="AG35" s="62"/>
      <c r="AH35" s="37"/>
      <c r="AI35" s="37"/>
    </row>
    <row r="36" ht="12.75" customHeight="1">
      <c r="A36" s="38"/>
      <c r="B36" s="39">
        <v>11.0</v>
      </c>
      <c r="C36" s="41" t="s">
        <v>26</v>
      </c>
      <c r="D36" s="41" t="s">
        <v>28</v>
      </c>
      <c r="E36" s="41" t="s">
        <v>26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3"/>
      <c r="V36" s="43"/>
      <c r="W36" s="43"/>
      <c r="X36" s="43"/>
      <c r="Y36" s="43"/>
      <c r="Z36" s="43"/>
      <c r="AA36" s="45"/>
      <c r="AB36" s="45"/>
      <c r="AC36" s="45"/>
      <c r="AD36" s="45"/>
      <c r="AE36" s="45"/>
      <c r="AF36" s="45"/>
      <c r="AG36" s="62"/>
      <c r="AH36" s="37"/>
      <c r="AI36" s="37"/>
    </row>
    <row r="37" ht="12.75" customHeight="1">
      <c r="A37" s="38"/>
      <c r="B37" s="39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5"/>
      <c r="AB37" s="45"/>
      <c r="AC37" s="45"/>
      <c r="AD37" s="45"/>
      <c r="AE37" s="45"/>
      <c r="AF37" s="45"/>
      <c r="AG37" s="62"/>
      <c r="AH37" s="37"/>
      <c r="AI37" s="37"/>
    </row>
    <row r="38" ht="12.75" customHeight="1">
      <c r="A38" s="38"/>
      <c r="B38" s="39"/>
      <c r="C38" s="41"/>
      <c r="D38" s="43"/>
      <c r="E38" s="43"/>
      <c r="F38" s="41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5"/>
      <c r="AB38" s="45"/>
      <c r="AC38" s="45"/>
      <c r="AD38" s="45"/>
      <c r="AE38" s="45"/>
      <c r="AF38" s="45"/>
      <c r="AG38" s="62"/>
      <c r="AH38" s="37"/>
      <c r="AI38" s="37"/>
    </row>
    <row r="39" ht="12.75" customHeight="1">
      <c r="A39" s="38"/>
      <c r="B39" s="66"/>
      <c r="C39" s="41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5"/>
      <c r="AB39" s="45"/>
      <c r="AC39" s="45"/>
      <c r="AD39" s="45"/>
      <c r="AE39" s="45"/>
      <c r="AF39" s="45"/>
      <c r="AG39" s="62"/>
      <c r="AH39" s="37"/>
      <c r="AI39" s="37"/>
    </row>
    <row r="40" ht="12.75" customHeight="1">
      <c r="A40" s="38"/>
      <c r="B40" s="67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5"/>
      <c r="AB40" s="45"/>
      <c r="AC40" s="45"/>
      <c r="AD40" s="45"/>
      <c r="AE40" s="45"/>
      <c r="AF40" s="45"/>
      <c r="AG40" s="62"/>
      <c r="AH40" s="37"/>
      <c r="AI40" s="37"/>
    </row>
    <row r="41" ht="12.75" customHeight="1">
      <c r="A41" s="38"/>
      <c r="B41" s="67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5"/>
      <c r="AB41" s="45"/>
      <c r="AC41" s="45"/>
      <c r="AD41" s="45"/>
      <c r="AE41" s="45"/>
      <c r="AF41" s="45"/>
      <c r="AG41" s="62"/>
      <c r="AH41" s="37"/>
      <c r="AI41" s="37"/>
    </row>
    <row r="42" ht="12.75" customHeight="1">
      <c r="A42" s="37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37"/>
      <c r="AH42" s="37"/>
      <c r="AI42" s="37"/>
    </row>
    <row r="43" ht="12.75" customHeight="1">
      <c r="A43" s="35" t="s">
        <v>34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7"/>
      <c r="AH43" s="37"/>
      <c r="AI43" s="37"/>
    </row>
    <row r="44" ht="12.75" customHeight="1">
      <c r="A44" s="38"/>
      <c r="B44" s="39">
        <v>14.0</v>
      </c>
      <c r="C44" s="41" t="s">
        <v>17</v>
      </c>
      <c r="D44" s="41" t="s">
        <v>17</v>
      </c>
      <c r="E44" s="41" t="s">
        <v>17</v>
      </c>
      <c r="F44" s="41" t="s">
        <v>24</v>
      </c>
      <c r="G44" s="41" t="s">
        <v>17</v>
      </c>
      <c r="H44" s="41" t="s">
        <v>17</v>
      </c>
      <c r="I44" s="41"/>
      <c r="J44" s="41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5"/>
      <c r="AB44" s="45"/>
      <c r="AC44" s="45"/>
      <c r="AD44" s="45"/>
      <c r="AE44" s="45"/>
      <c r="AF44" s="45"/>
      <c r="AG44" s="62"/>
      <c r="AH44" s="37"/>
      <c r="AI44" s="37"/>
    </row>
    <row r="45" ht="12.75" customHeight="1">
      <c r="A45" s="38"/>
      <c r="B45" s="39">
        <v>3.0</v>
      </c>
      <c r="C45" s="41" t="s">
        <v>30</v>
      </c>
      <c r="D45" s="41" t="s">
        <v>15</v>
      </c>
      <c r="E45" s="41" t="s">
        <v>18</v>
      </c>
      <c r="F45" s="41" t="s">
        <v>17</v>
      </c>
      <c r="G45" s="41" t="s">
        <v>18</v>
      </c>
      <c r="H45" s="41" t="s">
        <v>18</v>
      </c>
      <c r="I45" s="41" t="s">
        <v>18</v>
      </c>
      <c r="J45" s="41" t="s">
        <v>17</v>
      </c>
      <c r="K45" s="41" t="s">
        <v>17</v>
      </c>
      <c r="L45" s="41"/>
      <c r="M45" s="41"/>
      <c r="N45" s="41"/>
      <c r="O45" s="41"/>
      <c r="P45" s="41"/>
      <c r="Q45" s="41"/>
      <c r="R45" s="43"/>
      <c r="S45" s="43"/>
      <c r="T45" s="43"/>
      <c r="U45" s="43"/>
      <c r="V45" s="43"/>
      <c r="W45" s="43"/>
      <c r="X45" s="43"/>
      <c r="Y45" s="43"/>
      <c r="Z45" s="43"/>
      <c r="AA45" s="45"/>
      <c r="AB45" s="45"/>
      <c r="AC45" s="45"/>
      <c r="AD45" s="45"/>
      <c r="AE45" s="45"/>
      <c r="AF45" s="45"/>
      <c r="AG45" s="62"/>
      <c r="AH45" s="37"/>
      <c r="AI45" s="37"/>
    </row>
    <row r="46" ht="12.75" customHeight="1">
      <c r="A46" s="38"/>
      <c r="B46" s="39">
        <v>16.0</v>
      </c>
      <c r="C46" s="41" t="s">
        <v>15</v>
      </c>
      <c r="D46" s="41" t="s">
        <v>15</v>
      </c>
      <c r="E46" s="41" t="s">
        <v>23</v>
      </c>
      <c r="F46" s="41" t="s">
        <v>17</v>
      </c>
      <c r="G46" s="41" t="s">
        <v>17</v>
      </c>
      <c r="H46" s="41" t="s">
        <v>17</v>
      </c>
      <c r="I46" s="41" t="s">
        <v>18</v>
      </c>
      <c r="J46" s="41" t="s">
        <v>15</v>
      </c>
      <c r="K46" s="41" t="s">
        <v>18</v>
      </c>
      <c r="L46" s="41" t="s">
        <v>17</v>
      </c>
      <c r="M46" s="41"/>
      <c r="N46" s="41"/>
      <c r="O46" s="41"/>
      <c r="P46" s="41"/>
      <c r="Q46" s="41"/>
      <c r="R46" s="41"/>
      <c r="S46" s="41"/>
      <c r="T46" s="43"/>
      <c r="U46" s="43"/>
      <c r="V46" s="43"/>
      <c r="W46" s="43"/>
      <c r="X46" s="43"/>
      <c r="Y46" s="43"/>
      <c r="Z46" s="43"/>
      <c r="AA46" s="45"/>
      <c r="AB46" s="45"/>
      <c r="AC46" s="45"/>
      <c r="AD46" s="45"/>
      <c r="AE46" s="45"/>
      <c r="AF46" s="45"/>
      <c r="AG46" s="62"/>
      <c r="AH46" s="37"/>
      <c r="AI46" s="37"/>
    </row>
    <row r="47" ht="12.75" customHeight="1">
      <c r="A47" s="38"/>
      <c r="B47" s="39">
        <v>10.0</v>
      </c>
      <c r="C47" s="41" t="s">
        <v>17</v>
      </c>
      <c r="D47" s="41" t="s">
        <v>17</v>
      </c>
      <c r="E47" s="41" t="s">
        <v>24</v>
      </c>
      <c r="F47" s="41" t="s">
        <v>24</v>
      </c>
      <c r="G47" s="41" t="s">
        <v>17</v>
      </c>
      <c r="H47" s="41" t="s">
        <v>17</v>
      </c>
      <c r="I47" s="41" t="s">
        <v>18</v>
      </c>
      <c r="J47" s="41" t="s">
        <v>26</v>
      </c>
      <c r="K47" s="41" t="s">
        <v>18</v>
      </c>
      <c r="L47" s="41" t="s">
        <v>15</v>
      </c>
      <c r="M47" s="41" t="s">
        <v>17</v>
      </c>
      <c r="N47" s="41" t="s">
        <v>15</v>
      </c>
      <c r="O47" s="41" t="s">
        <v>15</v>
      </c>
      <c r="P47" s="41"/>
      <c r="Q47" s="41"/>
      <c r="R47" s="41"/>
      <c r="S47" s="41"/>
      <c r="T47" s="41"/>
      <c r="U47" s="41"/>
      <c r="V47" s="41"/>
      <c r="W47" s="43"/>
      <c r="X47" s="43"/>
      <c r="Y47" s="43"/>
      <c r="Z47" s="43"/>
      <c r="AA47" s="45"/>
      <c r="AB47" s="45"/>
      <c r="AC47" s="45"/>
      <c r="AD47" s="45"/>
      <c r="AE47" s="45"/>
      <c r="AF47" s="45"/>
      <c r="AG47" s="62"/>
      <c r="AH47" s="37"/>
      <c r="AI47" s="37"/>
    </row>
    <row r="48" ht="12.75" customHeight="1">
      <c r="A48" s="38"/>
      <c r="B48" s="39">
        <v>7.0</v>
      </c>
      <c r="C48" s="41" t="s">
        <v>17</v>
      </c>
      <c r="D48" s="41" t="s">
        <v>18</v>
      </c>
      <c r="E48" s="41" t="s">
        <v>18</v>
      </c>
      <c r="F48" s="41" t="s">
        <v>15</v>
      </c>
      <c r="G48" s="41" t="s">
        <v>48</v>
      </c>
      <c r="H48" s="41" t="s">
        <v>15</v>
      </c>
      <c r="I48" s="41" t="s">
        <v>17</v>
      </c>
      <c r="J48" s="41" t="s">
        <v>25</v>
      </c>
      <c r="K48" s="41" t="s">
        <v>26</v>
      </c>
      <c r="L48" s="41" t="s">
        <v>26</v>
      </c>
      <c r="M48" s="41" t="s">
        <v>15</v>
      </c>
      <c r="N48" s="41" t="s">
        <v>21</v>
      </c>
      <c r="O48" s="41" t="s">
        <v>28</v>
      </c>
      <c r="P48" s="41"/>
      <c r="Q48" s="41"/>
      <c r="R48" s="41"/>
      <c r="S48" s="41"/>
      <c r="T48" s="41"/>
      <c r="U48" s="41"/>
      <c r="V48" s="41"/>
      <c r="W48" s="43"/>
      <c r="X48" s="43"/>
      <c r="Y48" s="43"/>
      <c r="Z48" s="43"/>
      <c r="AA48" s="45"/>
      <c r="AB48" s="45"/>
      <c r="AC48" s="45"/>
      <c r="AD48" s="45"/>
      <c r="AE48" s="45"/>
      <c r="AF48" s="45"/>
      <c r="AG48" s="62"/>
      <c r="AH48" s="37"/>
      <c r="AI48" s="37"/>
    </row>
    <row r="49" ht="12.75" customHeight="1">
      <c r="A49" s="38"/>
      <c r="B49" s="39">
        <v>18.0</v>
      </c>
      <c r="C49" s="41" t="s">
        <v>25</v>
      </c>
      <c r="D49" s="41" t="s">
        <v>15</v>
      </c>
      <c r="E49" s="41" t="s">
        <v>18</v>
      </c>
      <c r="F49" s="41" t="s">
        <v>18</v>
      </c>
      <c r="G49" s="41" t="s">
        <v>18</v>
      </c>
      <c r="H49" s="41" t="s">
        <v>18</v>
      </c>
      <c r="I49" s="41" t="s">
        <v>26</v>
      </c>
      <c r="J49" s="41" t="s">
        <v>15</v>
      </c>
      <c r="K49" s="41" t="s">
        <v>17</v>
      </c>
      <c r="L49" s="41" t="s">
        <v>22</v>
      </c>
      <c r="M49" s="41" t="s">
        <v>18</v>
      </c>
      <c r="N49" s="41" t="s">
        <v>18</v>
      </c>
      <c r="O49" s="41" t="s">
        <v>15</v>
      </c>
      <c r="P49" s="41" t="s">
        <v>17</v>
      </c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63"/>
      <c r="AB49" s="63"/>
      <c r="AC49" s="45"/>
      <c r="AD49" s="45"/>
      <c r="AE49" s="45"/>
      <c r="AF49" s="45"/>
      <c r="AG49" s="62"/>
      <c r="AH49" s="37"/>
      <c r="AI49" s="37"/>
    </row>
    <row r="50" ht="12.75" customHeight="1">
      <c r="A50" s="38"/>
      <c r="B50" s="39">
        <v>11.0</v>
      </c>
      <c r="C50" s="41" t="s">
        <v>31</v>
      </c>
      <c r="D50" s="41" t="s">
        <v>26</v>
      </c>
      <c r="E50" s="41" t="s">
        <v>25</v>
      </c>
      <c r="F50" s="41" t="s">
        <v>26</v>
      </c>
      <c r="G50" s="41" t="s">
        <v>25</v>
      </c>
      <c r="H50" s="41"/>
      <c r="I50" s="41"/>
      <c r="J50" s="41"/>
      <c r="K50" s="41"/>
      <c r="L50" s="41"/>
      <c r="M50" s="41"/>
      <c r="N50" s="41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5"/>
      <c r="AB50" s="45"/>
      <c r="AC50" s="45"/>
      <c r="AD50" s="45"/>
      <c r="AE50" s="45"/>
      <c r="AF50" s="45"/>
      <c r="AG50" s="62"/>
      <c r="AH50" s="37"/>
      <c r="AI50" s="37"/>
    </row>
    <row r="51" ht="12.75" customHeight="1">
      <c r="A51" s="38"/>
      <c r="B51" s="66"/>
      <c r="C51" s="41"/>
      <c r="D51" s="41"/>
      <c r="E51" s="41"/>
      <c r="F51" s="41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5"/>
      <c r="AB51" s="45"/>
      <c r="AC51" s="45"/>
      <c r="AD51" s="45"/>
      <c r="AE51" s="45"/>
      <c r="AF51" s="45"/>
      <c r="AG51" s="62"/>
      <c r="AH51" s="37"/>
      <c r="AI51" s="37"/>
    </row>
    <row r="52" ht="12.75" customHeight="1">
      <c r="A52" s="38"/>
      <c r="B52" s="67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5"/>
      <c r="AB52" s="45"/>
      <c r="AC52" s="45"/>
      <c r="AD52" s="45"/>
      <c r="AE52" s="45"/>
      <c r="AF52" s="45"/>
      <c r="AG52" s="62"/>
      <c r="AH52" s="37"/>
      <c r="AI52" s="37"/>
    </row>
    <row r="53" ht="12.75" customHeight="1">
      <c r="A53" s="38"/>
      <c r="B53" s="67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5"/>
      <c r="AB53" s="45"/>
      <c r="AC53" s="45"/>
      <c r="AD53" s="45"/>
      <c r="AE53" s="45"/>
      <c r="AF53" s="45"/>
      <c r="AG53" s="62"/>
      <c r="AH53" s="37"/>
      <c r="AI53" s="37"/>
    </row>
    <row r="54" ht="12.75" customHeight="1">
      <c r="A54" s="38"/>
      <c r="B54" s="67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5"/>
      <c r="AB54" s="45"/>
      <c r="AC54" s="45"/>
      <c r="AD54" s="45"/>
      <c r="AE54" s="45"/>
      <c r="AF54" s="45"/>
      <c r="AG54" s="62"/>
      <c r="AH54" s="37"/>
      <c r="AI54" s="37"/>
    </row>
    <row r="55" ht="12.75" customHeight="1">
      <c r="A55" s="38"/>
      <c r="B55" s="67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5"/>
      <c r="AB55" s="45"/>
      <c r="AC55" s="45"/>
      <c r="AD55" s="45"/>
      <c r="AE55" s="45"/>
      <c r="AF55" s="45"/>
      <c r="AG55" s="62"/>
      <c r="AH55" s="37"/>
      <c r="AI55" s="37"/>
    </row>
    <row r="56" ht="12.75" customHeight="1">
      <c r="A56" s="37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37"/>
      <c r="AH56" s="37"/>
      <c r="AI56" s="37"/>
    </row>
    <row r="57" ht="12.75" customHeight="1">
      <c r="A57" s="35" t="s">
        <v>49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7"/>
      <c r="AH57" s="37"/>
      <c r="AI57" s="37"/>
    </row>
    <row r="58" ht="12.75" customHeight="1">
      <c r="A58" s="38"/>
      <c r="B58" s="39"/>
      <c r="C58" s="41"/>
      <c r="D58" s="41"/>
      <c r="E58" s="41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5"/>
      <c r="AB58" s="45"/>
      <c r="AC58" s="45"/>
      <c r="AD58" s="45"/>
      <c r="AE58" s="45"/>
      <c r="AF58" s="45"/>
      <c r="AG58" s="62"/>
      <c r="AH58" s="37"/>
      <c r="AI58" s="37"/>
    </row>
    <row r="59" ht="12.75" customHeight="1">
      <c r="A59" s="38"/>
      <c r="B59" s="39"/>
      <c r="C59" s="41"/>
      <c r="D59" s="41"/>
      <c r="E59" s="41"/>
      <c r="F59" s="41"/>
      <c r="G59" s="41"/>
      <c r="H59" s="41"/>
      <c r="I59" s="41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5"/>
      <c r="AB59" s="45"/>
      <c r="AC59" s="45"/>
      <c r="AD59" s="45"/>
      <c r="AE59" s="45"/>
      <c r="AF59" s="45"/>
      <c r="AG59" s="62"/>
      <c r="AH59" s="37"/>
      <c r="AI59" s="37"/>
    </row>
    <row r="60" ht="12.75" customHeight="1">
      <c r="A60" s="38"/>
      <c r="B60" s="39"/>
      <c r="C60" s="41"/>
      <c r="D60" s="41"/>
      <c r="E60" s="41"/>
      <c r="F60" s="41"/>
      <c r="G60" s="41"/>
      <c r="H60" s="41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5"/>
      <c r="AB60" s="45"/>
      <c r="AC60" s="45"/>
      <c r="AD60" s="45"/>
      <c r="AE60" s="45"/>
      <c r="AF60" s="45"/>
      <c r="AG60" s="62"/>
      <c r="AH60" s="37"/>
      <c r="AI60" s="37"/>
    </row>
    <row r="61" ht="12.75" customHeight="1">
      <c r="A61" s="38"/>
      <c r="B61" s="39"/>
      <c r="C61" s="41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5"/>
      <c r="AB61" s="45"/>
      <c r="AC61" s="45"/>
      <c r="AD61" s="45"/>
      <c r="AE61" s="45"/>
      <c r="AF61" s="45"/>
      <c r="AG61" s="62"/>
      <c r="AH61" s="37"/>
      <c r="AI61" s="37"/>
    </row>
    <row r="62" ht="12.75" customHeight="1">
      <c r="A62" s="38"/>
      <c r="B62" s="39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5"/>
      <c r="AB62" s="45"/>
      <c r="AC62" s="45"/>
      <c r="AD62" s="45"/>
      <c r="AE62" s="45"/>
      <c r="AF62" s="45"/>
      <c r="AG62" s="62"/>
      <c r="AH62" s="37"/>
      <c r="AI62" s="37"/>
    </row>
    <row r="63" ht="12.75" customHeight="1">
      <c r="A63" s="38"/>
      <c r="B63" s="39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5"/>
      <c r="AB63" s="45"/>
      <c r="AC63" s="45"/>
      <c r="AD63" s="45"/>
      <c r="AE63" s="45"/>
      <c r="AF63" s="45"/>
      <c r="AG63" s="62"/>
      <c r="AH63" s="37"/>
      <c r="AI63" s="37"/>
    </row>
    <row r="64" ht="12.75" customHeight="1">
      <c r="A64" s="38"/>
      <c r="B64" s="39"/>
      <c r="C64" s="41"/>
      <c r="D64" s="41"/>
      <c r="E64" s="41"/>
      <c r="F64" s="41"/>
      <c r="G64" s="41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5"/>
      <c r="AB64" s="45"/>
      <c r="AC64" s="45"/>
      <c r="AD64" s="45"/>
      <c r="AE64" s="45"/>
      <c r="AF64" s="45"/>
      <c r="AG64" s="62"/>
      <c r="AH64" s="37"/>
      <c r="AI64" s="37"/>
    </row>
    <row r="65" ht="12.75" customHeight="1">
      <c r="A65" s="38"/>
      <c r="B65" s="39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5"/>
      <c r="AB65" s="45"/>
      <c r="AC65" s="45"/>
      <c r="AD65" s="45"/>
      <c r="AE65" s="45"/>
      <c r="AF65" s="45"/>
      <c r="AG65" s="62"/>
      <c r="AH65" s="37"/>
      <c r="AI65" s="37"/>
    </row>
    <row r="66" ht="12.75" customHeight="1">
      <c r="A66" s="38"/>
      <c r="B66" s="67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5"/>
      <c r="AB66" s="45"/>
      <c r="AC66" s="45"/>
      <c r="AD66" s="45"/>
      <c r="AE66" s="45"/>
      <c r="AF66" s="45"/>
      <c r="AG66" s="62"/>
      <c r="AH66" s="37"/>
      <c r="AI66" s="37"/>
    </row>
    <row r="67" ht="12.75" customHeight="1">
      <c r="A67" s="38"/>
      <c r="B67" s="67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5"/>
      <c r="AB67" s="45"/>
      <c r="AC67" s="45"/>
      <c r="AD67" s="45"/>
      <c r="AE67" s="45"/>
      <c r="AF67" s="45"/>
      <c r="AG67" s="62"/>
      <c r="AH67" s="37"/>
      <c r="AI67" s="37"/>
    </row>
    <row r="68" ht="12.75" customHeight="1">
      <c r="A68" s="38"/>
      <c r="B68" s="67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5"/>
      <c r="AB68" s="45"/>
      <c r="AC68" s="45"/>
      <c r="AD68" s="45"/>
      <c r="AE68" s="45"/>
      <c r="AF68" s="45"/>
      <c r="AG68" s="62"/>
      <c r="AH68" s="37"/>
      <c r="AI68" s="37"/>
    </row>
    <row r="69" ht="12.75" customHeight="1">
      <c r="A69" s="38"/>
      <c r="B69" s="67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5"/>
      <c r="AB69" s="45"/>
      <c r="AC69" s="45"/>
      <c r="AD69" s="45"/>
      <c r="AE69" s="45"/>
      <c r="AF69" s="45"/>
      <c r="AG69" s="62"/>
      <c r="AH69" s="37"/>
      <c r="AI69" s="37"/>
    </row>
    <row r="70" ht="12.75" customHeight="1">
      <c r="A70" s="37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37"/>
      <c r="AH70" s="37"/>
      <c r="AI70" s="37"/>
    </row>
    <row r="71" ht="12.0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</row>
    <row r="72" ht="12.0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</row>
    <row r="73" ht="12.0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</row>
    <row r="74" ht="12.0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</row>
    <row r="75" ht="12.0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</row>
    <row r="76" ht="12.0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</row>
    <row r="77" ht="12.0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</row>
    <row r="78" ht="12.0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</row>
    <row r="79" ht="12.0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</row>
    <row r="80" ht="12.0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</row>
    <row r="81" ht="12.0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</row>
    <row r="82" ht="12.0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</row>
    <row r="83" ht="12.0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</row>
    <row r="84" ht="12.0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</row>
    <row r="85" ht="12.0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</row>
    <row r="86" ht="12.0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</row>
    <row r="87" ht="12.0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</row>
    <row r="88" ht="12.0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</row>
    <row r="89" ht="12.0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</row>
    <row r="90" ht="12.0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</row>
    <row r="91" ht="12.0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</row>
    <row r="92" ht="12.0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</row>
    <row r="93" ht="12.0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</row>
    <row r="94" ht="12.0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</row>
    <row r="95" ht="12.0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</row>
    <row r="96" ht="12.0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</row>
    <row r="97" ht="12.0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</row>
    <row r="98" ht="12.0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</row>
    <row r="99" ht="12.0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</row>
    <row r="100" ht="12.0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</row>
    <row r="101" ht="12.0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</row>
    <row r="102" ht="12.0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</row>
    <row r="103" ht="12.0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</row>
    <row r="104" ht="12.0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</row>
    <row r="105" ht="12.0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</row>
    <row r="106" ht="12.0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</row>
    <row r="107" ht="12.0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</row>
    <row r="108" ht="12.0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</row>
    <row r="109" ht="12.0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</row>
    <row r="110" ht="12.0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</row>
    <row r="111" ht="12.0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</row>
    <row r="112" ht="12.0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</row>
    <row r="113" ht="12.0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</row>
    <row r="114" ht="12.0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</row>
    <row r="115" ht="12.0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</row>
    <row r="116" ht="12.0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</row>
    <row r="117" ht="12.0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</row>
    <row r="118" ht="12.0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</row>
    <row r="119" ht="12.0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</row>
    <row r="120" ht="12.0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</row>
    <row r="121" ht="12.0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</row>
    <row r="122" ht="12.0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</row>
    <row r="123" ht="12.0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</row>
    <row r="124" ht="12.0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</row>
    <row r="125" ht="12.0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</row>
    <row r="126" ht="12.0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</row>
    <row r="127" ht="12.0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</row>
    <row r="128" ht="12.0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</row>
    <row r="129" ht="12.0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</row>
    <row r="130" ht="12.0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</row>
    <row r="131" ht="12.0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</row>
    <row r="132" ht="12.0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</row>
    <row r="133" ht="12.0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</row>
    <row r="134" ht="12.0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</row>
    <row r="135" ht="12.0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</row>
    <row r="136" ht="12.0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</row>
    <row r="137" ht="12.0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</row>
    <row r="138" ht="12.0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</row>
    <row r="139" ht="12.0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</row>
    <row r="140" ht="12.0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</row>
    <row r="141" ht="12.0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80" t="s">
        <v>50</v>
      </c>
      <c r="B1" s="81"/>
      <c r="C1" s="37"/>
      <c r="D1" s="37"/>
      <c r="E1" s="37"/>
      <c r="F1" s="37"/>
      <c r="G1" s="37"/>
      <c r="H1" s="37"/>
      <c r="I1" s="81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ht="12.75" customHeight="1">
      <c r="A2" s="80" t="s">
        <v>51</v>
      </c>
      <c r="B2" s="81"/>
      <c r="C2" s="37"/>
      <c r="D2" s="37"/>
      <c r="E2" s="37"/>
      <c r="F2" s="37"/>
      <c r="G2" s="37"/>
      <c r="H2" s="37"/>
      <c r="I2" s="81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2.75" customHeight="1">
      <c r="A3" s="37"/>
      <c r="B3" s="83" t="s">
        <v>2</v>
      </c>
      <c r="C3" s="36"/>
      <c r="D3" s="36"/>
      <c r="E3" s="36"/>
      <c r="F3" s="36"/>
      <c r="G3" s="36"/>
      <c r="H3" s="37"/>
      <c r="I3" s="83" t="s">
        <v>4</v>
      </c>
      <c r="J3" s="36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ht="12.75" customHeight="1">
      <c r="A4" s="38"/>
      <c r="B4" s="85" t="s">
        <v>28</v>
      </c>
      <c r="C4" s="85" t="s">
        <v>26</v>
      </c>
      <c r="D4" s="85" t="s">
        <v>25</v>
      </c>
      <c r="E4" s="85" t="s">
        <v>31</v>
      </c>
      <c r="F4" s="85" t="s">
        <v>27</v>
      </c>
      <c r="G4" s="85" t="s">
        <v>5</v>
      </c>
      <c r="H4" s="86"/>
      <c r="I4" s="85" t="s">
        <v>30</v>
      </c>
      <c r="J4" s="85" t="s">
        <v>23</v>
      </c>
      <c r="K4" s="6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ht="12.75" customHeight="1">
      <c r="A5" s="38"/>
      <c r="B5" s="88">
        <f>COUNTIF(Dati!C2:AL79,B4)</f>
        <v>11</v>
      </c>
      <c r="C5" s="88">
        <f>COUNTIF(Dati!C2:AL79,C4)</f>
        <v>27</v>
      </c>
      <c r="D5" s="88">
        <f>COUNTIF(Dati!C2:AL79,D4)</f>
        <v>17</v>
      </c>
      <c r="E5" s="88">
        <f>COUNTIF(Dati!C2:AL79,E4)</f>
        <v>2</v>
      </c>
      <c r="F5" s="88">
        <f>COUNTIF(Dati!C2:AL79,F4)</f>
        <v>4</v>
      </c>
      <c r="G5" s="88">
        <f t="shared" ref="G5:G6" si="1">SUM(B5:F5)</f>
        <v>61</v>
      </c>
      <c r="H5" s="86"/>
      <c r="I5" s="88">
        <f>COUNTIF(Dati!C2:AL79,I4)</f>
        <v>3</v>
      </c>
      <c r="J5" s="88">
        <f>COUNTIF(Dati!C2:AL79,J4)</f>
        <v>4</v>
      </c>
      <c r="K5" s="6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ht="12.75" customHeight="1">
      <c r="A6" s="38"/>
      <c r="B6" s="96">
        <f>B5/G5</f>
        <v>0.1803278689</v>
      </c>
      <c r="C6" s="96">
        <f>C5/G5</f>
        <v>0.4426229508</v>
      </c>
      <c r="D6" s="96">
        <f>D5/G5</f>
        <v>0.2786885246</v>
      </c>
      <c r="E6" s="96">
        <f>E5/G5</f>
        <v>0.03278688525</v>
      </c>
      <c r="F6" s="96">
        <f>F5/G5</f>
        <v>0.06557377049</v>
      </c>
      <c r="G6" s="98">
        <f t="shared" si="1"/>
        <v>1</v>
      </c>
      <c r="H6" s="62"/>
      <c r="I6" s="69"/>
      <c r="J6" s="69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12.75" customHeight="1">
      <c r="A7" s="99" t="s">
        <v>53</v>
      </c>
      <c r="B7" s="101">
        <f>(B5-F5)/G5</f>
        <v>0.1147540984</v>
      </c>
      <c r="C7" s="69"/>
      <c r="D7" s="170"/>
      <c r="E7" s="170"/>
      <c r="F7" s="170"/>
      <c r="G7" s="69"/>
      <c r="H7" s="37"/>
      <c r="I7" s="35" t="s">
        <v>16</v>
      </c>
      <c r="J7" s="172">
        <f>COUNTIF(Dati!C2:AL79,I7)</f>
        <v>2</v>
      </c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12.75" customHeight="1">
      <c r="A8" s="99" t="s">
        <v>58</v>
      </c>
      <c r="B8" s="173">
        <f>(B5+C5)/G5</f>
        <v>0.6229508197</v>
      </c>
      <c r="C8" s="174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12.75" customHeight="1">
      <c r="A9" s="37"/>
      <c r="B9" s="176"/>
      <c r="C9" s="174"/>
      <c r="D9" s="37"/>
      <c r="E9" s="37"/>
      <c r="F9" s="37"/>
      <c r="G9" s="37"/>
      <c r="H9" s="37"/>
      <c r="I9" s="81" t="s">
        <v>59</v>
      </c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12.75" customHeight="1">
      <c r="A10" s="37"/>
      <c r="B10" s="83" t="s">
        <v>1</v>
      </c>
      <c r="C10" s="36"/>
      <c r="D10" s="36"/>
      <c r="E10" s="36"/>
      <c r="F10" s="36"/>
      <c r="G10" s="36"/>
      <c r="H10" s="37"/>
      <c r="I10" s="178" t="s">
        <v>0</v>
      </c>
      <c r="J10" s="180">
        <f>B12+B19+I5</f>
        <v>73</v>
      </c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2.75" customHeight="1">
      <c r="A11" s="38"/>
      <c r="B11" s="85" t="s">
        <v>24</v>
      </c>
      <c r="C11" s="85" t="s">
        <v>17</v>
      </c>
      <c r="D11" s="85" t="s">
        <v>60</v>
      </c>
      <c r="E11" s="85" t="s">
        <v>61</v>
      </c>
      <c r="F11" s="85" t="s">
        <v>22</v>
      </c>
      <c r="G11" s="85" t="s">
        <v>5</v>
      </c>
      <c r="H11" s="62"/>
      <c r="I11" s="178" t="s">
        <v>62</v>
      </c>
      <c r="J11" s="180">
        <f>G19+F12+J5+J7</f>
        <v>29</v>
      </c>
      <c r="K11" s="180">
        <f>J11+J12</f>
        <v>33</v>
      </c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12.75" customHeight="1">
      <c r="A12" s="38"/>
      <c r="B12" s="88">
        <f>COUNTIF(Dati!C2:AL79,B11)</f>
        <v>8</v>
      </c>
      <c r="C12" s="88">
        <f>COUNTIF(Dati!C2:AL79,C11)</f>
        <v>83</v>
      </c>
      <c r="D12" s="88">
        <f>COUNTIF(Dati!C2:AL79,D11)</f>
        <v>0</v>
      </c>
      <c r="E12" s="88">
        <f>COUNTIF(Dati!C2:AL79,E11)</f>
        <v>0</v>
      </c>
      <c r="F12" s="88">
        <f>COUNTIF(Dati!C2:AL79,F11)</f>
        <v>6</v>
      </c>
      <c r="G12" s="88">
        <f t="shared" ref="G12:G13" si="2">SUM(B12:F12)</f>
        <v>97</v>
      </c>
      <c r="H12" s="62"/>
      <c r="I12" s="178" t="s">
        <v>63</v>
      </c>
      <c r="J12" s="180">
        <f>F5</f>
        <v>4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12.75" customHeight="1">
      <c r="A13" s="38"/>
      <c r="B13" s="96">
        <f>B12/G12</f>
        <v>0.0824742268</v>
      </c>
      <c r="C13" s="96">
        <f>C12/G12</f>
        <v>0.8556701031</v>
      </c>
      <c r="D13" s="96">
        <f>D12/G12</f>
        <v>0</v>
      </c>
      <c r="E13" s="96">
        <f>E12/G12</f>
        <v>0</v>
      </c>
      <c r="F13" s="96">
        <f>F12/G12</f>
        <v>0.0618556701</v>
      </c>
      <c r="G13" s="96">
        <f t="shared" si="2"/>
        <v>1</v>
      </c>
      <c r="H13" s="62"/>
      <c r="I13" s="178" t="s">
        <v>64</v>
      </c>
      <c r="J13" s="180">
        <f>F19</f>
        <v>0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12.75" customHeight="1">
      <c r="A14" s="99" t="s">
        <v>53</v>
      </c>
      <c r="B14" s="101">
        <f>(B12-F12)/G12</f>
        <v>0.0206185567</v>
      </c>
      <c r="C14" s="69"/>
      <c r="D14" s="69"/>
      <c r="E14" s="69"/>
      <c r="F14" s="69"/>
      <c r="G14" s="69"/>
      <c r="H14" s="37"/>
      <c r="I14" s="178" t="s">
        <v>65</v>
      </c>
      <c r="J14" s="189">
        <f>B7</f>
        <v>0.1147540984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12.75" customHeight="1">
      <c r="A15" s="99" t="s">
        <v>66</v>
      </c>
      <c r="B15" s="173">
        <f>(B12+C12)/G12</f>
        <v>0.9381443299</v>
      </c>
      <c r="C15" s="37"/>
      <c r="D15" s="37"/>
      <c r="E15" s="37"/>
      <c r="F15" s="37"/>
      <c r="G15" s="37"/>
      <c r="H15" s="37"/>
      <c r="I15" s="178" t="s">
        <v>67</v>
      </c>
      <c r="J15" s="189">
        <f>B21</f>
        <v>0.2760736196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12.75" customHeight="1">
      <c r="A16" s="37"/>
      <c r="B16" s="176"/>
      <c r="C16" s="37"/>
      <c r="D16" s="37"/>
      <c r="E16" s="37"/>
      <c r="F16" s="37"/>
      <c r="G16" s="37"/>
      <c r="H16" s="37"/>
      <c r="I16" s="65" t="s">
        <v>6</v>
      </c>
      <c r="J16" s="192">
        <f>J10-J11-J12</f>
        <v>40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12.75" customHeight="1">
      <c r="A17" s="37"/>
      <c r="B17" s="83" t="s">
        <v>3</v>
      </c>
      <c r="C17" s="36"/>
      <c r="D17" s="36"/>
      <c r="E17" s="36"/>
      <c r="F17" s="36"/>
      <c r="G17" s="36"/>
      <c r="H17" s="36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12.75" customHeight="1">
      <c r="A18" s="38"/>
      <c r="B18" s="85" t="s">
        <v>15</v>
      </c>
      <c r="C18" s="85" t="s">
        <v>18</v>
      </c>
      <c r="D18" s="85" t="s">
        <v>68</v>
      </c>
      <c r="E18" s="85" t="s">
        <v>69</v>
      </c>
      <c r="F18" s="85" t="s">
        <v>70</v>
      </c>
      <c r="G18" s="85" t="s">
        <v>21</v>
      </c>
      <c r="H18" s="85" t="s">
        <v>5</v>
      </c>
      <c r="I18" s="62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12.75" customHeight="1">
      <c r="A19" s="38"/>
      <c r="B19" s="88">
        <f>COUNTIF(Dati!C2:AL79,B18)</f>
        <v>62</v>
      </c>
      <c r="C19" s="88">
        <f>COUNTIF(Dati!C2:AL79,C18)</f>
        <v>84</v>
      </c>
      <c r="D19" s="88">
        <f>COUNTIF(Dati!C2:AL79,D18)</f>
        <v>0</v>
      </c>
      <c r="E19" s="88">
        <f>COUNTIF(Dati!C2:AL79,E18)</f>
        <v>0</v>
      </c>
      <c r="F19" s="88">
        <f>COUNTIF(Dati!C2:AL79,F18)</f>
        <v>0</v>
      </c>
      <c r="G19" s="88">
        <f>COUNTIF(Dati!C2:AL79,G18)</f>
        <v>17</v>
      </c>
      <c r="H19" s="88">
        <f t="shared" ref="H19:H20" si="3">SUM(B19:G19)</f>
        <v>163</v>
      </c>
      <c r="I19" s="62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12.75" customHeight="1">
      <c r="A20" s="38"/>
      <c r="B20" s="96">
        <f>B19/H19</f>
        <v>0.3803680982</v>
      </c>
      <c r="C20" s="96">
        <f>C19/H19</f>
        <v>0.5153374233</v>
      </c>
      <c r="D20" s="96">
        <f>D19/H19</f>
        <v>0</v>
      </c>
      <c r="E20" s="96">
        <f>E19/H19</f>
        <v>0</v>
      </c>
      <c r="F20" s="96">
        <f>F19/H19</f>
        <v>0</v>
      </c>
      <c r="G20" s="96">
        <f>G19/H19</f>
        <v>0.1042944785</v>
      </c>
      <c r="H20" s="96">
        <f t="shared" si="3"/>
        <v>1</v>
      </c>
      <c r="I20" s="62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12.75" customHeight="1">
      <c r="A21" s="99" t="s">
        <v>53</v>
      </c>
      <c r="B21" s="199">
        <f>(B19-G19)/H19</f>
        <v>0.2760736196</v>
      </c>
      <c r="C21" s="69"/>
      <c r="D21" s="69"/>
      <c r="E21" s="69"/>
      <c r="F21" s="69"/>
      <c r="G21" s="69"/>
      <c r="H21" s="69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12.75" customHeight="1">
      <c r="A22" s="99" t="s">
        <v>58</v>
      </c>
      <c r="B22" s="202">
        <f>(B19+C19+D19+E19)/H19</f>
        <v>0.8957055215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12.75" customHeight="1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12.75" customHeight="1">
      <c r="A24" s="35" t="s">
        <v>76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12.75" customHeight="1">
      <c r="A25" s="37"/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12.75" customHeight="1">
      <c r="A27" s="38"/>
      <c r="B27" s="88">
        <f>COUNTIF(Dati!C2:AL13,B26)</f>
        <v>4</v>
      </c>
      <c r="C27" s="88">
        <f>COUNTIF(Dati!C2:AL13,C26)</f>
        <v>7</v>
      </c>
      <c r="D27" s="88">
        <f>COUNTIF(Dati!C2:AL13,D26)</f>
        <v>4</v>
      </c>
      <c r="E27" s="88">
        <f>COUNTIF(Dati!C2:AL13,E26)</f>
        <v>0</v>
      </c>
      <c r="F27" s="88">
        <f>COUNTIF(Dati!C2:AL13,F26)</f>
        <v>1</v>
      </c>
      <c r="G27" s="88">
        <f t="shared" ref="G27:G28" si="4">SUM(B27:F27)</f>
        <v>16</v>
      </c>
      <c r="H27" s="86"/>
      <c r="I27" s="88">
        <f>COUNTIF(Dati!C2:AL13,I26)</f>
        <v>0</v>
      </c>
      <c r="J27" s="88">
        <f>COUNTIF(Dati!C2:AL13,J26)</f>
        <v>2</v>
      </c>
      <c r="K27" s="6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12.75" customHeight="1">
      <c r="A28" s="38"/>
      <c r="B28" s="96">
        <f>B27/G27</f>
        <v>0.25</v>
      </c>
      <c r="C28" s="96">
        <f>C27/G27</f>
        <v>0.4375</v>
      </c>
      <c r="D28" s="96">
        <f>D27/G27</f>
        <v>0.25</v>
      </c>
      <c r="E28" s="96">
        <f>E27/G27</f>
        <v>0</v>
      </c>
      <c r="F28" s="96">
        <f>F27/G27</f>
        <v>0.0625</v>
      </c>
      <c r="G28" s="98">
        <f t="shared" si="4"/>
        <v>1</v>
      </c>
      <c r="H28" s="62"/>
      <c r="I28" s="69"/>
      <c r="J28" s="69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12.75" customHeight="1">
      <c r="A29" s="99" t="s">
        <v>53</v>
      </c>
      <c r="B29" s="101">
        <f>(B27-F27)/G27</f>
        <v>0.1875</v>
      </c>
      <c r="C29" s="69"/>
      <c r="D29" s="170"/>
      <c r="E29" s="170"/>
      <c r="F29" s="170"/>
      <c r="G29" s="69"/>
      <c r="H29" s="37"/>
      <c r="I29" s="35" t="s">
        <v>16</v>
      </c>
      <c r="J29" s="172">
        <f>COUNTIF(Dati!C2:AL13,I29)</f>
        <v>1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12.75" customHeight="1">
      <c r="A30" s="99" t="s">
        <v>58</v>
      </c>
      <c r="B30" s="173">
        <f>(B27+C27)/G27</f>
        <v>0.6875</v>
      </c>
      <c r="C30" s="174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12.75" customHeight="1">
      <c r="A31" s="37"/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20</v>
      </c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G41+F34+J29</f>
        <v>6</v>
      </c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2.75" customHeight="1">
      <c r="A34" s="38"/>
      <c r="B34" s="88">
        <f>COUNTIF(Dati!C2:AL13,B33)</f>
        <v>2</v>
      </c>
      <c r="C34" s="88">
        <f>COUNTIF(Dati!C2:AL13,C33)</f>
        <v>20</v>
      </c>
      <c r="D34" s="88">
        <f>COUNTIF(Dati!C2:AL13,D33)</f>
        <v>0</v>
      </c>
      <c r="E34" s="88">
        <f>COUNTIF(Dati!C2:AL13,E33)</f>
        <v>0</v>
      </c>
      <c r="F34" s="88">
        <f>COUNTIF(Dati!C2:AL13,F33)</f>
        <v>1</v>
      </c>
      <c r="G34" s="88">
        <f t="shared" ref="G34:G35" si="5">SUM(B34:F34)</f>
        <v>23</v>
      </c>
      <c r="H34" s="62"/>
      <c r="I34" s="178" t="s">
        <v>63</v>
      </c>
      <c r="J34" s="180">
        <f>F27</f>
        <v>1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2.75" customHeight="1">
      <c r="A35" s="38"/>
      <c r="B35" s="96">
        <f>B34/G34</f>
        <v>0.08695652174</v>
      </c>
      <c r="C35" s="96">
        <f>C34/G34</f>
        <v>0.8695652174</v>
      </c>
      <c r="D35" s="96">
        <f>D34/G34</f>
        <v>0</v>
      </c>
      <c r="E35" s="96">
        <f>E34/G34</f>
        <v>0</v>
      </c>
      <c r="F35" s="96">
        <f>F34/G34</f>
        <v>0.04347826087</v>
      </c>
      <c r="G35" s="96">
        <f t="shared" si="5"/>
        <v>1</v>
      </c>
      <c r="H35" s="62"/>
      <c r="I35" s="178" t="s">
        <v>64</v>
      </c>
      <c r="J35" s="180">
        <f>F41</f>
        <v>0</v>
      </c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2.75" customHeight="1">
      <c r="A36" s="99" t="s">
        <v>53</v>
      </c>
      <c r="B36" s="101">
        <f>(B34-F34)/G34</f>
        <v>0.04347826087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0.1875</v>
      </c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2.75" customHeight="1">
      <c r="A37" s="99" t="s">
        <v>58</v>
      </c>
      <c r="B37" s="173">
        <f>(B34+C34)/G34</f>
        <v>0.9565217391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0.2916666667</v>
      </c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2.75" customHeight="1">
      <c r="A39" s="37"/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2.75" customHeight="1">
      <c r="A41" s="38"/>
      <c r="B41" s="88">
        <f>COUNTIF(Dati!C2:AL13,B40)</f>
        <v>18</v>
      </c>
      <c r="C41" s="88">
        <f>COUNTIF(Dati!C2:AL13,C40)</f>
        <v>26</v>
      </c>
      <c r="D41" s="88">
        <f>COUNTIF(Dati!C2:AL13,D40)</f>
        <v>0</v>
      </c>
      <c r="E41" s="88">
        <f>COUNTIF(Dati!C2:AL13,E40)</f>
        <v>0</v>
      </c>
      <c r="F41" s="88">
        <f>COUNTIF(Dati!C2:AL13,F40)</f>
        <v>0</v>
      </c>
      <c r="G41" s="88">
        <f>COUNTIF(Dati!C2:AL13,G40)</f>
        <v>4</v>
      </c>
      <c r="H41" s="88">
        <f t="shared" ref="H41:H42" si="6">SUM(B41:G41)</f>
        <v>48</v>
      </c>
      <c r="I41" s="62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2.75" customHeight="1">
      <c r="A42" s="38"/>
      <c r="B42" s="96">
        <f>B41/H41</f>
        <v>0.375</v>
      </c>
      <c r="C42" s="96">
        <f>C41/H41</f>
        <v>0.5416666667</v>
      </c>
      <c r="D42" s="96">
        <f>D41/H41</f>
        <v>0</v>
      </c>
      <c r="E42" s="96">
        <f>E41/H41</f>
        <v>0</v>
      </c>
      <c r="F42" s="96">
        <f>F41/H41</f>
        <v>0</v>
      </c>
      <c r="G42" s="96">
        <f>G41/H41</f>
        <v>0.08333333333</v>
      </c>
      <c r="H42" s="96">
        <f t="shared" si="6"/>
        <v>1</v>
      </c>
      <c r="I42" s="62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2.75" customHeight="1">
      <c r="A43" s="99" t="s">
        <v>53</v>
      </c>
      <c r="B43" s="199">
        <f>(B41-G41)/H41</f>
        <v>0.2916666667</v>
      </c>
      <c r="C43" s="69"/>
      <c r="D43" s="69"/>
      <c r="E43" s="69"/>
      <c r="F43" s="69"/>
      <c r="G43" s="69"/>
      <c r="H43" s="69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2.75" customHeight="1">
      <c r="A44" s="99" t="s">
        <v>58</v>
      </c>
      <c r="B44" s="202">
        <f>(B41+C41+D41+E41)/H41</f>
        <v>0.9166666667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2.7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2.75" customHeight="1">
      <c r="A46" s="35" t="s">
        <v>83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2.75" customHeight="1">
      <c r="A47" s="37"/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6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2.75" customHeight="1">
      <c r="A49" s="38"/>
      <c r="B49" s="88">
        <f>COUNTIF(Dati!C16:AL27,B48)</f>
        <v>4</v>
      </c>
      <c r="C49" s="88">
        <f>COUNTIF(Dati!C16:AL27,C48)</f>
        <v>8</v>
      </c>
      <c r="D49" s="88">
        <f>COUNTIF(Dati!C16:AL27,D48)</f>
        <v>4</v>
      </c>
      <c r="E49" s="88">
        <f>COUNTIF(Dati!C16:AL27,E48)</f>
        <v>1</v>
      </c>
      <c r="F49" s="88">
        <f>COUNTIF(Dati!C16:AL27,F48)</f>
        <v>3</v>
      </c>
      <c r="G49" s="88">
        <f t="shared" ref="G49:G50" si="7">SUM(B49:F49)</f>
        <v>20</v>
      </c>
      <c r="H49" s="86"/>
      <c r="I49" s="88">
        <f>COUNTIF(Dati!C16:AL27,I48)</f>
        <v>2</v>
      </c>
      <c r="J49" s="88">
        <f>COUNTIF(Dati!C16:AL27,J48)</f>
        <v>0</v>
      </c>
      <c r="K49" s="6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2.75" customHeight="1">
      <c r="A50" s="38"/>
      <c r="B50" s="96">
        <f>B49/G49</f>
        <v>0.2</v>
      </c>
      <c r="C50" s="96">
        <f>C49/G49</f>
        <v>0.4</v>
      </c>
      <c r="D50" s="96">
        <f>D49/G49</f>
        <v>0.2</v>
      </c>
      <c r="E50" s="96">
        <f>E49/G49</f>
        <v>0.05</v>
      </c>
      <c r="F50" s="96">
        <f>F49/G49</f>
        <v>0.15</v>
      </c>
      <c r="G50" s="98">
        <f t="shared" si="7"/>
        <v>1</v>
      </c>
      <c r="H50" s="62"/>
      <c r="I50" s="69"/>
      <c r="J50" s="69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2.75" customHeight="1">
      <c r="A51" s="99" t="s">
        <v>53</v>
      </c>
      <c r="B51" s="101">
        <f>(B49-F49)/G49</f>
        <v>0.05</v>
      </c>
      <c r="C51" s="69"/>
      <c r="D51" s="170"/>
      <c r="E51" s="170"/>
      <c r="F51" s="170"/>
      <c r="G51" s="69"/>
      <c r="H51" s="37"/>
      <c r="I51" s="35" t="s">
        <v>16</v>
      </c>
      <c r="J51" s="172">
        <f>COUNTIF(Dati!C16:AL27,I51)</f>
        <v>1</v>
      </c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2.75" customHeight="1">
      <c r="A52" s="99" t="s">
        <v>58</v>
      </c>
      <c r="B52" s="173">
        <f>(B49+C49)/G49</f>
        <v>0.6</v>
      </c>
      <c r="C52" s="174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16</v>
      </c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10</v>
      </c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2.75" customHeight="1">
      <c r="A56" s="38"/>
      <c r="B56" s="88">
        <f>COUNTIF(Dati!C16:AL27,B55)</f>
        <v>0</v>
      </c>
      <c r="C56" s="88">
        <f>COUNTIF(Dati!C16:AL27,C55)</f>
        <v>24</v>
      </c>
      <c r="D56" s="88">
        <f>COUNTIF(Dati!C16:AL27,D55)</f>
        <v>0</v>
      </c>
      <c r="E56" s="88">
        <f>COUNTIF(Dati!C16:AL27,E55)</f>
        <v>0</v>
      </c>
      <c r="F56" s="88">
        <f>COUNTIF(Dati!C16:AL27,F55)</f>
        <v>1</v>
      </c>
      <c r="G56" s="88">
        <f t="shared" ref="G56:G57" si="8">SUM(B56:F56)</f>
        <v>25</v>
      </c>
      <c r="H56" s="62"/>
      <c r="I56" s="178" t="s">
        <v>63</v>
      </c>
      <c r="J56" s="180">
        <f>F49</f>
        <v>3</v>
      </c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2.75" customHeight="1">
      <c r="A57" s="38"/>
      <c r="B57" s="96">
        <f>B56/G56</f>
        <v>0</v>
      </c>
      <c r="C57" s="96">
        <f>C56/G56</f>
        <v>0.96</v>
      </c>
      <c r="D57" s="96">
        <f>D56/G56</f>
        <v>0</v>
      </c>
      <c r="E57" s="96">
        <f>E56/G56</f>
        <v>0</v>
      </c>
      <c r="F57" s="96">
        <f>F56/G56</f>
        <v>0.04</v>
      </c>
      <c r="G57" s="96">
        <f t="shared" si="8"/>
        <v>1</v>
      </c>
      <c r="H57" s="62"/>
      <c r="I57" s="178" t="s">
        <v>64</v>
      </c>
      <c r="J57" s="180">
        <f>F63</f>
        <v>0</v>
      </c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2.75" customHeight="1">
      <c r="A58" s="99" t="s">
        <v>53</v>
      </c>
      <c r="B58" s="101">
        <f>(B56-F56)/G56</f>
        <v>-0.04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0.05</v>
      </c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2.75" customHeight="1">
      <c r="A59" s="99" t="s">
        <v>58</v>
      </c>
      <c r="B59" s="173">
        <f>(B56+C56)/G56</f>
        <v>0.96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0.1219512195</v>
      </c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2.75" customHeight="1">
      <c r="A60" s="37"/>
      <c r="B60" s="17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2.75" customHeight="1">
      <c r="A63" s="38"/>
      <c r="B63" s="88">
        <f>COUNTIF(Dati!C16:AL27,B62)</f>
        <v>14</v>
      </c>
      <c r="C63" s="88">
        <f>COUNTIF(Dati!C16:AL27,C62)</f>
        <v>18</v>
      </c>
      <c r="D63" s="88">
        <f>COUNTIF(Dati!C16:AL27,D62)</f>
        <v>0</v>
      </c>
      <c r="E63" s="88">
        <f>COUNTIF(Dati!C16:AL27,E62)</f>
        <v>0</v>
      </c>
      <c r="F63" s="88">
        <f>COUNTIF(Dati!C16:AL27,F62)</f>
        <v>0</v>
      </c>
      <c r="G63" s="88">
        <f>COUNTIF(Dati!C16:AL27,G62)</f>
        <v>9</v>
      </c>
      <c r="H63" s="88">
        <f t="shared" ref="H63:H64" si="9">SUM(B63:G63)</f>
        <v>41</v>
      </c>
      <c r="I63" s="62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2.75" customHeight="1">
      <c r="A64" s="38"/>
      <c r="B64" s="96">
        <f>B63/H63</f>
        <v>0.3414634146</v>
      </c>
      <c r="C64" s="96">
        <f>C63/H63</f>
        <v>0.4390243902</v>
      </c>
      <c r="D64" s="96">
        <f>D63/H63</f>
        <v>0</v>
      </c>
      <c r="E64" s="96">
        <f>E63/H63</f>
        <v>0</v>
      </c>
      <c r="F64" s="96">
        <f>F63/H63</f>
        <v>0</v>
      </c>
      <c r="G64" s="96">
        <f>G63/H63</f>
        <v>0.2195121951</v>
      </c>
      <c r="H64" s="96">
        <f t="shared" si="9"/>
        <v>1</v>
      </c>
      <c r="I64" s="62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2.75" customHeight="1">
      <c r="A65" s="99" t="s">
        <v>53</v>
      </c>
      <c r="B65" s="199">
        <f>(B63-G63)/H63</f>
        <v>0.1219512195</v>
      </c>
      <c r="C65" s="69"/>
      <c r="D65" s="69"/>
      <c r="E65" s="69"/>
      <c r="F65" s="69"/>
      <c r="G65" s="69"/>
      <c r="H65" s="69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2.75" customHeight="1">
      <c r="A66" s="99" t="s">
        <v>58</v>
      </c>
      <c r="B66" s="202">
        <f>(B63+C63+D63+E63)/H63</f>
        <v>0.7804878049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2.7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2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2.75" customHeight="1">
      <c r="A69" s="35" t="s">
        <v>84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2.75" customHeight="1">
      <c r="A70" s="37"/>
      <c r="B70" s="83" t="s">
        <v>2</v>
      </c>
      <c r="C70" s="36"/>
      <c r="D70" s="36"/>
      <c r="E70" s="36"/>
      <c r="F70" s="36"/>
      <c r="G70" s="36"/>
      <c r="H70" s="37"/>
      <c r="I70" s="83" t="s">
        <v>4</v>
      </c>
      <c r="J70" s="36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2.75" customHeight="1">
      <c r="A71" s="38"/>
      <c r="B71" s="85" t="s">
        <v>28</v>
      </c>
      <c r="C71" s="85" t="s">
        <v>26</v>
      </c>
      <c r="D71" s="85" t="s">
        <v>25</v>
      </c>
      <c r="E71" s="85" t="s">
        <v>31</v>
      </c>
      <c r="F71" s="85" t="s">
        <v>27</v>
      </c>
      <c r="G71" s="85" t="s">
        <v>5</v>
      </c>
      <c r="H71" s="86"/>
      <c r="I71" s="85" t="s">
        <v>30</v>
      </c>
      <c r="J71" s="85" t="s">
        <v>23</v>
      </c>
      <c r="K71" s="6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2.75" customHeight="1">
      <c r="A72" s="38"/>
      <c r="B72" s="88">
        <f>COUNTIF(Dati!C30:AL41,B71)</f>
        <v>2</v>
      </c>
      <c r="C72" s="88">
        <f>COUNTIF(Dati!C30:AL41,C71)</f>
        <v>6</v>
      </c>
      <c r="D72" s="88">
        <f>COUNTIF(Dati!C30:AL41,D71)</f>
        <v>5</v>
      </c>
      <c r="E72" s="88">
        <f>COUNTIF(Dati!C30:AL41,E71)</f>
        <v>0</v>
      </c>
      <c r="F72" s="88">
        <f>COUNTIF(Dati!C30:AL41,F71)</f>
        <v>0</v>
      </c>
      <c r="G72" s="88">
        <f t="shared" ref="G72:G73" si="10">SUM(B72:F72)</f>
        <v>13</v>
      </c>
      <c r="H72" s="86"/>
      <c r="I72" s="88">
        <f>COUNTIF(Dati!C30:AL41,I71)</f>
        <v>0</v>
      </c>
      <c r="J72" s="88">
        <f>COUNTIF(Dati!C30:AL41,J71)</f>
        <v>1</v>
      </c>
      <c r="K72" s="6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2.75" customHeight="1">
      <c r="A73" s="38"/>
      <c r="B73" s="96">
        <f>B72/G72</f>
        <v>0.1538461538</v>
      </c>
      <c r="C73" s="96">
        <f>C72/G72</f>
        <v>0.4615384615</v>
      </c>
      <c r="D73" s="96">
        <f>D72/G72</f>
        <v>0.3846153846</v>
      </c>
      <c r="E73" s="96">
        <f>E72/G72</f>
        <v>0</v>
      </c>
      <c r="F73" s="96">
        <f>F72/G72</f>
        <v>0</v>
      </c>
      <c r="G73" s="98">
        <f t="shared" si="10"/>
        <v>1</v>
      </c>
      <c r="H73" s="62"/>
      <c r="I73" s="69"/>
      <c r="J73" s="69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2.75" customHeight="1">
      <c r="A74" s="99" t="s">
        <v>53</v>
      </c>
      <c r="B74" s="101">
        <f>(B72-F72)/G72</f>
        <v>0.1538461538</v>
      </c>
      <c r="C74" s="69"/>
      <c r="D74" s="170"/>
      <c r="E74" s="170"/>
      <c r="F74" s="170"/>
      <c r="G74" s="69"/>
      <c r="H74" s="37"/>
      <c r="I74" s="35" t="s">
        <v>16</v>
      </c>
      <c r="J74" s="172">
        <f>COUNTIF(Dati!C30:AL41,I74)</f>
        <v>0</v>
      </c>
      <c r="K74" s="35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2.75" customHeight="1">
      <c r="A75" s="99" t="s">
        <v>58</v>
      </c>
      <c r="B75" s="173">
        <f>(B72+C72)/G72</f>
        <v>0.6153846154</v>
      </c>
      <c r="C75" s="174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2.75" customHeight="1">
      <c r="A76" s="37"/>
      <c r="B76" s="176"/>
      <c r="C76" s="174"/>
      <c r="D76" s="37"/>
      <c r="E76" s="37"/>
      <c r="F76" s="37"/>
      <c r="G76" s="37"/>
      <c r="H76" s="37"/>
      <c r="I76" s="81" t="s">
        <v>59</v>
      </c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2.75" customHeight="1">
      <c r="A77" s="37"/>
      <c r="B77" s="83" t="s">
        <v>1</v>
      </c>
      <c r="C77" s="36"/>
      <c r="D77" s="36"/>
      <c r="E77" s="36"/>
      <c r="F77" s="36"/>
      <c r="G77" s="36"/>
      <c r="H77" s="37"/>
      <c r="I77" s="178" t="s">
        <v>0</v>
      </c>
      <c r="J77" s="180">
        <f>B79+B86+I72</f>
        <v>20</v>
      </c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2.75" customHeight="1">
      <c r="A78" s="38"/>
      <c r="B78" s="85" t="s">
        <v>24</v>
      </c>
      <c r="C78" s="85" t="s">
        <v>17</v>
      </c>
      <c r="D78" s="85" t="s">
        <v>60</v>
      </c>
      <c r="E78" s="85" t="s">
        <v>61</v>
      </c>
      <c r="F78" s="85" t="s">
        <v>22</v>
      </c>
      <c r="G78" s="85" t="s">
        <v>5</v>
      </c>
      <c r="H78" s="62"/>
      <c r="I78" s="178" t="s">
        <v>62</v>
      </c>
      <c r="J78" s="180">
        <f>G86+F79+J74</f>
        <v>6</v>
      </c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2.75" customHeight="1">
      <c r="A79" s="38"/>
      <c r="B79" s="88">
        <f>COUNTIF(Dati!C30:AL41,B78)</f>
        <v>3</v>
      </c>
      <c r="C79" s="88">
        <f>COUNTIF(Dati!C30:AL41,C78)</f>
        <v>18</v>
      </c>
      <c r="D79" s="88">
        <f>COUNTIF(Dati!C30:AL41,D78)</f>
        <v>0</v>
      </c>
      <c r="E79" s="88">
        <f>COUNTIF(Dati!C30:AL41,E78)</f>
        <v>0</v>
      </c>
      <c r="F79" s="88">
        <f>COUNTIF(Dati!C30:AL41,F78)</f>
        <v>3</v>
      </c>
      <c r="G79" s="88">
        <f t="shared" ref="G79:G80" si="11">SUM(B79:F79)</f>
        <v>24</v>
      </c>
      <c r="H79" s="62"/>
      <c r="I79" s="178" t="s">
        <v>63</v>
      </c>
      <c r="J79" s="180">
        <f>F72</f>
        <v>0</v>
      </c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2.75" customHeight="1">
      <c r="A80" s="38"/>
      <c r="B80" s="96">
        <f>B79/G79</f>
        <v>0.125</v>
      </c>
      <c r="C80" s="96">
        <f>C79/G79</f>
        <v>0.75</v>
      </c>
      <c r="D80" s="96">
        <f>D79/G79</f>
        <v>0</v>
      </c>
      <c r="E80" s="96">
        <f>E79/G79</f>
        <v>0</v>
      </c>
      <c r="F80" s="96">
        <f>F79/G79</f>
        <v>0.125</v>
      </c>
      <c r="G80" s="96">
        <f t="shared" si="11"/>
        <v>1</v>
      </c>
      <c r="H80" s="62"/>
      <c r="I80" s="178" t="s">
        <v>64</v>
      </c>
      <c r="J80" s="180">
        <f>F86</f>
        <v>0</v>
      </c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2.75" customHeight="1">
      <c r="A81" s="99" t="s">
        <v>53</v>
      </c>
      <c r="B81" s="101">
        <f>(B79-F79)/G79</f>
        <v>0</v>
      </c>
      <c r="C81" s="69"/>
      <c r="D81" s="69"/>
      <c r="E81" s="69"/>
      <c r="F81" s="69"/>
      <c r="G81" s="69"/>
      <c r="H81" s="37"/>
      <c r="I81" s="178" t="s">
        <v>65</v>
      </c>
      <c r="J81" s="189">
        <f>B74</f>
        <v>0.1538461538</v>
      </c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2.75" customHeight="1">
      <c r="A82" s="99" t="s">
        <v>58</v>
      </c>
      <c r="B82" s="173">
        <f>(B79+C79)/G79</f>
        <v>0.875</v>
      </c>
      <c r="C82" s="37"/>
      <c r="D82" s="37"/>
      <c r="E82" s="37"/>
      <c r="F82" s="37"/>
      <c r="G82" s="37"/>
      <c r="H82" s="37"/>
      <c r="I82" s="178" t="s">
        <v>67</v>
      </c>
      <c r="J82" s="189">
        <f>B88</f>
        <v>0.3181818182</v>
      </c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2.75" customHeight="1">
      <c r="A83" s="37"/>
      <c r="B83" s="17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2.75" customHeight="1">
      <c r="A84" s="37"/>
      <c r="B84" s="83" t="s">
        <v>3</v>
      </c>
      <c r="C84" s="36"/>
      <c r="D84" s="36"/>
      <c r="E84" s="36"/>
      <c r="F84" s="36"/>
      <c r="G84" s="36"/>
      <c r="H84" s="36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2.75" customHeight="1">
      <c r="A85" s="38"/>
      <c r="B85" s="85" t="s">
        <v>15</v>
      </c>
      <c r="C85" s="85" t="s">
        <v>18</v>
      </c>
      <c r="D85" s="85" t="s">
        <v>68</v>
      </c>
      <c r="E85" s="85" t="s">
        <v>69</v>
      </c>
      <c r="F85" s="85" t="s">
        <v>70</v>
      </c>
      <c r="G85" s="85" t="s">
        <v>21</v>
      </c>
      <c r="H85" s="85" t="s">
        <v>5</v>
      </c>
      <c r="I85" s="62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2.75" customHeight="1">
      <c r="A86" s="38"/>
      <c r="B86" s="88">
        <f>COUNTIF(Dati!C30:AL41,B85)</f>
        <v>17</v>
      </c>
      <c r="C86" s="88">
        <f>COUNTIF(Dati!C30:AL41,C85)</f>
        <v>24</v>
      </c>
      <c r="D86" s="88">
        <f>COUNTIF(Dati!C30:AL41,D85)</f>
        <v>0</v>
      </c>
      <c r="E86" s="88">
        <f>COUNTIF(Dati!C30:AL41,E85)</f>
        <v>0</v>
      </c>
      <c r="F86" s="88">
        <f>COUNTIF(Dati!C30:AL41,F85)</f>
        <v>0</v>
      </c>
      <c r="G86" s="88">
        <f>COUNTIF(Dati!C30:AL41,G85)</f>
        <v>3</v>
      </c>
      <c r="H86" s="88">
        <f t="shared" ref="H86:H87" si="12">SUM(B86:G86)</f>
        <v>44</v>
      </c>
      <c r="I86" s="62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2.75" customHeight="1">
      <c r="A87" s="38"/>
      <c r="B87" s="96">
        <f>B86/H86</f>
        <v>0.3863636364</v>
      </c>
      <c r="C87" s="96">
        <f>C86/H86</f>
        <v>0.5454545455</v>
      </c>
      <c r="D87" s="96">
        <f>D86/H86</f>
        <v>0</v>
      </c>
      <c r="E87" s="96">
        <f>E86/H86</f>
        <v>0</v>
      </c>
      <c r="F87" s="96">
        <f>F86/H86</f>
        <v>0</v>
      </c>
      <c r="G87" s="96">
        <f>G86/H86</f>
        <v>0.06818181818</v>
      </c>
      <c r="H87" s="96">
        <f t="shared" si="12"/>
        <v>1</v>
      </c>
      <c r="I87" s="62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2.75" customHeight="1">
      <c r="A88" s="99" t="s">
        <v>53</v>
      </c>
      <c r="B88" s="199">
        <f>(B86-G86)/H86</f>
        <v>0.3181818182</v>
      </c>
      <c r="C88" s="69"/>
      <c r="D88" s="69"/>
      <c r="E88" s="69"/>
      <c r="F88" s="69"/>
      <c r="G88" s="69"/>
      <c r="H88" s="69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2.75" customHeight="1">
      <c r="A89" s="99" t="s">
        <v>58</v>
      </c>
      <c r="B89" s="202">
        <f>(B86+C86+D86+E86)/H86</f>
        <v>0.9318181818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2.7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2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2.75" customHeight="1">
      <c r="A92" s="35" t="s">
        <v>87</v>
      </c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2.75" customHeight="1">
      <c r="A93" s="37"/>
      <c r="B93" s="83" t="s">
        <v>2</v>
      </c>
      <c r="C93" s="36"/>
      <c r="D93" s="36"/>
      <c r="E93" s="36"/>
      <c r="F93" s="36"/>
      <c r="G93" s="36"/>
      <c r="H93" s="37"/>
      <c r="I93" s="83" t="s">
        <v>4</v>
      </c>
      <c r="J93" s="36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2.75" customHeight="1">
      <c r="A94" s="38"/>
      <c r="B94" s="85" t="s">
        <v>28</v>
      </c>
      <c r="C94" s="85" t="s">
        <v>26</v>
      </c>
      <c r="D94" s="85" t="s">
        <v>25</v>
      </c>
      <c r="E94" s="85" t="s">
        <v>31</v>
      </c>
      <c r="F94" s="85" t="s">
        <v>27</v>
      </c>
      <c r="G94" s="85" t="s">
        <v>5</v>
      </c>
      <c r="H94" s="86"/>
      <c r="I94" s="85" t="s">
        <v>30</v>
      </c>
      <c r="J94" s="85" t="s">
        <v>23</v>
      </c>
      <c r="K94" s="6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2.75" customHeight="1">
      <c r="A95" s="38"/>
      <c r="B95" s="88">
        <f>COUNTIF(Dati!C44:AL55,B94)</f>
        <v>1</v>
      </c>
      <c r="C95" s="88">
        <f>COUNTIF(Dati!C44:AL55,C94)</f>
        <v>6</v>
      </c>
      <c r="D95" s="88">
        <f>COUNTIF(Dati!C44:AL55,D94)</f>
        <v>4</v>
      </c>
      <c r="E95" s="88">
        <f>COUNTIF(Dati!C44:AL55,E94)</f>
        <v>1</v>
      </c>
      <c r="F95" s="88">
        <f>COUNTIF(Dati!C44:AL55,F94)</f>
        <v>0</v>
      </c>
      <c r="G95" s="88">
        <f t="shared" ref="G95:G96" si="13">SUM(B95:F95)</f>
        <v>12</v>
      </c>
      <c r="H95" s="86"/>
      <c r="I95" s="88">
        <f>COUNTIF(Dati!C44:AL55,I94)</f>
        <v>1</v>
      </c>
      <c r="J95" s="88">
        <f>COUNTIF(Dati!C44:AL55,J94)</f>
        <v>1</v>
      </c>
      <c r="K95" s="6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2.75" customHeight="1">
      <c r="A96" s="38"/>
      <c r="B96" s="96">
        <f>B95/G95</f>
        <v>0.08333333333</v>
      </c>
      <c r="C96" s="96">
        <f>C95/G95</f>
        <v>0.5</v>
      </c>
      <c r="D96" s="96">
        <f>D95/G95</f>
        <v>0.3333333333</v>
      </c>
      <c r="E96" s="96">
        <f>E95/G95</f>
        <v>0.08333333333</v>
      </c>
      <c r="F96" s="96">
        <f>F95/G95</f>
        <v>0</v>
      </c>
      <c r="G96" s="98">
        <f t="shared" si="13"/>
        <v>1</v>
      </c>
      <c r="H96" s="62"/>
      <c r="I96" s="69"/>
      <c r="J96" s="69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2.75" customHeight="1">
      <c r="A97" s="99" t="s">
        <v>53</v>
      </c>
      <c r="B97" s="101">
        <f>(B95-F95)/G95</f>
        <v>0.08333333333</v>
      </c>
      <c r="C97" s="69"/>
      <c r="D97" s="170"/>
      <c r="E97" s="170"/>
      <c r="F97" s="170"/>
      <c r="G97" s="69"/>
      <c r="H97" s="37"/>
      <c r="I97" s="35" t="s">
        <v>16</v>
      </c>
      <c r="J97" s="172">
        <f>COUNTIF(Dati!C44:AL55,I97)</f>
        <v>0</v>
      </c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2.75" customHeight="1">
      <c r="A98" s="99" t="s">
        <v>58</v>
      </c>
      <c r="B98" s="173">
        <f>(B95+C95)/G95</f>
        <v>0.5833333333</v>
      </c>
      <c r="C98" s="174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2.75" customHeight="1">
      <c r="A99" s="37"/>
      <c r="B99" s="176"/>
      <c r="C99" s="174"/>
      <c r="D99" s="37"/>
      <c r="E99" s="37"/>
      <c r="F99" s="37"/>
      <c r="G99" s="37"/>
      <c r="H99" s="37"/>
      <c r="I99" s="81" t="s">
        <v>59</v>
      </c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2.75" customHeight="1">
      <c r="A100" s="37"/>
      <c r="B100" s="83" t="s">
        <v>1</v>
      </c>
      <c r="C100" s="36"/>
      <c r="D100" s="36"/>
      <c r="E100" s="36"/>
      <c r="F100" s="36"/>
      <c r="G100" s="36"/>
      <c r="H100" s="37"/>
      <c r="I100" s="178" t="s">
        <v>0</v>
      </c>
      <c r="J100" s="180">
        <f>B102+B109+I95</f>
        <v>17</v>
      </c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2.75" customHeight="1">
      <c r="A101" s="38"/>
      <c r="B101" s="85" t="s">
        <v>24</v>
      </c>
      <c r="C101" s="85" t="s">
        <v>17</v>
      </c>
      <c r="D101" s="85" t="s">
        <v>60</v>
      </c>
      <c r="E101" s="85" t="s">
        <v>61</v>
      </c>
      <c r="F101" s="85" t="s">
        <v>22</v>
      </c>
      <c r="G101" s="85" t="s">
        <v>5</v>
      </c>
      <c r="H101" s="62"/>
      <c r="I101" s="178" t="s">
        <v>62</v>
      </c>
      <c r="J101" s="180">
        <f>G109+F102+J97</f>
        <v>2</v>
      </c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2.75" customHeight="1">
      <c r="A102" s="38"/>
      <c r="B102" s="88">
        <f>COUNTIF(Dati!C44:AL55,B101)</f>
        <v>3</v>
      </c>
      <c r="C102" s="88">
        <f>COUNTIF(Dati!C44:AL55,C101)</f>
        <v>21</v>
      </c>
      <c r="D102" s="88">
        <f>COUNTIF(Dati!C44:AL55,D101)</f>
        <v>0</v>
      </c>
      <c r="E102" s="88">
        <f>COUNTIF(Dati!C44:AL55,E101)</f>
        <v>0</v>
      </c>
      <c r="F102" s="88">
        <f>COUNTIF(Dati!C44:AL55,F101)</f>
        <v>1</v>
      </c>
      <c r="G102" s="88">
        <f t="shared" ref="G102:G103" si="14">SUM(B102:F102)</f>
        <v>25</v>
      </c>
      <c r="H102" s="62"/>
      <c r="I102" s="178" t="s">
        <v>63</v>
      </c>
      <c r="J102" s="180">
        <f>F95</f>
        <v>0</v>
      </c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2.75" customHeight="1">
      <c r="A103" s="38"/>
      <c r="B103" s="96">
        <f>B102/G102</f>
        <v>0.12</v>
      </c>
      <c r="C103" s="96">
        <f>C102/G102</f>
        <v>0.84</v>
      </c>
      <c r="D103" s="96">
        <f>D102/G102</f>
        <v>0</v>
      </c>
      <c r="E103" s="96">
        <f>E102/G102</f>
        <v>0</v>
      </c>
      <c r="F103" s="96">
        <f>F102/G102</f>
        <v>0.04</v>
      </c>
      <c r="G103" s="96">
        <f t="shared" si="14"/>
        <v>1</v>
      </c>
      <c r="H103" s="62"/>
      <c r="I103" s="178" t="s">
        <v>64</v>
      </c>
      <c r="J103" s="180">
        <f>F109</f>
        <v>0</v>
      </c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2.75" customHeight="1">
      <c r="A104" s="99" t="s">
        <v>53</v>
      </c>
      <c r="B104" s="101">
        <f>(B102-F102)/G102</f>
        <v>0.08</v>
      </c>
      <c r="C104" s="69"/>
      <c r="D104" s="69"/>
      <c r="E104" s="69"/>
      <c r="F104" s="69"/>
      <c r="G104" s="69"/>
      <c r="H104" s="37"/>
      <c r="I104" s="178" t="s">
        <v>65</v>
      </c>
      <c r="J104" s="189">
        <f>B97</f>
        <v>0.08333333333</v>
      </c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2.75" customHeight="1">
      <c r="A105" s="99" t="s">
        <v>58</v>
      </c>
      <c r="B105" s="173">
        <f>(B102+C102)/G102</f>
        <v>0.96</v>
      </c>
      <c r="C105" s="37"/>
      <c r="D105" s="37"/>
      <c r="E105" s="37"/>
      <c r="F105" s="37"/>
      <c r="G105" s="37"/>
      <c r="H105" s="37"/>
      <c r="I105" s="178" t="s">
        <v>67</v>
      </c>
      <c r="J105" s="189">
        <f>B111</f>
        <v>0.4</v>
      </c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2.75" customHeight="1">
      <c r="A106" s="37"/>
      <c r="B106" s="17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2.75" customHeight="1">
      <c r="A107" s="37"/>
      <c r="B107" s="83" t="s">
        <v>3</v>
      </c>
      <c r="C107" s="36"/>
      <c r="D107" s="36"/>
      <c r="E107" s="36"/>
      <c r="F107" s="36"/>
      <c r="G107" s="36"/>
      <c r="H107" s="36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2.75" customHeight="1">
      <c r="A108" s="38"/>
      <c r="B108" s="85" t="s">
        <v>15</v>
      </c>
      <c r="C108" s="85" t="s">
        <v>18</v>
      </c>
      <c r="D108" s="85" t="s">
        <v>68</v>
      </c>
      <c r="E108" s="85" t="s">
        <v>69</v>
      </c>
      <c r="F108" s="85" t="s">
        <v>70</v>
      </c>
      <c r="G108" s="85" t="s">
        <v>21</v>
      </c>
      <c r="H108" s="85" t="s">
        <v>5</v>
      </c>
      <c r="I108" s="62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2.75" customHeight="1">
      <c r="A109" s="38"/>
      <c r="B109" s="88">
        <f>COUNTIF(Dati!C44:AL55,B108)</f>
        <v>13</v>
      </c>
      <c r="C109" s="88">
        <f>COUNTIF(Dati!C44:AL55,C108)</f>
        <v>16</v>
      </c>
      <c r="D109" s="88">
        <f>COUNTIF(Dati!C44:AL55,D108)</f>
        <v>0</v>
      </c>
      <c r="E109" s="88">
        <f>COUNTIF(Dati!C44:AL55,E108)</f>
        <v>0</v>
      </c>
      <c r="F109" s="88">
        <f>COUNTIF(Dati!C44:AL55,F108)</f>
        <v>0</v>
      </c>
      <c r="G109" s="88">
        <f>COUNTIF(Dati!C44:AL55,G108)</f>
        <v>1</v>
      </c>
      <c r="H109" s="88">
        <f t="shared" ref="H109:H110" si="15">SUM(B109:G109)</f>
        <v>30</v>
      </c>
      <c r="I109" s="62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2.75" customHeight="1">
      <c r="A110" s="38"/>
      <c r="B110" s="96">
        <f>B109/H109</f>
        <v>0.4333333333</v>
      </c>
      <c r="C110" s="96">
        <f>C109/H109</f>
        <v>0.5333333333</v>
      </c>
      <c r="D110" s="96">
        <f>D109/H109</f>
        <v>0</v>
      </c>
      <c r="E110" s="96">
        <f>E109/H109</f>
        <v>0</v>
      </c>
      <c r="F110" s="96">
        <f>F109/H109</f>
        <v>0</v>
      </c>
      <c r="G110" s="96">
        <f>G109/H109</f>
        <v>0.03333333333</v>
      </c>
      <c r="H110" s="96">
        <f t="shared" si="15"/>
        <v>1</v>
      </c>
      <c r="I110" s="62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2.75" customHeight="1">
      <c r="A111" s="99" t="s">
        <v>53</v>
      </c>
      <c r="B111" s="199">
        <f>(B109-G109)/H109</f>
        <v>0.4</v>
      </c>
      <c r="C111" s="69"/>
      <c r="D111" s="69"/>
      <c r="E111" s="69"/>
      <c r="F111" s="69"/>
      <c r="G111" s="69"/>
      <c r="H111" s="69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2.75" customHeight="1">
      <c r="A112" s="99" t="s">
        <v>58</v>
      </c>
      <c r="B112" s="202">
        <f>(B109+C109+D109+E109)/H109</f>
        <v>0.9666666667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2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2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2.75" customHeight="1">
      <c r="A115" s="35" t="s">
        <v>89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2.75" customHeight="1">
      <c r="A116" s="37"/>
      <c r="B116" s="83" t="s">
        <v>2</v>
      </c>
      <c r="C116" s="36"/>
      <c r="D116" s="36"/>
      <c r="E116" s="36"/>
      <c r="F116" s="36"/>
      <c r="G116" s="36"/>
      <c r="H116" s="37"/>
      <c r="I116" s="83" t="s">
        <v>4</v>
      </c>
      <c r="J116" s="36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2.75" customHeight="1">
      <c r="A117" s="38"/>
      <c r="B117" s="85" t="s">
        <v>28</v>
      </c>
      <c r="C117" s="85" t="s">
        <v>26</v>
      </c>
      <c r="D117" s="85" t="s">
        <v>25</v>
      </c>
      <c r="E117" s="85" t="s">
        <v>31</v>
      </c>
      <c r="F117" s="85" t="s">
        <v>27</v>
      </c>
      <c r="G117" s="85" t="s">
        <v>5</v>
      </c>
      <c r="H117" s="86"/>
      <c r="I117" s="85" t="s">
        <v>30</v>
      </c>
      <c r="J117" s="85" t="s">
        <v>23</v>
      </c>
      <c r="K117" s="6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2.75" customHeight="1">
      <c r="A118" s="38"/>
      <c r="B118" s="88">
        <f>COUNTIF(Dati!C58:AL64,B117)</f>
        <v>0</v>
      </c>
      <c r="C118" s="88">
        <f>COUNTIF(Dati!C58:AL64,C117)</f>
        <v>0</v>
      </c>
      <c r="D118" s="88">
        <f>COUNTIF(Dati!C58:AL64,D117)</f>
        <v>0</v>
      </c>
      <c r="E118" s="88">
        <f>COUNTIF(Dati!C58:AL64,E117)</f>
        <v>0</v>
      </c>
      <c r="F118" s="88">
        <f>COUNTIF(Dati!C58:AL64,F117)</f>
        <v>0</v>
      </c>
      <c r="G118" s="88">
        <f t="shared" ref="G118:G119" si="16">SUM(B118:F118)</f>
        <v>0</v>
      </c>
      <c r="H118" s="86"/>
      <c r="I118" s="88">
        <f>COUNTIF(Dati!C58:AL64,I117)</f>
        <v>0</v>
      </c>
      <c r="J118" s="88">
        <f>COUNTIF(Dati!C58:AL64,J117)</f>
        <v>0</v>
      </c>
      <c r="K118" s="6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2.75" customHeight="1">
      <c r="A119" s="38"/>
      <c r="B119" s="96" t="str">
        <f>B118/G118</f>
        <v>#DIV/0!</v>
      </c>
      <c r="C119" s="96" t="str">
        <f>C118/G118</f>
        <v>#DIV/0!</v>
      </c>
      <c r="D119" s="96" t="str">
        <f>D118/G118</f>
        <v>#DIV/0!</v>
      </c>
      <c r="E119" s="96" t="str">
        <f>E118/G118</f>
        <v>#DIV/0!</v>
      </c>
      <c r="F119" s="96" t="str">
        <f>F118/G118</f>
        <v>#DIV/0!</v>
      </c>
      <c r="G119" s="98" t="str">
        <f t="shared" si="16"/>
        <v>#DIV/0!</v>
      </c>
      <c r="H119" s="62"/>
      <c r="I119" s="69"/>
      <c r="J119" s="69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2.75" customHeight="1">
      <c r="A120" s="99" t="s">
        <v>53</v>
      </c>
      <c r="B120" s="101" t="str">
        <f>(B118-F118)/G118</f>
        <v>#DIV/0!</v>
      </c>
      <c r="C120" s="69"/>
      <c r="D120" s="170"/>
      <c r="E120" s="170"/>
      <c r="F120" s="170"/>
      <c r="G120" s="69"/>
      <c r="H120" s="37"/>
      <c r="I120" s="35" t="s">
        <v>16</v>
      </c>
      <c r="J120" s="172">
        <f>COUNTIF(Dati!C58:AL64,I120)</f>
        <v>0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2.75" customHeight="1">
      <c r="A121" s="99" t="s">
        <v>58</v>
      </c>
      <c r="B121" s="173" t="str">
        <f>(B118+C118)/G118</f>
        <v>#DIV/0!</v>
      </c>
      <c r="C121" s="174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2.75" customHeight="1">
      <c r="A122" s="37"/>
      <c r="B122" s="176"/>
      <c r="C122" s="174"/>
      <c r="D122" s="37"/>
      <c r="E122" s="37"/>
      <c r="F122" s="37"/>
      <c r="G122" s="37"/>
      <c r="H122" s="37"/>
      <c r="I122" s="81" t="s">
        <v>59</v>
      </c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2.75" customHeight="1">
      <c r="A123" s="37"/>
      <c r="B123" s="83" t="s">
        <v>1</v>
      </c>
      <c r="C123" s="36"/>
      <c r="D123" s="36"/>
      <c r="E123" s="36"/>
      <c r="F123" s="36"/>
      <c r="G123" s="36"/>
      <c r="H123" s="37"/>
      <c r="I123" s="178" t="s">
        <v>0</v>
      </c>
      <c r="J123" s="180">
        <f>B125+B132+I118</f>
        <v>0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2.75" customHeight="1">
      <c r="A124" s="38"/>
      <c r="B124" s="85" t="s">
        <v>24</v>
      </c>
      <c r="C124" s="85" t="s">
        <v>17</v>
      </c>
      <c r="D124" s="85" t="s">
        <v>60</v>
      </c>
      <c r="E124" s="85" t="s">
        <v>61</v>
      </c>
      <c r="F124" s="85" t="s">
        <v>22</v>
      </c>
      <c r="G124" s="85" t="s">
        <v>5</v>
      </c>
      <c r="H124" s="62"/>
      <c r="I124" s="178" t="s">
        <v>62</v>
      </c>
      <c r="J124" s="180">
        <f>G132+F125</f>
        <v>0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2.75" customHeight="1">
      <c r="A125" s="38"/>
      <c r="B125" s="88">
        <f>COUNTIF(Dati!C58:AL64,B124)</f>
        <v>0</v>
      </c>
      <c r="C125" s="88">
        <f>COUNTIF(Dati!C58:AL64,C124)</f>
        <v>0</v>
      </c>
      <c r="D125" s="88">
        <f>COUNTIF(Dati!C58:AL64,D124)</f>
        <v>0</v>
      </c>
      <c r="E125" s="88">
        <f>COUNTIF(Dati!C58:AL64,E124)</f>
        <v>0</v>
      </c>
      <c r="F125" s="88">
        <f>COUNTIF(Dati!C58:AL64,F124)</f>
        <v>0</v>
      </c>
      <c r="G125" s="88">
        <f t="shared" ref="G125:G126" si="17">SUM(B125:F125)</f>
        <v>0</v>
      </c>
      <c r="H125" s="62"/>
      <c r="I125" s="178" t="s">
        <v>63</v>
      </c>
      <c r="J125" s="180">
        <f>F118</f>
        <v>0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2.75" customHeight="1">
      <c r="A126" s="38"/>
      <c r="B126" s="96" t="str">
        <f>B125/G125</f>
        <v>#DIV/0!</v>
      </c>
      <c r="C126" s="96" t="str">
        <f>C125/G125</f>
        <v>#DIV/0!</v>
      </c>
      <c r="D126" s="96" t="str">
        <f>D125/G125</f>
        <v>#DIV/0!</v>
      </c>
      <c r="E126" s="96" t="str">
        <f>E125/G125</f>
        <v>#DIV/0!</v>
      </c>
      <c r="F126" s="96" t="str">
        <f>F125/G125</f>
        <v>#DIV/0!</v>
      </c>
      <c r="G126" s="96" t="str">
        <f t="shared" si="17"/>
        <v>#DIV/0!</v>
      </c>
      <c r="H126" s="62"/>
      <c r="I126" s="178" t="s">
        <v>64</v>
      </c>
      <c r="J126" s="180">
        <f>F132</f>
        <v>0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2.75" customHeight="1">
      <c r="A127" s="99" t="s">
        <v>53</v>
      </c>
      <c r="B127" s="101" t="str">
        <f>(B125-F125)/G125</f>
        <v>#DIV/0!</v>
      </c>
      <c r="C127" s="69"/>
      <c r="D127" s="69"/>
      <c r="E127" s="69"/>
      <c r="F127" s="69"/>
      <c r="G127" s="69"/>
      <c r="H127" s="37"/>
      <c r="I127" s="178" t="s">
        <v>65</v>
      </c>
      <c r="J127" s="189" t="str">
        <f>B120</f>
        <v>#DIV/0!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2.75" customHeight="1">
      <c r="A128" s="99" t="s">
        <v>58</v>
      </c>
      <c r="B128" s="173" t="str">
        <f>(B125+C125)/G125</f>
        <v>#DIV/0!</v>
      </c>
      <c r="C128" s="37"/>
      <c r="D128" s="37"/>
      <c r="E128" s="37"/>
      <c r="F128" s="37"/>
      <c r="G128" s="37"/>
      <c r="H128" s="37"/>
      <c r="I128" s="178" t="s">
        <v>67</v>
      </c>
      <c r="J128" s="189" t="str">
        <f>B134</f>
        <v>#DIV/0!</v>
      </c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2.75" customHeight="1">
      <c r="A129" s="37"/>
      <c r="B129" s="17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2.75" customHeight="1">
      <c r="A130" s="37"/>
      <c r="B130" s="83" t="s">
        <v>3</v>
      </c>
      <c r="C130" s="36"/>
      <c r="D130" s="36"/>
      <c r="E130" s="36"/>
      <c r="F130" s="36"/>
      <c r="G130" s="36"/>
      <c r="H130" s="36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2.75" customHeight="1">
      <c r="A131" s="38"/>
      <c r="B131" s="85" t="s">
        <v>15</v>
      </c>
      <c r="C131" s="85" t="s">
        <v>18</v>
      </c>
      <c r="D131" s="85" t="s">
        <v>68</v>
      </c>
      <c r="E131" s="85" t="s">
        <v>69</v>
      </c>
      <c r="F131" s="85" t="s">
        <v>70</v>
      </c>
      <c r="G131" s="85" t="s">
        <v>21</v>
      </c>
      <c r="H131" s="85" t="s">
        <v>5</v>
      </c>
      <c r="I131" s="62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2.75" customHeight="1">
      <c r="A132" s="38"/>
      <c r="B132" s="88">
        <f>COUNTIF(Dati!C58:AL64,B131)</f>
        <v>0</v>
      </c>
      <c r="C132" s="88">
        <f>COUNTIF(Dati!C58:AL64,C131)</f>
        <v>0</v>
      </c>
      <c r="D132" s="88">
        <f>COUNTIF(Dati!C58:AL64,D131)</f>
        <v>0</v>
      </c>
      <c r="E132" s="88">
        <f>COUNTIF(Dati!C58:AL64,E131)</f>
        <v>0</v>
      </c>
      <c r="F132" s="88">
        <f>COUNTIF(Dati!C58:AL64,F131)</f>
        <v>0</v>
      </c>
      <c r="G132" s="88">
        <f>COUNTIF(Dati!C58:AL64,G131)</f>
        <v>0</v>
      </c>
      <c r="H132" s="88">
        <f t="shared" ref="H132:H133" si="18">SUM(B132:G132)</f>
        <v>0</v>
      </c>
      <c r="I132" s="62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2.75" customHeight="1">
      <c r="A133" s="38"/>
      <c r="B133" s="96" t="str">
        <f>B132/H132</f>
        <v>#DIV/0!</v>
      </c>
      <c r="C133" s="96" t="str">
        <f>C132/H132</f>
        <v>#DIV/0!</v>
      </c>
      <c r="D133" s="96" t="str">
        <f>D132/H132</f>
        <v>#DIV/0!</v>
      </c>
      <c r="E133" s="96" t="str">
        <f>E132/H132</f>
        <v>#DIV/0!</v>
      </c>
      <c r="F133" s="96" t="str">
        <f>F132/H132</f>
        <v>#DIV/0!</v>
      </c>
      <c r="G133" s="96" t="str">
        <f>G132/H132</f>
        <v>#DIV/0!</v>
      </c>
      <c r="H133" s="96" t="str">
        <f t="shared" si="18"/>
        <v>#DIV/0!</v>
      </c>
      <c r="I133" s="62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2.75" customHeight="1">
      <c r="A134" s="99" t="s">
        <v>53</v>
      </c>
      <c r="B134" s="199" t="str">
        <f>(B132-G132)/H132</f>
        <v>#DIV/0!</v>
      </c>
      <c r="C134" s="69"/>
      <c r="D134" s="69"/>
      <c r="E134" s="69"/>
      <c r="F134" s="69"/>
      <c r="G134" s="69"/>
      <c r="H134" s="69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2.75" customHeight="1">
      <c r="A135" s="99" t="s">
        <v>58</v>
      </c>
      <c r="B135" s="202" t="str">
        <f>(B132+C132+D132+E132)/H132</f>
        <v>#DIV/0!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2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2.0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2.0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2.0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2.0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2.0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5.0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7.0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2</v>
      </c>
      <c r="O5" s="88">
        <f>COUNTIF(B136:AE136,O4)</f>
        <v>2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4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3</v>
      </c>
      <c r="C6" s="88">
        <f>COUNTIF(B136:AE140,C5)</f>
        <v>8</v>
      </c>
      <c r="D6" s="88">
        <f>COUNTIF(B136:AE140,D5)</f>
        <v>4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15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0.5</v>
      </c>
      <c r="O6" s="96">
        <f>IF(R5&gt;0,O5/R5,0)</f>
        <v>0.5</v>
      </c>
      <c r="P6" s="96">
        <f>IF(R5&gt;0,P5/R5,0)</f>
        <v>0</v>
      </c>
      <c r="Q6" s="96">
        <f>IF(R5&gt;0,Q5/R5,0)</f>
        <v>0</v>
      </c>
      <c r="R6" s="98">
        <f t="shared" si="1"/>
        <v>1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0.2</v>
      </c>
      <c r="C7" s="96">
        <f>IF(G6&gt;0,C6/G6,0)</f>
        <v>0.5333333333</v>
      </c>
      <c r="D7" s="96">
        <f>IF(G6&gt;0,D6/G6,0)</f>
        <v>0.2666666667</v>
      </c>
      <c r="E7" s="96">
        <f>IF(E6&gt;0,E6/G6,0)</f>
        <v>0</v>
      </c>
      <c r="F7" s="96">
        <f>IF(F6&gt;0,F6/G6,0)</f>
        <v>0</v>
      </c>
      <c r="G7" s="98">
        <f t="shared" si="2"/>
        <v>1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0.2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0.5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0.7333333333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4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18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2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9</v>
      </c>
      <c r="K12" s="37"/>
      <c r="L12" s="38"/>
      <c r="M12" s="88">
        <f>COUNTIF(B136:AE136,M11)</f>
        <v>1</v>
      </c>
      <c r="N12" s="88">
        <f>COUNTIF(B136:AE136,N11)</f>
        <v>1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2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3</v>
      </c>
      <c r="C13" s="88">
        <f>COUNTIF(B136:AE140,C12)</f>
        <v>10</v>
      </c>
      <c r="D13" s="88">
        <f>COUNTIF(B136:AE140,D12)</f>
        <v>0</v>
      </c>
      <c r="E13" s="88">
        <f>COUNTIF(B136:AE140,E12)</f>
        <v>0</v>
      </c>
      <c r="F13" s="88">
        <f>COUNTIF(B136:AE140,F12)</f>
        <v>1</v>
      </c>
      <c r="G13" s="88">
        <f t="shared" ref="G13:G14" si="4">SUM(B13:F13)</f>
        <v>14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0.5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0.5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0.2142857143</v>
      </c>
      <c r="C14" s="96">
        <f>IF(G13&gt;0,C13/G13,0)</f>
        <v>0.7142857143</v>
      </c>
      <c r="D14" s="96">
        <f>IF(G13&gt;0,D13/G13,0)</f>
        <v>0</v>
      </c>
      <c r="E14" s="96">
        <f>IF(G13&gt;0,E13/G13,0)</f>
        <v>0</v>
      </c>
      <c r="F14" s="96">
        <f>IF(G13&gt;0,F13/G13,0)</f>
        <v>0.07142857143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0.5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0.1428571429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0.2</v>
      </c>
      <c r="K15" s="37"/>
      <c r="L15" s="99" t="s">
        <v>58</v>
      </c>
      <c r="M15" s="173">
        <f>IF(R12&gt;0,(M12+N12)/R12,0)</f>
        <v>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0.1428571429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0.9285714286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0.175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9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3</v>
      </c>
      <c r="N19" s="88">
        <f>COUNTIF(B136:AE136,N18)</f>
        <v>2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2</v>
      </c>
      <c r="S19" s="88">
        <f t="shared" ref="S19:S20" si="5">SUM(M19:R19)</f>
        <v>7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15</v>
      </c>
      <c r="C20" s="88">
        <f>COUNTIF(B136:AE140,C19)</f>
        <v>17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8</v>
      </c>
      <c r="H20" s="88">
        <f t="shared" ref="H20:H21" si="6">SUM(B20:G20)</f>
        <v>40</v>
      </c>
      <c r="I20" s="62"/>
      <c r="J20" s="37"/>
      <c r="K20" s="37"/>
      <c r="L20" s="38"/>
      <c r="M20" s="96">
        <f>IF(S19&gt;0,M19/S19,0)</f>
        <v>0.4285714286</v>
      </c>
      <c r="N20" s="96">
        <f>IF(S19&gt;0,N19/S19,0)</f>
        <v>0.2857142857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0.2857142857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0.375</v>
      </c>
      <c r="C21" s="96">
        <f>IF(H20&gt;0,C20/H20,0)</f>
        <v>0.425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0.2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0.1428571429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0.175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0.7142857143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0.8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1</v>
      </c>
      <c r="C27" s="88">
        <f>COUNTIF(B137:AE137,C26)</f>
        <v>3</v>
      </c>
      <c r="D27" s="88">
        <f>COUNTIF(B137:AE137,D26)</f>
        <v>1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5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1</v>
      </c>
      <c r="N27" s="88">
        <f>COUNTIF(B138:AE138,N26)</f>
        <v>1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2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0.2</v>
      </c>
      <c r="C28" s="96">
        <f>IF(G27&gt;0,C27/G27,0)</f>
        <v>0.6</v>
      </c>
      <c r="D28" s="96">
        <f>IF(G27&gt;0,D27/G27,0)</f>
        <v>0.2</v>
      </c>
      <c r="E28" s="96">
        <f>IF(G27&gt;0,E27/G27,0)</f>
        <v>0</v>
      </c>
      <c r="F28" s="96">
        <f>IF(G27&gt;0,F27/G27,0)</f>
        <v>0</v>
      </c>
      <c r="G28" s="98">
        <f t="shared" si="7"/>
        <v>1</v>
      </c>
      <c r="H28" s="62"/>
      <c r="I28" s="69"/>
      <c r="J28" s="69"/>
      <c r="K28" s="37"/>
      <c r="L28" s="38"/>
      <c r="M28" s="96">
        <f>IF(R27&gt;0,M27/R27,0)</f>
        <v>0.5</v>
      </c>
      <c r="N28" s="96">
        <f>IF(R27&gt;0,N27/R27,0)</f>
        <v>0.5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1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0.2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0.5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0.8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1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5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6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5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1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5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5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2</v>
      </c>
      <c r="N34" s="88">
        <f>COUNTIF(B138:AE138,N33)</f>
        <v>2</v>
      </c>
      <c r="O34" s="88">
        <f>COUNTIF(B138:AE138,O33)</f>
        <v>0</v>
      </c>
      <c r="P34" s="88">
        <f>COUNTIF(B138:AE138,P33)</f>
        <v>0</v>
      </c>
      <c r="Q34" s="88">
        <f>COUNTIF(B138:AE138,Q33)</f>
        <v>1</v>
      </c>
      <c r="R34" s="88">
        <f>SUM(M34:Q34)</f>
        <v>5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1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0.2</v>
      </c>
      <c r="K36" s="37"/>
      <c r="L36" s="99" t="s">
        <v>58</v>
      </c>
      <c r="M36" s="101">
        <f>IF(R34&gt;0,(M34-Q34)/R34,0)</f>
        <v>0.2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0.5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0.8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0.3333333333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5</v>
      </c>
      <c r="C41" s="88">
        <f>COUNTIF(B137:AE137,C40)</f>
        <v>5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5</v>
      </c>
      <c r="H41" s="88">
        <f t="shared" ref="H41:H42" si="12">SUM(B41:G41)</f>
        <v>15</v>
      </c>
      <c r="I41" s="62"/>
      <c r="J41" s="37"/>
      <c r="K41" s="37"/>
      <c r="L41" s="38"/>
      <c r="M41" s="88">
        <f>COUNTIF(B138:AE138,M40)</f>
        <v>4</v>
      </c>
      <c r="N41" s="88">
        <f>COUNTIF(B138:AE138,N40)</f>
        <v>8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12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0.3333333333</v>
      </c>
      <c r="C42" s="96">
        <f>IF(H41&gt;0,C41/H41,0)</f>
        <v>0.3333333333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0.3333333333</v>
      </c>
      <c r="H42" s="96">
        <f t="shared" si="12"/>
        <v>1</v>
      </c>
      <c r="I42" s="62"/>
      <c r="J42" s="37"/>
      <c r="K42" s="37"/>
      <c r="L42" s="38"/>
      <c r="M42" s="96">
        <f>IF(S41&gt;0,M41/S41,0)</f>
        <v>0.3333333333</v>
      </c>
      <c r="N42" s="96">
        <f>IF(S41&gt;0,N41/S41,0)</f>
        <v>0.6666666667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0.3333333333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0.6666666667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1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1</v>
      </c>
      <c r="C49" s="88">
        <f>COUNTIF(B139:AE139,C48)</f>
        <v>2</v>
      </c>
      <c r="D49" s="88">
        <f>COUNTIF(B139:AE139,D48)</f>
        <v>1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4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0.25</v>
      </c>
      <c r="C50" s="96">
        <f>IF(G49&gt;0,C49/G49,0)</f>
        <v>0.5</v>
      </c>
      <c r="D50" s="96">
        <f>IF(G49&gt;0,D49/G49,0)</f>
        <v>0.25</v>
      </c>
      <c r="E50" s="96">
        <f>IF(G49&gt;0,E49/G49,0)</f>
        <v>0</v>
      </c>
      <c r="F50" s="96">
        <f>IF(G49&gt;0,F49/G49,0)</f>
        <v>0</v>
      </c>
      <c r="G50" s="98">
        <f t="shared" si="14"/>
        <v>1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0.25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0.75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3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1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2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2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0.25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1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0.3333333333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3</v>
      </c>
      <c r="C63" s="88">
        <f>COUNTIF(B139:AE139,C62)</f>
        <v>2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1</v>
      </c>
      <c r="H63" s="88">
        <f t="shared" ref="H63:H64" si="18">SUM(B63:G63)</f>
        <v>6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0.5</v>
      </c>
      <c r="C64" s="96">
        <f>IF(H63&gt;0,C63/H63,0)</f>
        <v>0.3333333333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0.1666666667</v>
      </c>
      <c r="H64" s="96">
        <f t="shared" si="18"/>
        <v>1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0.3333333333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0.8333333333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B#</v>
      </c>
      <c r="C136" s="211" t="str">
        <f>VLOOKUP(B1,Dati!B2:AF13,3,0)</f>
        <v>B+</v>
      </c>
      <c r="D136" s="211" t="str">
        <f>VLOOKUP(B1,Dati!B2:AF13,4,0)</f>
        <v>A+</v>
      </c>
      <c r="E136" s="211" t="str">
        <f>VLOOKUP(B1,Dati!B2:AF13,5,0)</f>
        <v>A#</v>
      </c>
      <c r="F136" s="211" t="str">
        <f>VLOOKUP(B1,Dati!B2:AF13,6,0)</f>
        <v>R-</v>
      </c>
      <c r="G136" s="211" t="str">
        <f>VLOOKUP(B1,Dati!B2:AF13,7,0)</f>
        <v>A+</v>
      </c>
      <c r="H136" s="211" t="str">
        <f>VLOOKUP(B1,Dati!B2:AF13,8,0)</f>
        <v>A#</v>
      </c>
      <c r="I136" s="211" t="str">
        <f>VLOOKUP(B1,Dati!B2:AF13,9,0)</f>
        <v>A=</v>
      </c>
      <c r="J136" s="211" t="str">
        <f>VLOOKUP(B1,Dati!B2:AF13,10,0)</f>
        <v>R+</v>
      </c>
      <c r="K136" s="211" t="str">
        <f>VLOOKUP(B1,Dati!B2:AF13,11,0)</f>
        <v>A#</v>
      </c>
      <c r="L136" s="211" t="str">
        <f>VLOOKUP(B1,Dati!B2:AF13,12,0)</f>
        <v>A=</v>
      </c>
      <c r="M136" s="211" t="str">
        <f>VLOOKUP(B1,Dati!B2:AF13,13,0)</f>
        <v>R+</v>
      </c>
      <c r="N136" s="211" t="str">
        <f>VLOOKUP(B1,Dati!B2:AF13,14,0)</f>
        <v>R-</v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A+</v>
      </c>
      <c r="C137" s="211" t="str">
        <f>VLOOKUP(B1,Dati!B16:AF27,3,0)</f>
        <v>B+</v>
      </c>
      <c r="D137" s="211" t="str">
        <f>VLOOKUP(B1,Dati!B16:AF27,4,0)</f>
        <v>A=</v>
      </c>
      <c r="E137" s="211" t="str">
        <f>VLOOKUP(B1,Dati!B16:AF27,5,0)</f>
        <v>A#</v>
      </c>
      <c r="F137" s="211" t="str">
        <f>VLOOKUP(B1,Dati!B16:AF27,6,0)</f>
        <v>R+</v>
      </c>
      <c r="G137" s="211" t="str">
        <f>VLOOKUP(B1,Dati!B16:AF27,7,0)</f>
        <v>A=</v>
      </c>
      <c r="H137" s="211" t="str">
        <f>VLOOKUP(B1,Dati!B16:AF27,8,0)</f>
        <v>R-</v>
      </c>
      <c r="I137" s="211" t="str">
        <f>VLOOKUP(B1,Dati!B16:AF27,9,0)</f>
        <v>A+</v>
      </c>
      <c r="J137" s="211" t="str">
        <f>VLOOKUP(B1,Dati!B16:AF27,10,0)</f>
        <v>A#</v>
      </c>
      <c r="K137" s="211" t="str">
        <f>VLOOKUP(B1,Dati!B16:AF27,11,0)</f>
        <v>B+</v>
      </c>
      <c r="L137" s="211" t="str">
        <f>VLOOKUP(B1,Dati!B16:AF27,12,0)</f>
        <v>A=</v>
      </c>
      <c r="M137" s="211" t="str">
        <f>VLOOKUP(B1,Dati!B16:AF27,13,0)</f>
        <v>R+</v>
      </c>
      <c r="N137" s="211" t="str">
        <f>VLOOKUP(B1,Dati!B16:AF27,14,0)</f>
        <v>R#</v>
      </c>
      <c r="O137" s="211" t="str">
        <f>VLOOKUP(B1,Dati!B16:AF27,15,0)</f>
        <v>A+</v>
      </c>
      <c r="P137" s="211" t="str">
        <f>VLOOKUP(B1,Dati!B16:AF27,16,0)</f>
        <v>A#</v>
      </c>
      <c r="Q137" s="211" t="str">
        <f>VLOOKUP(B1,Dati!B16:AF27,17,0)</f>
        <v>A=</v>
      </c>
      <c r="R137" s="211" t="str">
        <f>VLOOKUP(B1,Dati!B16:AF27,18,0)</f>
        <v>A+</v>
      </c>
      <c r="S137" s="211" t="str">
        <f>VLOOKUP(B1,Dati!B16:AF27,19,0)</f>
        <v>A#</v>
      </c>
      <c r="T137" s="211" t="str">
        <f>VLOOKUP(B1,Dati!B16:AF27,20,0)</f>
        <v>A=</v>
      </c>
      <c r="U137" s="211" t="str">
        <f>VLOOKUP(B1,Dati!B16:AF27,21,0)</f>
        <v>R+</v>
      </c>
      <c r="V137" s="211" t="str">
        <f>VLOOKUP(B1,Dati!B16:AF27,22,0)</f>
        <v>A#</v>
      </c>
      <c r="W137" s="211" t="str">
        <f>VLOOKUP(B1,Dati!B16:AF27,23,0)</f>
        <v>B+</v>
      </c>
      <c r="X137" s="211" t="str">
        <f>VLOOKUP(B1,Dati!B16:AF27,24,0)</f>
        <v>B+</v>
      </c>
      <c r="Y137" s="211" t="str">
        <f>VLOOKUP(B1,Dati!B16:AF27,25,0)</f>
        <v>A+</v>
      </c>
      <c r="Z137" s="211" t="str">
        <f>VLOOKUP(B1,Dati!B16:AF27,26,0)</f>
        <v>B+</v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A#</v>
      </c>
      <c r="C138" s="211" t="str">
        <f>VLOOKUP(B1,Dati!B30:AF41,3,0)</f>
        <v>B+</v>
      </c>
      <c r="D138" s="211" t="str">
        <f>VLOOKUP(B1,Dati!B30:AF41,4,0)</f>
        <v>A+</v>
      </c>
      <c r="E138" s="211" t="str">
        <f>VLOOKUP(B1,Dati!B30:AF41,5,0)</f>
        <v>A#</v>
      </c>
      <c r="F138" s="211" t="str">
        <f>VLOOKUP(B1,Dati!B30:AF41,6,0)</f>
        <v>A#</v>
      </c>
      <c r="G138" s="211" t="str">
        <f>VLOOKUP(B1,Dati!B30:AF41,7,0)</f>
        <v>A+</v>
      </c>
      <c r="H138" s="211" t="str">
        <f>VLOOKUP(B1,Dati!B30:AF41,8,0)</f>
        <v>A+</v>
      </c>
      <c r="I138" s="211" t="str">
        <f>VLOOKUP(B1,Dati!B30:AF41,9,0)</f>
        <v>A+</v>
      </c>
      <c r="J138" s="211" t="str">
        <f>VLOOKUP(B1,Dati!B30:AF41,10,0)</f>
        <v>A+</v>
      </c>
      <c r="K138" s="211" t="str">
        <f>VLOOKUP(B1,Dati!B30:AF41,11,0)</f>
        <v>B#</v>
      </c>
      <c r="L138" s="211" t="str">
        <f>VLOOKUP(B1,Dati!B30:AF41,12,0)</f>
        <v>B#</v>
      </c>
      <c r="M138" s="211" t="str">
        <f>VLOOKUP(B1,Dati!B30:AF41,13,0)</f>
        <v>B+</v>
      </c>
      <c r="N138" s="211" t="str">
        <f>VLOOKUP(B1,Dati!B30:AF41,14,0)</f>
        <v>B=</v>
      </c>
      <c r="O138" s="211" t="str">
        <f>VLOOKUP(B1,Dati!B30:AF41,15,0)</f>
        <v>R+</v>
      </c>
      <c r="P138" s="211" t="str">
        <f>VLOOKUP(B1,Dati!B30:AF41,16,0)</f>
        <v>R#</v>
      </c>
      <c r="Q138" s="211" t="str">
        <f>VLOOKUP(B1,Dati!B30:AF41,17,0)</f>
        <v>A+</v>
      </c>
      <c r="R138" s="211" t="str">
        <f>VLOOKUP(B1,Dati!B30:AF41,18,0)</f>
        <v>A+</v>
      </c>
      <c r="S138" s="211" t="str">
        <f>VLOOKUP(B1,Dati!B30:AF41,19,0)</f>
        <v>A#</v>
      </c>
      <c r="T138" s="211" t="str">
        <f>VLOOKUP(B1,Dati!B30:AF41,20,0)</f>
        <v>A+</v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B+</v>
      </c>
      <c r="C139" s="211" t="str">
        <f>VLOOKUP(B1,Dati!B44:AF55,3,0)</f>
        <v>A+</v>
      </c>
      <c r="D139" s="211" t="str">
        <f>VLOOKUP(B1,Dati!B44:AF55,4,0)</f>
        <v>A+</v>
      </c>
      <c r="E139" s="211" t="str">
        <f>VLOOKUP(B1,Dati!B44:AF55,5,0)</f>
        <v>A#</v>
      </c>
      <c r="F139" s="211" t="str">
        <f>VLOOKUP(B1,Dati!B44:AF55,6,0)</f>
        <v>M+</v>
      </c>
      <c r="G139" s="211" t="str">
        <f>VLOOKUP(B1,Dati!B44:AF55,7,0)</f>
        <v>A#</v>
      </c>
      <c r="H139" s="211" t="str">
        <f>VLOOKUP(B1,Dati!B44:AF55,8,0)</f>
        <v>B+</v>
      </c>
      <c r="I139" s="211" t="str">
        <f>VLOOKUP(B1,Dati!B44:AF55,9,0)</f>
        <v>R-</v>
      </c>
      <c r="J139" s="211" t="str">
        <f>VLOOKUP(B1,Dati!B44:AF55,10,0)</f>
        <v>R+</v>
      </c>
      <c r="K139" s="211" t="str">
        <f>VLOOKUP(B1,Dati!B44:AF55,11,0)</f>
        <v>R+</v>
      </c>
      <c r="L139" s="211" t="str">
        <f>VLOOKUP(B1,Dati!B44:AF55,12,0)</f>
        <v>A#</v>
      </c>
      <c r="M139" s="211" t="str">
        <f>VLOOKUP(B1,Dati!B44:AF55,13,0)</f>
        <v>A=</v>
      </c>
      <c r="N139" s="211" t="str">
        <f>VLOOKUP(B1,Dati!B44:AF55,14,0)</f>
        <v>R#</v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10.0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1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1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1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1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1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1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10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1</v>
      </c>
      <c r="K12" s="37"/>
      <c r="L12" s="38"/>
      <c r="M12" s="88">
        <f>COUNTIF(B136:AE136,M11)</f>
        <v>1</v>
      </c>
      <c r="N12" s="88">
        <f>COUNTIF(B136:AE136,N11)</f>
        <v>7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8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4</v>
      </c>
      <c r="C13" s="88">
        <f>COUNTIF(B136:AE140,C12)</f>
        <v>17</v>
      </c>
      <c r="D13" s="88">
        <f>COUNTIF(B136:AE140,D12)</f>
        <v>0</v>
      </c>
      <c r="E13" s="88">
        <f>COUNTIF(B136:AE140,E12)</f>
        <v>0</v>
      </c>
      <c r="F13" s="88">
        <f>COUNTIF(B136:AE140,F12)</f>
        <v>1</v>
      </c>
      <c r="G13" s="88">
        <f t="shared" ref="G13:G14" si="4">SUM(B13:F13)</f>
        <v>22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0.125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0.125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0.1818181818</v>
      </c>
      <c r="C14" s="96">
        <f>IF(G13&gt;0,C13/G13,0)</f>
        <v>0.7727272727</v>
      </c>
      <c r="D14" s="96">
        <f>IF(G13&gt;0,D13/G13,0)</f>
        <v>0</v>
      </c>
      <c r="E14" s="96">
        <f>IF(G13&gt;0,E13/G13,0)</f>
        <v>0</v>
      </c>
      <c r="F14" s="96">
        <f>IF(G13&gt;0,F13/G13,0)</f>
        <v>0.04545454545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0.125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0.1363636364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0.9545454545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0.375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9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4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4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6</v>
      </c>
      <c r="C20" s="88">
        <f>COUNTIF(B136:AE140,C19)</f>
        <v>10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16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1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0.375</v>
      </c>
      <c r="C21" s="96">
        <f>IF(H20&gt;0,C20/H20,0)</f>
        <v>0.625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0.375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1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1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3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1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1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4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4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1</v>
      </c>
      <c r="N34" s="88">
        <f>COUNTIF(B138:AE138,N33)</f>
        <v>1</v>
      </c>
      <c r="O34" s="88">
        <f>COUNTIF(B138:AE138,O33)</f>
        <v>0</v>
      </c>
      <c r="P34" s="88">
        <f>COUNTIF(B138:AE138,P33)</f>
        <v>0</v>
      </c>
      <c r="Q34" s="88">
        <f>COUNTIF(B138:AE138,Q33)</f>
        <v>1</v>
      </c>
      <c r="R34" s="88">
        <f>SUM(M34:Q34)</f>
        <v>3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1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0.6</v>
      </c>
      <c r="K37" s="37"/>
      <c r="M37" s="173">
        <f>IF(R34&gt;0,(M34+N34)/R34,0)</f>
        <v>0.6666666667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3</v>
      </c>
      <c r="C41" s="88">
        <f>COUNTIF(B137:AE137,C40)</f>
        <v>2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5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2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2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0.6</v>
      </c>
      <c r="C42" s="96">
        <f>IF(H41&gt;0,C41/H41,0)</f>
        <v>0.4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1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1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0.6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1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1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1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1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1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1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1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5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2</v>
      </c>
      <c r="C56" s="88">
        <f>COUNTIF(B139:AE139,C55)</f>
        <v>5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7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0.2857142857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0.2857142857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0.2857142857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1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0.6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3</v>
      </c>
      <c r="C63" s="88">
        <f>COUNTIF(B139:AE139,C62)</f>
        <v>2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5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0.6</v>
      </c>
      <c r="C64" s="96">
        <f>IF(H63&gt;0,C63/H63,0)</f>
        <v>0.4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1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0.6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1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A+</v>
      </c>
      <c r="C136" s="211" t="str">
        <f>VLOOKUP(B1,Dati!B2:AF13,3,0)</f>
        <v>A+</v>
      </c>
      <c r="D136" s="211" t="str">
        <f>VLOOKUP(B1,Dati!B2:AF13,4,0)</f>
        <v>B+</v>
      </c>
      <c r="E136" s="211" t="str">
        <f>VLOOKUP(B1,Dati!B2:AF13,5,0)</f>
        <v>B+</v>
      </c>
      <c r="F136" s="211" t="str">
        <f>VLOOKUP(B1,Dati!B2:AF13,6,0)</f>
        <v>B+</v>
      </c>
      <c r="G136" s="211" t="str">
        <f>VLOOKUP(B1,Dati!B2:AF13,7,0)</f>
        <v>B+</v>
      </c>
      <c r="H136" s="211" t="str">
        <f>VLOOKUP(B1,Dati!B2:AF13,8,0)</f>
        <v>B+</v>
      </c>
      <c r="I136" s="211" t="str">
        <f>VLOOKUP(B1,Dati!B2:AF13,9,0)</f>
        <v>A+</v>
      </c>
      <c r="J136" s="211" t="str">
        <f>VLOOKUP(B1,Dati!B2:AF13,10,0)</f>
        <v>A+</v>
      </c>
      <c r="K136" s="211" t="str">
        <f>VLOOKUP(B1,Dati!B2:AF13,11,0)</f>
        <v>B+</v>
      </c>
      <c r="L136" s="211" t="str">
        <f>VLOOKUP(B1,Dati!B2:AF13,12,0)</f>
        <v>B#</v>
      </c>
      <c r="M136" s="211" t="str">
        <f>VLOOKUP(B1,Dati!B2:AF13,13,0)</f>
        <v>B+</v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A#</v>
      </c>
      <c r="C137" s="211" t="str">
        <f>VLOOKUP(B1,Dati!B16:AF27,3,0)</f>
        <v>A#</v>
      </c>
      <c r="D137" s="211" t="str">
        <f>VLOOKUP(B1,Dati!B16:AF27,4,0)</f>
        <v>B+</v>
      </c>
      <c r="E137" s="211" t="str">
        <f>VLOOKUP(B1,Dati!B16:AF27,5,0)</f>
        <v>B+</v>
      </c>
      <c r="F137" s="211" t="str">
        <f>VLOOKUP(B1,Dati!B16:AF27,6,0)</f>
        <v>B+</v>
      </c>
      <c r="G137" s="211" t="str">
        <f>VLOOKUP(B1,Dati!B16:AF27,7,0)</f>
        <v>A+</v>
      </c>
      <c r="H137" s="211" t="str">
        <f>VLOOKUP(B1,Dati!B16:AF27,8,0)</f>
        <v>B+</v>
      </c>
      <c r="I137" s="211" t="str">
        <f>VLOOKUP(B1,Dati!B16:AF27,9,0)</f>
        <v>A+</v>
      </c>
      <c r="J137" s="211" t="str">
        <f>VLOOKUP(B1,Dati!B16:AF27,10,0)</f>
        <v>A#</v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A+</v>
      </c>
      <c r="C138" s="211" t="str">
        <f>VLOOKUP(B1,Dati!B30:AF41,3,0)</f>
        <v>A+</v>
      </c>
      <c r="D138" s="211" t="str">
        <f>VLOOKUP(B1,Dati!B30:AF41,4,0)</f>
        <v>B=</v>
      </c>
      <c r="E138" s="211" t="str">
        <f>VLOOKUP(B1,Dati!B30:AF41,5,0)</f>
        <v>B#</v>
      </c>
      <c r="F138" s="211" t="str">
        <f>VLOOKUP(B1,Dati!B30:AF41,6,0)</f>
        <v>B+</v>
      </c>
      <c r="G138" s="211" t="str">
        <f>VLOOKUP(B1,Dati!B30:AF41,7,0)</f>
        <v/>
      </c>
      <c r="H138" s="211" t="str">
        <f>VLOOKUP(B1,Dati!B30:AF41,8,0)</f>
        <v/>
      </c>
      <c r="I138" s="211" t="str">
        <f>VLOOKUP(B1,Dati!B30:AF41,9,0)</f>
        <v/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B+</v>
      </c>
      <c r="C139" s="211" t="str">
        <f>VLOOKUP(B1,Dati!B44:AF55,3,0)</f>
        <v>B+</v>
      </c>
      <c r="D139" s="211" t="str">
        <f>VLOOKUP(B1,Dati!B44:AF55,4,0)</f>
        <v>B#</v>
      </c>
      <c r="E139" s="211" t="str">
        <f>VLOOKUP(B1,Dati!B44:AF55,5,0)</f>
        <v>B#</v>
      </c>
      <c r="F139" s="211" t="str">
        <f>VLOOKUP(B1,Dati!B44:AF55,6,0)</f>
        <v>B+</v>
      </c>
      <c r="G139" s="211" t="str">
        <f>VLOOKUP(B1,Dati!B44:AF55,7,0)</f>
        <v>B+</v>
      </c>
      <c r="H139" s="211" t="str">
        <f>VLOOKUP(B1,Dati!B44:AF55,8,0)</f>
        <v>A+</v>
      </c>
      <c r="I139" s="211" t="str">
        <f>VLOOKUP(B1,Dati!B44:AF55,9,0)</f>
        <v>R+</v>
      </c>
      <c r="J139" s="211" t="str">
        <f>VLOOKUP(B1,Dati!B44:AF55,10,0)</f>
        <v>A+</v>
      </c>
      <c r="K139" s="211" t="str">
        <f>VLOOKUP(B1,Dati!B44:AF55,11,0)</f>
        <v>A#</v>
      </c>
      <c r="L139" s="211" t="str">
        <f>VLOOKUP(B1,Dati!B44:AF55,12,0)</f>
        <v>B+</v>
      </c>
      <c r="M139" s="211" t="str">
        <f>VLOOKUP(B1,Dati!B44:AF55,13,0)</f>
        <v>A#</v>
      </c>
      <c r="N139" s="211" t="str">
        <f>VLOOKUP(B1,Dati!B44:AF55,14,0)</f>
        <v>A#</v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3.0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2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6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14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3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7</v>
      </c>
      <c r="K12" s="37"/>
      <c r="L12" s="38"/>
      <c r="M12" s="88">
        <f>COUNTIF(B136:AE136,M11)</f>
        <v>0</v>
      </c>
      <c r="N12" s="88">
        <f>COUNTIF(B136:AE136,N11)</f>
        <v>6</v>
      </c>
      <c r="O12" s="88">
        <f>COUNTIF(B136:AE136,O11)</f>
        <v>0</v>
      </c>
      <c r="P12" s="88">
        <f>COUNTIF(B136:AE136,P11)</f>
        <v>0</v>
      </c>
      <c r="Q12" s="88">
        <f>COUNTIF(B136:AE136,Q11)</f>
        <v>1</v>
      </c>
      <c r="R12" s="88">
        <f t="shared" ref="R12:R13" si="3">SUM(M12:Q12)</f>
        <v>7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17</v>
      </c>
      <c r="D13" s="88">
        <f>COUNTIF(B136:AE140,D12)</f>
        <v>0</v>
      </c>
      <c r="E13" s="88">
        <f>COUNTIF(B136:AE140,E12)</f>
        <v>0</v>
      </c>
      <c r="F13" s="88">
        <f>COUNTIF(B136:AE140,F12)</f>
        <v>1</v>
      </c>
      <c r="G13" s="88">
        <f t="shared" ref="G13:G14" si="4">SUM(B13:F13)</f>
        <v>18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0.9444444444</v>
      </c>
      <c r="D14" s="96">
        <f>IF(G13&gt;0,D13/G13,0)</f>
        <v>0</v>
      </c>
      <c r="E14" s="96">
        <f>IF(G13&gt;0,E13/G13,0)</f>
        <v>0</v>
      </c>
      <c r="F14" s="96">
        <f>IF(G13&gt;0,F13/G13,0)</f>
        <v>0.05555555556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-0.1428571429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-0.05555555556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0.8571428571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0.3076923077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0.9444444444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0.15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7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6</v>
      </c>
      <c r="N19" s="88">
        <f>COUNTIF(B136:AE136,N18)</f>
        <v>5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2</v>
      </c>
      <c r="S19" s="88">
        <f t="shared" ref="S19:S20" si="5">SUM(M19:R19)</f>
        <v>13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12</v>
      </c>
      <c r="C20" s="88">
        <f>COUNTIF(B136:AE140,C19)</f>
        <v>22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6</v>
      </c>
      <c r="H20" s="88">
        <f t="shared" ref="H20:H21" si="6">SUM(B20:G20)</f>
        <v>40</v>
      </c>
      <c r="I20" s="62"/>
      <c r="J20" s="37"/>
      <c r="K20" s="37"/>
      <c r="L20" s="38"/>
      <c r="M20" s="96">
        <f>IF(S19&gt;0,M19/S19,0)</f>
        <v>0.4615384615</v>
      </c>
      <c r="N20" s="96">
        <f>IF(S19&gt;0,N19/S19,0)</f>
        <v>0.3846153846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0.1538461538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0.3</v>
      </c>
      <c r="C21" s="96">
        <f>IF(H20&gt;0,C20/H20,0)</f>
        <v>0.55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0.15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0.3076923077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0.15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0.8461538462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0.85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1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2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4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2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2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3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3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5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5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1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-0.1</v>
      </c>
      <c r="K37" s="37"/>
      <c r="M37" s="173">
        <f>IF(R34&gt;0,(M34+N34)/R34,0)</f>
        <v>1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0.1666666667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1</v>
      </c>
      <c r="C41" s="88">
        <f>COUNTIF(B137:AE137,C40)</f>
        <v>7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2</v>
      </c>
      <c r="H41" s="88">
        <f t="shared" ref="H41:H42" si="12">SUM(B41:G41)</f>
        <v>10</v>
      </c>
      <c r="I41" s="62"/>
      <c r="J41" s="37"/>
      <c r="K41" s="37"/>
      <c r="L41" s="38"/>
      <c r="M41" s="88">
        <f>COUNTIF(B138:AE138,M40)</f>
        <v>4</v>
      </c>
      <c r="N41" s="88">
        <f>COUNTIF(B138:AE138,N40)</f>
        <v>6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2</v>
      </c>
      <c r="S41" s="88">
        <f t="shared" ref="S41:S42" si="13">SUM(M41:R41)</f>
        <v>12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0.1</v>
      </c>
      <c r="C42" s="96">
        <f>IF(H41&gt;0,C41/H41,0)</f>
        <v>0.7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0.2</v>
      </c>
      <c r="H42" s="96">
        <f t="shared" si="12"/>
        <v>1</v>
      </c>
      <c r="I42" s="62"/>
      <c r="J42" s="37"/>
      <c r="K42" s="37"/>
      <c r="L42" s="38"/>
      <c r="M42" s="96">
        <f>IF(S41&gt;0,M41/S41,0)</f>
        <v>0.3333333333</v>
      </c>
      <c r="N42" s="96">
        <f>IF(S41&gt;0,N41/S41,0)</f>
        <v>0.5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0.1666666667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-0.1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0.1666666667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0.8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0.8333333333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1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2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3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3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1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0.2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1</v>
      </c>
      <c r="C63" s="88">
        <f>COUNTIF(B139:AE139,C62)</f>
        <v>4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5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0.2</v>
      </c>
      <c r="C64" s="96">
        <f>IF(H63&gt;0,C63/H63,0)</f>
        <v>0.8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1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0.2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1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A#</v>
      </c>
      <c r="C136" s="211" t="str">
        <f>VLOOKUP(B1,Dati!B2:AF13,3,0)</f>
        <v>A+</v>
      </c>
      <c r="D136" s="211" t="str">
        <f>VLOOKUP(B1,Dati!B2:AF13,4,0)</f>
        <v>A=</v>
      </c>
      <c r="E136" s="211" t="str">
        <f>VLOOKUP(B1,Dati!B2:AF13,5,0)</f>
        <v>A+</v>
      </c>
      <c r="F136" s="211" t="str">
        <f>VLOOKUP(B1,Dati!B2:AF13,6,0)</f>
        <v>A#</v>
      </c>
      <c r="G136" s="211" t="str">
        <f>VLOOKUP(B1,Dati!B2:AF13,7,0)</f>
        <v>A=</v>
      </c>
      <c r="H136" s="211" t="str">
        <f>VLOOKUP(B1,Dati!B2:AF13,8,0)</f>
        <v>B+</v>
      </c>
      <c r="I136" s="211" t="str">
        <f>VLOOKUP(B1,Dati!B2:AF13,9,0)</f>
        <v>A#</v>
      </c>
      <c r="J136" s="211" t="str">
        <f>VLOOKUP(B1,Dati!B2:AF13,10,0)</f>
        <v>B+</v>
      </c>
      <c r="K136" s="211" t="str">
        <f>VLOOKUP(B1,Dati!B2:AF13,11,0)</f>
        <v>A#</v>
      </c>
      <c r="L136" s="211" t="str">
        <f>VLOOKUP(B1,Dati!B2:AF13,12,0)</f>
        <v>B+</v>
      </c>
      <c r="M136" s="211" t="str">
        <f>VLOOKUP(B1,Dati!B2:AF13,13,0)</f>
        <v>B+</v>
      </c>
      <c r="N136" s="211" t="str">
        <f>VLOOKUP(B1,Dati!B2:AF13,14,0)</f>
        <v>B=</v>
      </c>
      <c r="O136" s="211" t="str">
        <f>VLOOKUP(B1,Dati!B2:AF13,15,0)</f>
        <v>A+</v>
      </c>
      <c r="P136" s="211" t="str">
        <f>VLOOKUP(B1,Dati!B2:AF13,16,0)</f>
        <v>A+</v>
      </c>
      <c r="Q136" s="211" t="str">
        <f>VLOOKUP(B1,Dati!B2:AF13,17,0)</f>
        <v>A#</v>
      </c>
      <c r="R136" s="211" t="str">
        <f>VLOOKUP(B1,Dati!B2:AF13,18,0)</f>
        <v>A#</v>
      </c>
      <c r="S136" s="211" t="str">
        <f>VLOOKUP(B1,Dati!B2:AF13,19,0)</f>
        <v>B+</v>
      </c>
      <c r="T136" s="211" t="str">
        <f>VLOOKUP(B1,Dati!B2:AF13,20,0)</f>
        <v>A+</v>
      </c>
      <c r="U136" s="211" t="str">
        <f>VLOOKUP(B1,Dati!B2:AF13,21,0)</f>
        <v>B+</v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A+</v>
      </c>
      <c r="C137" s="211" t="str">
        <f>VLOOKUP(B1,Dati!B16:AF27,3,0)</f>
        <v>A=</v>
      </c>
      <c r="D137" s="211" t="str">
        <f>VLOOKUP(B1,Dati!B16:AF27,4,0)</f>
        <v>A+</v>
      </c>
      <c r="E137" s="211" t="str">
        <f>VLOOKUP(B1,Dati!B16:AF27,5,0)</f>
        <v>A=</v>
      </c>
      <c r="F137" s="211" t="str">
        <f>VLOOKUP(B1,Dati!B16:AF27,6,0)</f>
        <v>A+</v>
      </c>
      <c r="G137" s="211" t="str">
        <f>VLOOKUP(B1,Dati!B16:AF27,7,0)</f>
        <v>M#</v>
      </c>
      <c r="H137" s="211" t="str">
        <f>VLOOKUP(B1,Dati!B16:AF27,8,0)</f>
        <v>B+</v>
      </c>
      <c r="I137" s="211" t="str">
        <f>VLOOKUP(B1,Dati!B16:AF27,9,0)</f>
        <v>A+</v>
      </c>
      <c r="J137" s="211" t="str">
        <f>VLOOKUP(B1,Dati!B16:AF27,10,0)</f>
        <v>B+</v>
      </c>
      <c r="K137" s="211" t="str">
        <f>VLOOKUP(B1,Dati!B16:AF27,11,0)</f>
        <v>A+</v>
      </c>
      <c r="L137" s="211" t="str">
        <f>VLOOKUP(B1,Dati!B16:AF27,12,0)</f>
        <v>B+</v>
      </c>
      <c r="M137" s="211" t="str">
        <f>VLOOKUP(B1,Dati!B16:AF27,13,0)</f>
        <v>A+</v>
      </c>
      <c r="N137" s="211" t="str">
        <f>VLOOKUP(B1,Dati!B16:AF27,14,0)</f>
        <v>A#</v>
      </c>
      <c r="O137" s="211" t="str">
        <f>VLOOKUP(B1,Dati!B16:AF27,15,0)</f>
        <v>A+</v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A+</v>
      </c>
      <c r="C138" s="211" t="str">
        <f>VLOOKUP(B1,Dati!B30:AF41,3,0)</f>
        <v>A+</v>
      </c>
      <c r="D138" s="211" t="str">
        <f>VLOOKUP(B1,Dati!B30:AF41,4,0)</f>
        <v>A+</v>
      </c>
      <c r="E138" s="211" t="str">
        <f>VLOOKUP(B1,Dati!B30:AF41,5,0)</f>
        <v>A=</v>
      </c>
      <c r="F138" s="211" t="str">
        <f>VLOOKUP(B1,Dati!B30:AF41,6,0)</f>
        <v>A#</v>
      </c>
      <c r="G138" s="211" t="str">
        <f>VLOOKUP(B1,Dati!B30:AF41,7,0)</f>
        <v>A#</v>
      </c>
      <c r="H138" s="211" t="str">
        <f>VLOOKUP(B1,Dati!B30:AF41,8,0)</f>
        <v>B+</v>
      </c>
      <c r="I138" s="211" t="str">
        <f>VLOOKUP(B1,Dati!B30:AF41,9,0)</f>
        <v>B+</v>
      </c>
      <c r="J138" s="211" t="str">
        <f>VLOOKUP(B1,Dati!B30:AF41,10,0)</f>
        <v>A+</v>
      </c>
      <c r="K138" s="211" t="str">
        <f>VLOOKUP(B1,Dati!B30:AF41,11,0)</f>
        <v>B+</v>
      </c>
      <c r="L138" s="211" t="str">
        <f>VLOOKUP(B1,Dati!B30:AF41,12,0)</f>
        <v>B+</v>
      </c>
      <c r="M138" s="211" t="str">
        <f>VLOOKUP(B1,Dati!B30:AF41,13,0)</f>
        <v>A+</v>
      </c>
      <c r="N138" s="211" t="str">
        <f>VLOOKUP(B1,Dati!B30:AF41,14,0)</f>
        <v>A#</v>
      </c>
      <c r="O138" s="211" t="str">
        <f>VLOOKUP(B1,Dati!B30:AF41,15,0)</f>
        <v>A=</v>
      </c>
      <c r="P138" s="211" t="str">
        <f>VLOOKUP(B1,Dati!B30:AF41,16,0)</f>
        <v>A#</v>
      </c>
      <c r="Q138" s="211" t="str">
        <f>VLOOKUP(B1,Dati!B30:AF41,17,0)</f>
        <v>B+</v>
      </c>
      <c r="R138" s="211" t="str">
        <f>VLOOKUP(B1,Dati!B30:AF41,18,0)</f>
        <v>A+</v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M#</v>
      </c>
      <c r="C139" s="211" t="str">
        <f>VLOOKUP(B1,Dati!B44:AF55,3,0)</f>
        <v>A#</v>
      </c>
      <c r="D139" s="211" t="str">
        <f>VLOOKUP(B1,Dati!B44:AF55,4,0)</f>
        <v>A+</v>
      </c>
      <c r="E139" s="211" t="str">
        <f>VLOOKUP(B1,Dati!B44:AF55,5,0)</f>
        <v>B+</v>
      </c>
      <c r="F139" s="211" t="str">
        <f>VLOOKUP(B1,Dati!B44:AF55,6,0)</f>
        <v>A+</v>
      </c>
      <c r="G139" s="211" t="str">
        <f>VLOOKUP(B1,Dati!B44:AF55,7,0)</f>
        <v>A+</v>
      </c>
      <c r="H139" s="211" t="str">
        <f>VLOOKUP(B1,Dati!B44:AF55,8,0)</f>
        <v>A+</v>
      </c>
      <c r="I139" s="211" t="str">
        <f>VLOOKUP(B1,Dati!B44:AF55,9,0)</f>
        <v>B+</v>
      </c>
      <c r="J139" s="211" t="str">
        <f>VLOOKUP(B1,Dati!B44:AF55,10,0)</f>
        <v>B+</v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14.0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2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1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4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212">
        <f>G20+F13+J6+J8</f>
        <v>3</v>
      </c>
      <c r="K12" s="37"/>
      <c r="L12" s="38"/>
      <c r="M12" s="88">
        <f>COUNTIF(B136:AE136,M11)</f>
        <v>0</v>
      </c>
      <c r="N12" s="88">
        <f>COUNTIF(B136:AE136,N11)</f>
        <v>2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2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1</v>
      </c>
      <c r="C13" s="88">
        <f>COUNTIF(B136:AE140,C12)</f>
        <v>15</v>
      </c>
      <c r="D13" s="88">
        <f>COUNTIF(B136:AE140,D12)</f>
        <v>0</v>
      </c>
      <c r="E13" s="88">
        <f>COUNTIF(B136:AE140,E12)</f>
        <v>0</v>
      </c>
      <c r="F13" s="88">
        <f>COUNTIF(B136:AE140,F12)</f>
        <v>1</v>
      </c>
      <c r="G13" s="88">
        <f t="shared" ref="G13:G14" si="4">SUM(B13:F13)</f>
        <v>17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0.05882352941</v>
      </c>
      <c r="C14" s="96">
        <f>IF(G13&gt;0,C13/G13,0)</f>
        <v>0.8823529412</v>
      </c>
      <c r="D14" s="96">
        <f>IF(G13&gt;0,D13/G13,0)</f>
        <v>0</v>
      </c>
      <c r="E14" s="96">
        <f>IF(G13&gt;0,E13/G13,0)</f>
        <v>0</v>
      </c>
      <c r="F14" s="96">
        <f>IF(G13&gt;0,F13/G13,0)</f>
        <v>0.05882352941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0.5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0.9411764706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0.75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1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1</v>
      </c>
      <c r="N19" s="88">
        <f>COUNTIF(B136:AE136,N18)</f>
        <v>1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2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3</v>
      </c>
      <c r="C20" s="88">
        <f>COUNTIF(B136:AE140,C19)</f>
        <v>1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4</v>
      </c>
      <c r="I20" s="62"/>
      <c r="J20" s="37"/>
      <c r="K20" s="37"/>
      <c r="L20" s="38"/>
      <c r="M20" s="96">
        <f>IF(S19&gt;0,M19/S19,0)</f>
        <v>0.5</v>
      </c>
      <c r="N20" s="96">
        <f>IF(S19&gt;0,N19/S19,0)</f>
        <v>0.5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0.75</v>
      </c>
      <c r="C21" s="96">
        <f>IF(H20&gt;0,C20/H20,0)</f>
        <v>0.25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0.5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0.75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1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1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2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1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4</v>
      </c>
      <c r="D34" s="88">
        <f>COUNTIF(B137:AE137,D33)</f>
        <v>0</v>
      </c>
      <c r="E34" s="88">
        <f>COUNTIF(B137:AE137,E33)</f>
        <v>0</v>
      </c>
      <c r="F34" s="88">
        <f>COUNTIF(B137:AE137,F33)</f>
        <v>1</v>
      </c>
      <c r="G34" s="88">
        <f t="shared" ref="G34:G35" si="10">SUM(B34:F34)</f>
        <v>5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4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4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0.8</v>
      </c>
      <c r="D35" s="96">
        <f t="shared" si="9"/>
        <v>0</v>
      </c>
      <c r="E35" s="96">
        <f t="shared" si="9"/>
        <v>0</v>
      </c>
      <c r="F35" s="96">
        <f t="shared" si="9"/>
        <v>0.2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-0.2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0.8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1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1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2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2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1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1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1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1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1</v>
      </c>
      <c r="C56" s="88">
        <f>COUNTIF(B139:AE139,C55)</f>
        <v>5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6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0.1666666667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0.1666666667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0.1666666667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1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A#</v>
      </c>
      <c r="C136" s="211" t="str">
        <f>VLOOKUP(B1,Dati!B2:AF13,3,0)</f>
        <v>P=</v>
      </c>
      <c r="D136" s="211" t="str">
        <f>VLOOKUP(B1,Dati!B2:AF13,4,0)</f>
        <v>B+</v>
      </c>
      <c r="E136" s="211" t="str">
        <f>VLOOKUP(B1,Dati!B2:AF13,5,0)</f>
        <v>B+</v>
      </c>
      <c r="F136" s="211" t="str">
        <f>VLOOKUP(B1,Dati!B2:AF13,6,0)</f>
        <v>A+</v>
      </c>
      <c r="G136" s="211" t="str">
        <f>VLOOKUP(B1,Dati!B2:AF13,7,0)</f>
        <v/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B+</v>
      </c>
      <c r="C137" s="211" t="str">
        <f>VLOOKUP(B1,Dati!B16:AF27,3,0)</f>
        <v>B+</v>
      </c>
      <c r="D137" s="211" t="str">
        <f>VLOOKUP(B1,Dati!B16:AF27,4,0)</f>
        <v>B+</v>
      </c>
      <c r="E137" s="211" t="str">
        <f>VLOOKUP(B1,Dati!B16:AF27,5,0)</f>
        <v>B=</v>
      </c>
      <c r="F137" s="211" t="str">
        <f>VLOOKUP(B1,Dati!B16:AF27,6,0)</f>
        <v>B+</v>
      </c>
      <c r="G137" s="211" t="str">
        <f>VLOOKUP(B1,Dati!B16:AF27,7,0)</f>
        <v>P=</v>
      </c>
      <c r="H137" s="211" t="str">
        <f>VLOOKUP(B1,Dati!B16:AF27,8,0)</f>
        <v/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A#</v>
      </c>
      <c r="C138" s="211" t="str">
        <f>VLOOKUP(B1,Dati!B30:AF41,3,0)</f>
        <v>A#</v>
      </c>
      <c r="D138" s="211" t="str">
        <f>VLOOKUP(B1,Dati!B30:AF41,4,0)</f>
        <v>B+</v>
      </c>
      <c r="E138" s="211" t="str">
        <f>VLOOKUP(B1,Dati!B30:AF41,5,0)</f>
        <v>B+</v>
      </c>
      <c r="F138" s="211" t="str">
        <f>VLOOKUP(B1,Dati!B30:AF41,6,0)</f>
        <v>B+</v>
      </c>
      <c r="G138" s="211" t="str">
        <f>VLOOKUP(B1,Dati!B30:AF41,7,0)</f>
        <v>B+</v>
      </c>
      <c r="H138" s="211" t="str">
        <f>VLOOKUP(B1,Dati!B30:AF41,8,0)</f>
        <v/>
      </c>
      <c r="I138" s="211" t="str">
        <f>VLOOKUP(B1,Dati!B30:AF41,9,0)</f>
        <v/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B+</v>
      </c>
      <c r="C139" s="211" t="str">
        <f>VLOOKUP(B1,Dati!B44:AF55,3,0)</f>
        <v>B+</v>
      </c>
      <c r="D139" s="211" t="str">
        <f>VLOOKUP(B1,Dati!B44:AF55,4,0)</f>
        <v>B+</v>
      </c>
      <c r="E139" s="211" t="str">
        <f>VLOOKUP(B1,Dati!B44:AF55,5,0)</f>
        <v>B#</v>
      </c>
      <c r="F139" s="211" t="str">
        <f>VLOOKUP(B1,Dati!B44:AF55,6,0)</f>
        <v>B+</v>
      </c>
      <c r="G139" s="211" t="str">
        <f>VLOOKUP(B1,Dati!B44:AF55,7,0)</f>
        <v>B+</v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16.0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2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1</v>
      </c>
      <c r="J6" s="88">
        <f>COUNTIF(B136:AE140,J5)</f>
        <v>3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2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14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3</v>
      </c>
      <c r="K12" s="37"/>
      <c r="L12" s="38"/>
      <c r="M12" s="88">
        <f>COUNTIF(B136:AE136,M11)</f>
        <v>0</v>
      </c>
      <c r="N12" s="88">
        <f>COUNTIF(B136:AE136,N11)</f>
        <v>3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3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12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12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1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0.5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1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0.65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11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2</v>
      </c>
      <c r="N19" s="88">
        <f>COUNTIF(B136:AE136,N18)</f>
        <v>2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4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13</v>
      </c>
      <c r="C20" s="88">
        <f>COUNTIF(B136:AE140,C19)</f>
        <v>7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20</v>
      </c>
      <c r="I20" s="62"/>
      <c r="J20" s="37"/>
      <c r="K20" s="37"/>
      <c r="L20" s="38"/>
      <c r="M20" s="96">
        <f>IF(S19&gt;0,M19/S19,0)</f>
        <v>0.5</v>
      </c>
      <c r="N20" s="96">
        <f>IF(S19&gt;0,N19/S19,0)</f>
        <v>0.5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0.65</v>
      </c>
      <c r="C21" s="96">
        <f>IF(H20&gt;0,C20/H20,0)</f>
        <v>0.35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0.5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0.65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1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1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1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4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5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4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4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1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1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1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0.75</v>
      </c>
      <c r="K37" s="37"/>
      <c r="M37" s="173">
        <f>IF(R34&gt;0,(M34+N34)/R34,0)</f>
        <v>1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0.7142857143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3</v>
      </c>
      <c r="C41" s="88">
        <f>COUNTIF(B137:AE137,C40)</f>
        <v>1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4</v>
      </c>
      <c r="I41" s="62"/>
      <c r="J41" s="37"/>
      <c r="K41" s="37"/>
      <c r="L41" s="38"/>
      <c r="M41" s="88">
        <f>COUNTIF(B138:AE138,M40)</f>
        <v>5</v>
      </c>
      <c r="N41" s="88">
        <f>COUNTIF(B138:AE138,N40)</f>
        <v>2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7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0.75</v>
      </c>
      <c r="C42" s="96">
        <f>IF(H41&gt;0,C41/H41,0)</f>
        <v>0.25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1</v>
      </c>
      <c r="I42" s="62"/>
      <c r="J42" s="37"/>
      <c r="K42" s="37"/>
      <c r="L42" s="38"/>
      <c r="M42" s="96">
        <f>IF(S41&gt;0,M41/S41,0)</f>
        <v>0.7142857143</v>
      </c>
      <c r="N42" s="96">
        <f>IF(S41&gt;0,N41/S41,0)</f>
        <v>0.2857142857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0.75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0.7142857143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1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1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1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3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4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4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1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0.6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3</v>
      </c>
      <c r="C63" s="88">
        <f>COUNTIF(B139:AE139,C62)</f>
        <v>2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5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0.6</v>
      </c>
      <c r="C64" s="96">
        <f>IF(H63&gt;0,C63/H63,0)</f>
        <v>0.4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1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0.6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1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A#</v>
      </c>
      <c r="C136" s="211" t="str">
        <f>VLOOKUP(B1,Dati!B2:AF13,3,0)</f>
        <v>A#</v>
      </c>
      <c r="D136" s="211" t="str">
        <f>VLOOKUP(B1,Dati!B2:AF13,4,0)</f>
        <v>A+</v>
      </c>
      <c r="E136" s="211" t="str">
        <f>VLOOKUP(B1,Dati!B2:AF13,5,0)</f>
        <v>M=</v>
      </c>
      <c r="F136" s="211" t="str">
        <f>VLOOKUP(B1,Dati!B2:AF13,6,0)</f>
        <v>B+</v>
      </c>
      <c r="G136" s="211" t="str">
        <f>VLOOKUP(B1,Dati!B2:AF13,7,0)</f>
        <v>B+</v>
      </c>
      <c r="H136" s="211" t="str">
        <f>VLOOKUP(B1,Dati!B2:AF13,8,0)</f>
        <v>B+</v>
      </c>
      <c r="I136" s="211" t="str">
        <f>VLOOKUP(B1,Dati!B2:AF13,9,0)</f>
        <v>M=</v>
      </c>
      <c r="J136" s="211" t="str">
        <f>VLOOKUP(B1,Dati!B2:AF13,10,0)</f>
        <v>A+</v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A#</v>
      </c>
      <c r="C137" s="211" t="str">
        <f>VLOOKUP(B1,Dati!B16:AF27,3,0)</f>
        <v>B+</v>
      </c>
      <c r="D137" s="211" t="str">
        <f>VLOOKUP(B1,Dati!B16:AF27,4,0)</f>
        <v>B+</v>
      </c>
      <c r="E137" s="211" t="str">
        <f>VLOOKUP(B1,Dati!B16:AF27,5,0)</f>
        <v>A#</v>
      </c>
      <c r="F137" s="211" t="str">
        <f>VLOOKUP(B1,Dati!B16:AF27,6,0)</f>
        <v>A#</v>
      </c>
      <c r="G137" s="211" t="str">
        <f>VLOOKUP(B1,Dati!B16:AF27,7,0)</f>
        <v>M#</v>
      </c>
      <c r="H137" s="211" t="str">
        <f>VLOOKUP(B1,Dati!B16:AF27,8,0)</f>
        <v>A+</v>
      </c>
      <c r="I137" s="211" t="str">
        <f>VLOOKUP(B1,Dati!B16:AF27,9,0)</f>
        <v>B+</v>
      </c>
      <c r="J137" s="211" t="str">
        <f>VLOOKUP(B1,Dati!B16:AF27,10,0)</f>
        <v>B+</v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A#</v>
      </c>
      <c r="C138" s="211" t="str">
        <f>VLOOKUP(B1,Dati!B30:AF41,3,0)</f>
        <v>A+</v>
      </c>
      <c r="D138" s="211" t="str">
        <f>VLOOKUP(B1,Dati!B30:AF41,4,0)</f>
        <v>A#</v>
      </c>
      <c r="E138" s="211" t="str">
        <f>VLOOKUP(B1,Dati!B30:AF41,5,0)</f>
        <v>B+</v>
      </c>
      <c r="F138" s="211" t="str">
        <f>VLOOKUP(B1,Dati!B30:AF41,6,0)</f>
        <v>A#</v>
      </c>
      <c r="G138" s="211" t="str">
        <f>VLOOKUP(B1,Dati!B30:AF41,7,0)</f>
        <v>A#</v>
      </c>
      <c r="H138" s="211" t="str">
        <f>VLOOKUP(B1,Dati!B30:AF41,8,0)</f>
        <v>A+</v>
      </c>
      <c r="I138" s="211" t="str">
        <f>VLOOKUP(B1,Dati!B30:AF41,9,0)</f>
        <v>A#</v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A#</v>
      </c>
      <c r="C139" s="211" t="str">
        <f>VLOOKUP(B1,Dati!B44:AF55,3,0)</f>
        <v>A#</v>
      </c>
      <c r="D139" s="211" t="str">
        <f>VLOOKUP(B1,Dati!B44:AF55,4,0)</f>
        <v>M=</v>
      </c>
      <c r="E139" s="211" t="str">
        <f>VLOOKUP(B1,Dati!B44:AF55,5,0)</f>
        <v>B+</v>
      </c>
      <c r="F139" s="211" t="str">
        <f>VLOOKUP(B1,Dati!B44:AF55,6,0)</f>
        <v>B+</v>
      </c>
      <c r="G139" s="211" t="str">
        <f>VLOOKUP(B1,Dati!B44:AF55,7,0)</f>
        <v>B+</v>
      </c>
      <c r="H139" s="211" t="str">
        <f>VLOOKUP(B1,Dati!B44:AF55,8,0)</f>
        <v>A+</v>
      </c>
      <c r="I139" s="211" t="str">
        <f>VLOOKUP(B1,Dati!B44:AF55,9,0)</f>
        <v>A#</v>
      </c>
      <c r="J139" s="211" t="str">
        <f>VLOOKUP(B1,Dati!B44:AF55,10,0)</f>
        <v>A+</v>
      </c>
      <c r="K139" s="211" t="str">
        <f>VLOOKUP(B1,Dati!B44:AF55,11,0)</f>
        <v>B+</v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15.0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11.0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3</v>
      </c>
      <c r="N5" s="88">
        <f>COUNTIF(B136:AE136,N4)</f>
        <v>2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5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7</v>
      </c>
      <c r="C6" s="88">
        <f>COUNTIF(B136:AE140,C5)</f>
        <v>7</v>
      </c>
      <c r="D6" s="88">
        <f>COUNTIF(B136:AE140,D5)</f>
        <v>2</v>
      </c>
      <c r="E6" s="88">
        <f>COUNTIF(B136:AE140,E5)</f>
        <v>2</v>
      </c>
      <c r="F6" s="88">
        <f>COUNTIF(B136:AE140,F5)</f>
        <v>0</v>
      </c>
      <c r="G6" s="88">
        <f t="shared" ref="G6:G7" si="2">SUM(B6:F6)</f>
        <v>18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0.6</v>
      </c>
      <c r="N6" s="96">
        <f>IF(R5&gt;0,N5/R5,0)</f>
        <v>0.4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1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0.3888888889</v>
      </c>
      <c r="C7" s="96">
        <f>IF(G6&gt;0,C6/G6,0)</f>
        <v>0.3888888889</v>
      </c>
      <c r="D7" s="96">
        <f>IF(G6&gt;0,D6/G6,0)</f>
        <v>0.1111111111</v>
      </c>
      <c r="E7" s="96">
        <f>IF(E6&gt;0,E6/G6,0)</f>
        <v>0.1111111111</v>
      </c>
      <c r="F7" s="96">
        <f>IF(F6&gt;0,F6/G6,0)</f>
        <v>0</v>
      </c>
      <c r="G7" s="98">
        <f t="shared" si="2"/>
        <v>1</v>
      </c>
      <c r="H7" s="62"/>
      <c r="I7" s="69"/>
      <c r="J7" s="69"/>
      <c r="K7" s="37"/>
      <c r="L7" s="99" t="s">
        <v>53</v>
      </c>
      <c r="M7" s="101">
        <f>IF(R5&gt;0,(M5-Q5)/R5,0)</f>
        <v>0.6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0.3888888889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1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0.7777777778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0.6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0.3888888889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3</v>
      </c>
      <c r="C27" s="88">
        <f>COUNTIF(B137:AE137,C26)</f>
        <v>1</v>
      </c>
      <c r="D27" s="88">
        <f>COUNTIF(B137:AE137,D26)</f>
        <v>0</v>
      </c>
      <c r="E27" s="88">
        <f>COUNTIF(B137:AE137,E26)</f>
        <v>1</v>
      </c>
      <c r="F27" s="88">
        <f>COUNTIF(B137:AE137,F26)</f>
        <v>0</v>
      </c>
      <c r="G27" s="88">
        <f t="shared" ref="G27:G28" si="7">SUM(B27:F27)</f>
        <v>5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1</v>
      </c>
      <c r="N27" s="88">
        <f>COUNTIF(B138:AE138,N26)</f>
        <v>2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3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0.6</v>
      </c>
      <c r="C28" s="96">
        <f>IF(G27&gt;0,C27/G27,0)</f>
        <v>0.2</v>
      </c>
      <c r="D28" s="96">
        <f>IF(G27&gt;0,D27/G27,0)</f>
        <v>0</v>
      </c>
      <c r="E28" s="96">
        <f>IF(G27&gt;0,E27/G27,0)</f>
        <v>0.2</v>
      </c>
      <c r="F28" s="96">
        <f>IF(G27&gt;0,F27/G27,0)</f>
        <v>0</v>
      </c>
      <c r="G28" s="98">
        <f t="shared" si="7"/>
        <v>1</v>
      </c>
      <c r="H28" s="62"/>
      <c r="I28" s="69"/>
      <c r="J28" s="69"/>
      <c r="K28" s="37"/>
      <c r="L28" s="38"/>
      <c r="M28" s="96">
        <f>IF(R27&gt;0,M27/R27,0)</f>
        <v>0.3333333333</v>
      </c>
      <c r="N28" s="96">
        <f>IF(R27&gt;0,N27/R27,0)</f>
        <v>0.6666666667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1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0.6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0.3333333333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0.8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1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0.6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0.3333333333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2</v>
      </c>
      <c r="D49" s="88">
        <f>COUNTIF(B139:AE139,D48)</f>
        <v>2</v>
      </c>
      <c r="E49" s="88">
        <f>COUNTIF(B139:AE139,E48)</f>
        <v>1</v>
      </c>
      <c r="F49" s="88">
        <f>COUNTIF(B139:AE139,F48)</f>
        <v>0</v>
      </c>
      <c r="G49" s="88">
        <f t="shared" ref="G49:G50" si="14">SUM(B49:F49)</f>
        <v>5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0.4</v>
      </c>
      <c r="D50" s="96">
        <f>IF(G49&gt;0,D49/G49,0)</f>
        <v>0.4</v>
      </c>
      <c r="E50" s="96">
        <f>IF(G49&gt;0,E49/G49,0)</f>
        <v>0.2</v>
      </c>
      <c r="F50" s="96">
        <f>IF(G49&gt;0,F49/G49,0)</f>
        <v>0</v>
      </c>
      <c r="G50" s="98">
        <f t="shared" si="14"/>
        <v>1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0.4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R#</v>
      </c>
      <c r="C136" s="211" t="str">
        <f>VLOOKUP(B1,Dati!B2:AF13,3,0)</f>
        <v>R+</v>
      </c>
      <c r="D136" s="211" t="str">
        <f>VLOOKUP(B1,Dati!B2:AF13,4,0)</f>
        <v>R#</v>
      </c>
      <c r="E136" s="211" t="str">
        <f>VLOOKUP(B1,Dati!B2:AF13,5,0)</f>
        <v>R#</v>
      </c>
      <c r="F136" s="211" t="str">
        <f>VLOOKUP(B1,Dati!B2:AF13,6,0)</f>
        <v>R+</v>
      </c>
      <c r="G136" s="211" t="str">
        <f>VLOOKUP(B1,Dati!B2:AF13,7,0)</f>
        <v/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R#</v>
      </c>
      <c r="C137" s="211" t="str">
        <f>VLOOKUP(B1,Dati!B16:AF27,3,0)</f>
        <v>R+</v>
      </c>
      <c r="D137" s="211" t="str">
        <f>VLOOKUP(B1,Dati!B16:AF27,4,0)</f>
        <v>R#</v>
      </c>
      <c r="E137" s="211" t="str">
        <f>VLOOKUP(B1,Dati!B16:AF27,5,0)</f>
        <v>R#</v>
      </c>
      <c r="F137" s="211" t="str">
        <f>VLOOKUP(B1,Dati!B16:AF27,6,0)</f>
        <v>R/</v>
      </c>
      <c r="G137" s="211" t="str">
        <f>VLOOKUP(B1,Dati!B16:AF27,7,0)</f>
        <v/>
      </c>
      <c r="H137" s="211" t="str">
        <f>VLOOKUP(B1,Dati!B16:AF27,8,0)</f>
        <v/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R+</v>
      </c>
      <c r="C138" s="211" t="str">
        <f>VLOOKUP(B1,Dati!B30:AF41,3,0)</f>
        <v>R#</v>
      </c>
      <c r="D138" s="211" t="str">
        <f>VLOOKUP(B1,Dati!B30:AF41,4,0)</f>
        <v>R+</v>
      </c>
      <c r="E138" s="211" t="str">
        <f>VLOOKUP(B1,Dati!B30:AF41,5,0)</f>
        <v/>
      </c>
      <c r="F138" s="211" t="str">
        <f>VLOOKUP(B1,Dati!B30:AF41,6,0)</f>
        <v/>
      </c>
      <c r="G138" s="211" t="str">
        <f>VLOOKUP(B1,Dati!B30:AF41,7,0)</f>
        <v/>
      </c>
      <c r="H138" s="211" t="str">
        <f>VLOOKUP(B1,Dati!B30:AF41,8,0)</f>
        <v/>
      </c>
      <c r="I138" s="211" t="str">
        <f>VLOOKUP(B1,Dati!B30:AF41,9,0)</f>
        <v/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R/</v>
      </c>
      <c r="C139" s="211" t="str">
        <f>VLOOKUP(B1,Dati!B44:AF55,3,0)</f>
        <v>R+</v>
      </c>
      <c r="D139" s="211" t="str">
        <f>VLOOKUP(B1,Dati!B44:AF55,4,0)</f>
        <v>R-</v>
      </c>
      <c r="E139" s="211" t="str">
        <f>VLOOKUP(B1,Dati!B44:AF55,5,0)</f>
        <v>R+</v>
      </c>
      <c r="F139" s="211" t="str">
        <f>VLOOKUP(B1,Dati!B44:AF55,6,0)</f>
        <v>R-</v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12.0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1</v>
      </c>
      <c r="G6" s="88">
        <f t="shared" ref="G6:G7" si="2">SUM(B6:F6)</f>
        <v>1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1</v>
      </c>
      <c r="G7" s="98">
        <f t="shared" si="2"/>
        <v>1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-1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1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-1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-1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1</v>
      </c>
      <c r="G27" s="88">
        <f t="shared" ref="G27:G28" si="7">SUM(B27:F27)</f>
        <v>1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1</v>
      </c>
      <c r="G28" s="98">
        <f t="shared" si="7"/>
        <v>1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-1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1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-1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R=</v>
      </c>
      <c r="C137" s="211" t="str">
        <f>VLOOKUP(B1,Dati!B16:AF27,3,0)</f>
        <v/>
      </c>
      <c r="D137" s="211" t="str">
        <f>VLOOKUP(B1,Dati!B16:AF27,4,0)</f>
        <v/>
      </c>
      <c r="E137" s="211" t="str">
        <f>VLOOKUP(B1,Dati!B16:AF27,5,0)</f>
        <v/>
      </c>
      <c r="F137" s="211" t="str">
        <f>VLOOKUP(B1,Dati!B16:AF27,6,0)</f>
        <v/>
      </c>
      <c r="G137" s="211" t="str">
        <f>VLOOKUP(B1,Dati!B16:AF27,7,0)</f>
        <v/>
      </c>
      <c r="H137" s="211" t="str">
        <f>VLOOKUP(B1,Dati!B16:AF27,8,0)</f>
        <v/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9.0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212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13.0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18.0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1</v>
      </c>
      <c r="N5" s="88">
        <f>COUNTIF(B136:AE136,N4)</f>
        <v>3</v>
      </c>
      <c r="O5" s="88">
        <f>COUNTIF(B136:AE136,O4)</f>
        <v>2</v>
      </c>
      <c r="P5" s="88">
        <f>COUNTIF(B136:AE136,P4)</f>
        <v>0</v>
      </c>
      <c r="Q5" s="88">
        <f>COUNTIF(B136:AE136,Q4)</f>
        <v>1</v>
      </c>
      <c r="R5" s="88">
        <f t="shared" ref="R5:R6" si="1">SUM(M5:Q5)</f>
        <v>7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1</v>
      </c>
      <c r="C6" s="88">
        <f>COUNTIF(B136:AE140,C5)</f>
        <v>11</v>
      </c>
      <c r="D6" s="88">
        <f>COUNTIF(B136:AE140,D5)</f>
        <v>11</v>
      </c>
      <c r="E6" s="88">
        <f>COUNTIF(B136:AE140,E5)</f>
        <v>0</v>
      </c>
      <c r="F6" s="88">
        <f>COUNTIF(B136:AE140,F5)</f>
        <v>3</v>
      </c>
      <c r="G6" s="88">
        <f t="shared" ref="G6:G7" si="2">SUM(B6:F6)</f>
        <v>26</v>
      </c>
      <c r="H6" s="86"/>
      <c r="I6" s="88">
        <f>COUNTIF(B136:AE140,I5)</f>
        <v>0</v>
      </c>
      <c r="J6" s="88">
        <f>COUNTIF(B136:AE140,J5)</f>
        <v>1</v>
      </c>
      <c r="K6" s="62"/>
      <c r="L6" s="38"/>
      <c r="M6" s="96">
        <f>IF(R5&gt;0,M5/R5,0)</f>
        <v>0.1428571429</v>
      </c>
      <c r="N6" s="96">
        <f>IF(R5&gt;0,N5/R5,0)</f>
        <v>0.4285714286</v>
      </c>
      <c r="O6" s="96">
        <f>IF(R5&gt;0,O5/R5,0)</f>
        <v>0.2857142857</v>
      </c>
      <c r="P6" s="96">
        <f>IF(R5&gt;0,P5/R5,0)</f>
        <v>0</v>
      </c>
      <c r="Q6" s="96">
        <f>IF(R5&gt;0,Q5/R5,0)</f>
        <v>0.1428571429</v>
      </c>
      <c r="R6" s="98">
        <f t="shared" si="1"/>
        <v>1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0.03846153846</v>
      </c>
      <c r="C7" s="96">
        <f>IF(G6&gt;0,C6/G6,0)</f>
        <v>0.4230769231</v>
      </c>
      <c r="D7" s="96">
        <f>IF(G6&gt;0,D6/G6,0)</f>
        <v>0.4230769231</v>
      </c>
      <c r="E7" s="96">
        <f>IF(E6&gt;0,E6/G6,0)</f>
        <v>0</v>
      </c>
      <c r="F7" s="96">
        <f>IF(F6&gt;0,F6/G6,0)</f>
        <v>0.1153846154</v>
      </c>
      <c r="G7" s="98">
        <f t="shared" si="2"/>
        <v>1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-0.07692307692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0.5714285714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0.4615384615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6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13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80">
        <f>G20+F13+J6+J8</f>
        <v>6</v>
      </c>
      <c r="K12" s="37"/>
      <c r="L12" s="38"/>
      <c r="M12" s="88">
        <f>COUNTIF(B136:AE136,M11)</f>
        <v>0</v>
      </c>
      <c r="N12" s="88">
        <f>COUNTIF(B136:AE136,N11)</f>
        <v>1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1</v>
      </c>
      <c r="S12" s="62"/>
      <c r="T12" s="178" t="s">
        <v>63</v>
      </c>
      <c r="U12" s="180">
        <f>Q5</f>
        <v>1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12</v>
      </c>
      <c r="D13" s="88">
        <f>COUNTIF(B136:AE140,D12)</f>
        <v>0</v>
      </c>
      <c r="E13" s="88">
        <f>COUNTIF(B136:AE140,E12)</f>
        <v>0</v>
      </c>
      <c r="F13" s="88">
        <f>COUNTIF(B136:AE140,F12)</f>
        <v>2</v>
      </c>
      <c r="G13" s="88">
        <f t="shared" ref="G13:G14" si="4">SUM(B13:F13)</f>
        <v>14</v>
      </c>
      <c r="H13" s="62"/>
      <c r="I13" s="178" t="s">
        <v>63</v>
      </c>
      <c r="J13" s="180">
        <f>F6</f>
        <v>3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0.8571428571</v>
      </c>
      <c r="D14" s="96">
        <f>IF(G13&gt;0,D13/G13,0)</f>
        <v>0</v>
      </c>
      <c r="E14" s="96">
        <f>IF(G13&gt;0,E13/G13,0)</f>
        <v>0</v>
      </c>
      <c r="F14" s="96">
        <f>IF(G13&gt;0,F13/G13,0)</f>
        <v>0.1428571429</v>
      </c>
      <c r="G14" s="96">
        <f t="shared" si="4"/>
        <v>1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-0.1428571429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-0.07692307692</v>
      </c>
      <c r="K15" s="37"/>
      <c r="L15" s="99" t="s">
        <v>58</v>
      </c>
      <c r="M15" s="173">
        <f>IF(R12&gt;0,(M12+N12)/R12,0)</f>
        <v>1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0.3333333333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0.8571428571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0.2325581395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4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6</v>
      </c>
      <c r="N19" s="88">
        <f>COUNTIF(B136:AE136,N18)</f>
        <v>12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18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13</v>
      </c>
      <c r="C20" s="88">
        <f>COUNTIF(B136:AE140,C19)</f>
        <v>27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3</v>
      </c>
      <c r="H20" s="88">
        <f t="shared" ref="H20:H21" si="6">SUM(B20:G20)</f>
        <v>43</v>
      </c>
      <c r="I20" s="62"/>
      <c r="J20" s="37"/>
      <c r="K20" s="37"/>
      <c r="L20" s="38"/>
      <c r="M20" s="96">
        <f>IF(S19&gt;0,M19/S19,0)</f>
        <v>0.3333333333</v>
      </c>
      <c r="N20" s="96">
        <f>IF(S19&gt;0,N19/S19,0)</f>
        <v>0.6666666667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1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0.3023255814</v>
      </c>
      <c r="C21" s="96">
        <f>IF(H20&gt;0,C20/H20,0)</f>
        <v>0.6279069767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0.06976744186</v>
      </c>
      <c r="H21" s="96">
        <f t="shared" si="6"/>
        <v>1</v>
      </c>
      <c r="I21" s="62"/>
      <c r="J21" s="37"/>
      <c r="K21" s="37"/>
      <c r="L21" s="99" t="s">
        <v>53</v>
      </c>
      <c r="M21" s="199">
        <f>IF(S19&gt;0,(M19-R19)/S19,0)</f>
        <v>0.3333333333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0.2325581395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1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0.9302325581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4</v>
      </c>
      <c r="D27" s="88">
        <f>COUNTIF(B137:AE137,D26)</f>
        <v>3</v>
      </c>
      <c r="E27" s="88">
        <f>COUNTIF(B137:AE137,E26)</f>
        <v>0</v>
      </c>
      <c r="F27" s="88">
        <f>COUNTIF(B137:AE137,F26)</f>
        <v>2</v>
      </c>
      <c r="G27" s="88">
        <f t="shared" ref="G27:G28" si="7">SUM(B27:F27)</f>
        <v>9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3</v>
      </c>
      <c r="O27" s="88">
        <f>COUNTIF(B138:AE138,O26)</f>
        <v>5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8</v>
      </c>
      <c r="S27" s="86"/>
      <c r="T27" s="88">
        <f>COUNTIF(B138:AE138,T26)</f>
        <v>0</v>
      </c>
      <c r="U27" s="88">
        <f>COUNTIF(B138:AE138,U26)</f>
        <v>1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0.4444444444</v>
      </c>
      <c r="D28" s="96">
        <f>IF(G27&gt;0,D27/G27,0)</f>
        <v>0.3333333333</v>
      </c>
      <c r="E28" s="96">
        <f>IF(G27&gt;0,E27/G27,0)</f>
        <v>0</v>
      </c>
      <c r="F28" s="96">
        <f>IF(G27&gt;0,F27/G27,0)</f>
        <v>0.2222222222</v>
      </c>
      <c r="G28" s="98">
        <f t="shared" si="7"/>
        <v>1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0.375</v>
      </c>
      <c r="O28" s="96">
        <f>IF(R27&gt;0,O27/R27,0)</f>
        <v>0.625</v>
      </c>
      <c r="P28" s="96">
        <f>IF(R27&gt;0,P27/R27,0)</f>
        <v>0</v>
      </c>
      <c r="Q28" s="96">
        <f>IF(R27&gt;0,Q27/R27,0)</f>
        <v>0</v>
      </c>
      <c r="R28" s="98">
        <f t="shared" si="8"/>
        <v>1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-0.2222222222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0.4444444444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0.375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2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2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2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2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4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4</v>
      </c>
      <c r="H34" s="62"/>
      <c r="I34" s="178" t="s">
        <v>63</v>
      </c>
      <c r="J34" s="180">
        <f>F27</f>
        <v>2</v>
      </c>
      <c r="K34" s="37"/>
      <c r="L34" s="38"/>
      <c r="M34" s="88">
        <f>COUNTIF(B138:AE138,M33)</f>
        <v>0</v>
      </c>
      <c r="N34" s="88">
        <f>COUNTIF(B138:AE138,N33)</f>
        <v>5</v>
      </c>
      <c r="O34" s="88">
        <f>COUNTIF(B138:AE138,O33)</f>
        <v>0</v>
      </c>
      <c r="P34" s="88">
        <f>COUNTIF(B138:AE138,P33)</f>
        <v>0</v>
      </c>
      <c r="Q34" s="88">
        <f>COUNTIF(B138:AE138,Q33)</f>
        <v>1</v>
      </c>
      <c r="R34" s="88">
        <f>SUM(M34:Q34)</f>
        <v>6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1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1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-0.2222222222</v>
      </c>
      <c r="K36" s="37"/>
      <c r="L36" s="99" t="s">
        <v>58</v>
      </c>
      <c r="M36" s="101">
        <f>IF(R34&gt;0,(M34-Q34)/R34,0)</f>
        <v>-0.1666666667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1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0.8333333333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0.1111111111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2</v>
      </c>
      <c r="C41" s="88">
        <f>COUNTIF(B137:AE137,C40)</f>
        <v>3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2</v>
      </c>
      <c r="H41" s="88">
        <f t="shared" ref="H41:H42" si="12">SUM(B41:G41)</f>
        <v>7</v>
      </c>
      <c r="I41" s="62"/>
      <c r="J41" s="37"/>
      <c r="K41" s="37"/>
      <c r="L41" s="38"/>
      <c r="M41" s="88">
        <f>COUNTIF(B138:AE138,M40)</f>
        <v>2</v>
      </c>
      <c r="N41" s="88">
        <f>COUNTIF(B138:AE138,N40)</f>
        <v>6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1</v>
      </c>
      <c r="S41" s="88">
        <f t="shared" ref="S41:S42" si="13">SUM(M41:R41)</f>
        <v>9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0.2857142857</v>
      </c>
      <c r="C42" s="96">
        <f>IF(H41&gt;0,C41/H41,0)</f>
        <v>0.4285714286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0.2857142857</v>
      </c>
      <c r="H42" s="96">
        <f t="shared" si="12"/>
        <v>1</v>
      </c>
      <c r="I42" s="62"/>
      <c r="J42" s="37"/>
      <c r="K42" s="37"/>
      <c r="L42" s="38"/>
      <c r="M42" s="96">
        <f>IF(S41&gt;0,M41/S41,0)</f>
        <v>0.2222222222</v>
      </c>
      <c r="N42" s="96">
        <f>IF(S41&gt;0,N41/S41,0)</f>
        <v>0.6666666667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0.1111111111</v>
      </c>
      <c r="S42" s="96">
        <f t="shared" si="13"/>
        <v>1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0.1111111111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0.7142857143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0.8888888889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1</v>
      </c>
      <c r="D49" s="88">
        <f>COUNTIF(B139:AE139,D48)</f>
        <v>1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2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0.5</v>
      </c>
      <c r="D50" s="96">
        <f>IF(G49&gt;0,D49/G49,0)</f>
        <v>0.5</v>
      </c>
      <c r="E50" s="96">
        <f>IF(G49&gt;0,E49/G49,0)</f>
        <v>0</v>
      </c>
      <c r="F50" s="96">
        <f>IF(G49&gt;0,F49/G49,0)</f>
        <v>0</v>
      </c>
      <c r="G50" s="98">
        <f t="shared" si="14"/>
        <v>1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0.5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3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1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2</v>
      </c>
      <c r="D56" s="88">
        <f>COUNTIF(B139:AE139,D55)</f>
        <v>0</v>
      </c>
      <c r="E56" s="88">
        <f>COUNTIF(B139:AE139,E55)</f>
        <v>0</v>
      </c>
      <c r="F56" s="88">
        <f>COUNTIF(B139:AE139,F55)</f>
        <v>1</v>
      </c>
      <c r="G56" s="88">
        <f t="shared" ref="G56:G57" si="16">SUM(B56:F56)</f>
        <v>3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-0.3333333333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0.6666666667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0.3333333333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3</v>
      </c>
      <c r="C63" s="88">
        <f>COUNTIF(B139:AE139,C62)</f>
        <v>6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9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0.3333333333</v>
      </c>
      <c r="C64" s="96">
        <f>IF(H63&gt;0,C63/H63,0)</f>
        <v>0.6666666667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1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0.3333333333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1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R=</v>
      </c>
      <c r="C136" s="211" t="str">
        <f>VLOOKUP(B1,Dati!B2:AF13,3,0)</f>
        <v>R+</v>
      </c>
      <c r="D136" s="211" t="str">
        <f>VLOOKUP(B1,Dati!B2:AF13,4,0)</f>
        <v>A+</v>
      </c>
      <c r="E136" s="211" t="str">
        <f>VLOOKUP(B1,Dati!B2:AF13,5,0)</f>
        <v>R-</v>
      </c>
      <c r="F136" s="211" t="str">
        <f>VLOOKUP(B1,Dati!B2:AF13,6,0)</f>
        <v>A#</v>
      </c>
      <c r="G136" s="211" t="str">
        <f>VLOOKUP(B1,Dati!B2:AF13,7,0)</f>
        <v>R#</v>
      </c>
      <c r="H136" s="211" t="str">
        <f>VLOOKUP(B1,Dati!B2:AF13,8,0)</f>
        <v>A+</v>
      </c>
      <c r="I136" s="211" t="str">
        <f>VLOOKUP(B1,Dati!B2:AF13,9,0)</f>
        <v>A#</v>
      </c>
      <c r="J136" s="211" t="str">
        <f>VLOOKUP(B1,Dati!B2:AF13,10,0)</f>
        <v>A+</v>
      </c>
      <c r="K136" s="211" t="str">
        <f>VLOOKUP(B1,Dati!B2:AF13,11,0)</f>
        <v>B+</v>
      </c>
      <c r="L136" s="211" t="str">
        <f>VLOOKUP(B1,Dati!B2:AF13,12,0)</f>
        <v>R+</v>
      </c>
      <c r="M136" s="211" t="str">
        <f>VLOOKUP(B1,Dati!B2:AF13,13,0)</f>
        <v>R-</v>
      </c>
      <c r="N136" s="211" t="str">
        <f>VLOOKUP(B1,Dati!B2:AF13,14,0)</f>
        <v>R+</v>
      </c>
      <c r="O136" s="211" t="str">
        <f>VLOOKUP(B1,Dati!B2:AF13,15,0)</f>
        <v>A#</v>
      </c>
      <c r="P136" s="211" t="str">
        <f>VLOOKUP(B1,Dati!B2:AF13,16,0)</f>
        <v>A+</v>
      </c>
      <c r="Q136" s="211" t="str">
        <f>VLOOKUP(B1,Dati!B2:AF13,17,0)</f>
        <v>A+</v>
      </c>
      <c r="R136" s="211" t="str">
        <f>VLOOKUP(B1,Dati!B2:AF13,18,0)</f>
        <v>A+</v>
      </c>
      <c r="S136" s="211" t="str">
        <f>VLOOKUP(B1,Dati!B2:AF13,19,0)</f>
        <v>A#</v>
      </c>
      <c r="T136" s="211" t="str">
        <f>VLOOKUP(B1,Dati!B2:AF13,20,0)</f>
        <v>A+</v>
      </c>
      <c r="U136" s="211" t="str">
        <f>VLOOKUP(B1,Dati!B2:AF13,21,0)</f>
        <v>A+</v>
      </c>
      <c r="V136" s="211" t="str">
        <f>VLOOKUP(B1,Dati!B2:AF13,22,0)</f>
        <v>A+</v>
      </c>
      <c r="W136" s="211" t="str">
        <f>VLOOKUP(B1,Dati!B2:AF13,23,0)</f>
        <v>A#</v>
      </c>
      <c r="X136" s="211" t="str">
        <f>VLOOKUP(B1,Dati!B2:AF13,24,0)</f>
        <v>A+</v>
      </c>
      <c r="Y136" s="211" t="str">
        <f>VLOOKUP(B1,Dati!B2:AF13,25,0)</f>
        <v>A+</v>
      </c>
      <c r="Z136" s="211" t="str">
        <f>VLOOKUP(B1,Dati!B2:AF13,26,0)</f>
        <v>A+</v>
      </c>
      <c r="AA136" s="211" t="str">
        <f>VLOOKUP(B1,Dati!B2:AF13,27,0)</f>
        <v>A#</v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R-</v>
      </c>
      <c r="C137" s="211" t="str">
        <f>VLOOKUP(B1,Dati!B16:AF27,3,0)</f>
        <v>R+</v>
      </c>
      <c r="D137" s="211" t="str">
        <f>VLOOKUP(B1,Dati!B16:AF27,4,0)</f>
        <v>R+</v>
      </c>
      <c r="E137" s="211" t="str">
        <f>VLOOKUP(B1,Dati!B16:AF27,5,0)</f>
        <v>B+</v>
      </c>
      <c r="F137" s="211" t="str">
        <f>VLOOKUP(B1,Dati!B16:AF27,6,0)</f>
        <v>R+</v>
      </c>
      <c r="G137" s="211" t="str">
        <f>VLOOKUP(B1,Dati!B16:AF27,7,0)</f>
        <v>A#</v>
      </c>
      <c r="H137" s="211" t="str">
        <f>VLOOKUP(B1,Dati!B16:AF27,8,0)</f>
        <v>A+</v>
      </c>
      <c r="I137" s="211" t="str">
        <f>VLOOKUP(B1,Dati!B16:AF27,9,0)</f>
        <v>A=</v>
      </c>
      <c r="J137" s="211" t="str">
        <f>VLOOKUP(B1,Dati!B16:AF27,10,0)</f>
        <v>B+</v>
      </c>
      <c r="K137" s="211" t="str">
        <f>VLOOKUP(B1,Dati!B16:AF27,11,0)</f>
        <v>B+</v>
      </c>
      <c r="L137" s="211" t="str">
        <f>VLOOKUP(B1,Dati!B16:AF27,12,0)</f>
        <v>B+</v>
      </c>
      <c r="M137" s="211" t="str">
        <f>VLOOKUP(B1,Dati!B16:AF27,13,0)</f>
        <v>R+</v>
      </c>
      <c r="N137" s="211" t="str">
        <f>VLOOKUP(B1,Dati!B16:AF27,14,0)</f>
        <v>R=</v>
      </c>
      <c r="O137" s="211" t="str">
        <f>VLOOKUP(B1,Dati!B16:AF27,15,0)</f>
        <v>R-</v>
      </c>
      <c r="P137" s="211" t="str">
        <f>VLOOKUP(B1,Dati!B16:AF27,16,0)</f>
        <v>A#</v>
      </c>
      <c r="Q137" s="211" t="str">
        <f>VLOOKUP(B1,Dati!B16:AF27,17,0)</f>
        <v>A+</v>
      </c>
      <c r="R137" s="211" t="str">
        <f>VLOOKUP(B1,Dati!B16:AF27,18,0)</f>
        <v>A+</v>
      </c>
      <c r="S137" s="211" t="str">
        <f>VLOOKUP(B1,Dati!B16:AF27,19,0)</f>
        <v>A=</v>
      </c>
      <c r="T137" s="211" t="str">
        <f>VLOOKUP(B1,Dati!B16:AF27,20,0)</f>
        <v>R-</v>
      </c>
      <c r="U137" s="211" t="str">
        <f>VLOOKUP(B1,Dati!B16:AF27,21,0)</f>
        <v>R=</v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R-</v>
      </c>
      <c r="C138" s="211" t="str">
        <f>VLOOKUP(B1,Dati!B30:AF41,3,0)</f>
        <v>A+</v>
      </c>
      <c r="D138" s="211" t="str">
        <f>VLOOKUP(B1,Dati!B30:AF41,4,0)</f>
        <v>A=</v>
      </c>
      <c r="E138" s="211" t="str">
        <f>VLOOKUP(B1,Dati!B30:AF41,5,0)</f>
        <v>R+</v>
      </c>
      <c r="F138" s="211" t="str">
        <f>VLOOKUP(B1,Dati!B30:AF41,6,0)</f>
        <v>R+</v>
      </c>
      <c r="G138" s="211" t="str">
        <f>VLOOKUP(B1,Dati!B30:AF41,7,0)</f>
        <v>R-</v>
      </c>
      <c r="H138" s="211" t="str">
        <f>VLOOKUP(B1,Dati!B30:AF41,8,0)</f>
        <v>R-</v>
      </c>
      <c r="I138" s="211" t="str">
        <f>VLOOKUP(B1,Dati!B30:AF41,9,0)</f>
        <v>A+</v>
      </c>
      <c r="J138" s="211" t="str">
        <f>VLOOKUP(B1,Dati!B30:AF41,10,0)</f>
        <v>A+</v>
      </c>
      <c r="K138" s="211" t="str">
        <f>VLOOKUP(B1,Dati!B30:AF41,11,0)</f>
        <v>A#</v>
      </c>
      <c r="L138" s="211" t="str">
        <f>VLOOKUP(B1,Dati!B30:AF41,12,0)</f>
        <v>B+</v>
      </c>
      <c r="M138" s="211" t="str">
        <f>VLOOKUP(B1,Dati!B30:AF41,13,0)</f>
        <v>A+</v>
      </c>
      <c r="N138" s="211" t="str">
        <f>VLOOKUP(B1,Dati!B30:AF41,14,0)</f>
        <v>B+</v>
      </c>
      <c r="O138" s="211" t="str">
        <f>VLOOKUP(B1,Dati!B30:AF41,15,0)</f>
        <v>B+</v>
      </c>
      <c r="P138" s="211" t="str">
        <f>VLOOKUP(B1,Dati!B30:AF41,16,0)</f>
        <v>B+</v>
      </c>
      <c r="Q138" s="211" t="str">
        <f>VLOOKUP(B1,Dati!B30:AF41,17,0)</f>
        <v>R+</v>
      </c>
      <c r="R138" s="211" t="str">
        <f>VLOOKUP(B1,Dati!B30:AF41,18,0)</f>
        <v>A#</v>
      </c>
      <c r="S138" s="211" t="str">
        <f>VLOOKUP(B1,Dati!B30:AF41,19,0)</f>
        <v>A+</v>
      </c>
      <c r="T138" s="211" t="str">
        <f>VLOOKUP(B1,Dati!B30:AF41,20,0)</f>
        <v>R-</v>
      </c>
      <c r="U138" s="211" t="str">
        <f>VLOOKUP(B1,Dati!B30:AF41,21,0)</f>
        <v>M=</v>
      </c>
      <c r="V138" s="211" t="str">
        <f>VLOOKUP(B1,Dati!B30:AF41,22,0)</f>
        <v>R-</v>
      </c>
      <c r="W138" s="211" t="str">
        <f>VLOOKUP(B1,Dati!B30:AF41,23,0)</f>
        <v>A+</v>
      </c>
      <c r="X138" s="211" t="str">
        <f>VLOOKUP(B1,Dati!B30:AF41,24,0)</f>
        <v>B+</v>
      </c>
      <c r="Y138" s="211" t="str">
        <f>VLOOKUP(B1,Dati!B30:AF41,25,0)</f>
        <v>B=</v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R-</v>
      </c>
      <c r="C139" s="211" t="str">
        <f>VLOOKUP(B1,Dati!B44:AF55,3,0)</f>
        <v>A#</v>
      </c>
      <c r="D139" s="211" t="str">
        <f>VLOOKUP(B1,Dati!B44:AF55,4,0)</f>
        <v>A+</v>
      </c>
      <c r="E139" s="211" t="str">
        <f>VLOOKUP(B1,Dati!B44:AF55,5,0)</f>
        <v>A+</v>
      </c>
      <c r="F139" s="211" t="str">
        <f>VLOOKUP(B1,Dati!B44:AF55,6,0)</f>
        <v>A+</v>
      </c>
      <c r="G139" s="211" t="str">
        <f>VLOOKUP(B1,Dati!B44:AF55,7,0)</f>
        <v>A+</v>
      </c>
      <c r="H139" s="211" t="str">
        <f>VLOOKUP(B1,Dati!B44:AF55,8,0)</f>
        <v>R+</v>
      </c>
      <c r="I139" s="211" t="str">
        <f>VLOOKUP(B1,Dati!B44:AF55,9,0)</f>
        <v>A#</v>
      </c>
      <c r="J139" s="211" t="str">
        <f>VLOOKUP(B1,Dati!B44:AF55,10,0)</f>
        <v>B+</v>
      </c>
      <c r="K139" s="211" t="str">
        <f>VLOOKUP(B1,Dati!B44:AF55,11,0)</f>
        <v>B=</v>
      </c>
      <c r="L139" s="211" t="str">
        <f>VLOOKUP(B1,Dati!B44:AF55,12,0)</f>
        <v>A+</v>
      </c>
      <c r="M139" s="211" t="str">
        <f>VLOOKUP(B1,Dati!B44:AF55,13,0)</f>
        <v>A+</v>
      </c>
      <c r="N139" s="211" t="str">
        <f>VLOOKUP(B1,Dati!B44:AF55,14,0)</f>
        <v>A#</v>
      </c>
      <c r="O139" s="211" t="str">
        <f>VLOOKUP(B1,Dati!B44:AF55,15,0)</f>
        <v>B+</v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1" t="s">
        <v>81</v>
      </c>
      <c r="B1" s="209">
        <v>2.0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</row>
    <row r="2" ht="12.75" customHeight="1">
      <c r="A2" s="80"/>
      <c r="B2" s="81"/>
      <c r="C2" s="37"/>
      <c r="D2" s="37"/>
      <c r="E2" s="37"/>
      <c r="F2" s="37"/>
      <c r="G2" s="37"/>
      <c r="H2" s="37"/>
      <c r="I2" s="81"/>
      <c r="J2" s="37"/>
      <c r="K2" s="37"/>
      <c r="L2" s="80" t="s">
        <v>82</v>
      </c>
      <c r="M2" s="81"/>
      <c r="N2" s="37"/>
      <c r="O2" s="37"/>
      <c r="P2" s="37"/>
      <c r="Q2" s="37"/>
      <c r="R2" s="37"/>
      <c r="S2" s="37"/>
      <c r="T2" s="81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</row>
    <row r="3" ht="12.75" customHeight="1">
      <c r="A3" s="80" t="s">
        <v>51</v>
      </c>
      <c r="B3" s="81"/>
      <c r="C3" s="37"/>
      <c r="D3" s="37"/>
      <c r="E3" s="37"/>
      <c r="F3" s="37"/>
      <c r="G3" s="37"/>
      <c r="H3" s="37"/>
      <c r="I3" s="81"/>
      <c r="J3" s="37"/>
      <c r="K3" s="37"/>
      <c r="L3" s="37"/>
      <c r="M3" s="83" t="s">
        <v>2</v>
      </c>
      <c r="N3" s="36"/>
      <c r="O3" s="36"/>
      <c r="P3" s="36"/>
      <c r="Q3" s="36"/>
      <c r="R3" s="36"/>
      <c r="S3" s="37"/>
      <c r="T3" s="83" t="s">
        <v>4</v>
      </c>
      <c r="U3" s="36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ht="12.75" customHeight="1">
      <c r="A4" s="37"/>
      <c r="B4" s="83" t="s">
        <v>2</v>
      </c>
      <c r="C4" s="36"/>
      <c r="D4" s="36"/>
      <c r="E4" s="36"/>
      <c r="F4" s="36"/>
      <c r="G4" s="36"/>
      <c r="H4" s="37"/>
      <c r="I4" s="83" t="s">
        <v>4</v>
      </c>
      <c r="J4" s="36"/>
      <c r="K4" s="37"/>
      <c r="L4" s="38"/>
      <c r="M4" s="85" t="s">
        <v>28</v>
      </c>
      <c r="N4" s="85" t="s">
        <v>26</v>
      </c>
      <c r="O4" s="85" t="s">
        <v>25</v>
      </c>
      <c r="P4" s="85" t="s">
        <v>31</v>
      </c>
      <c r="Q4" s="85" t="s">
        <v>27</v>
      </c>
      <c r="R4" s="85" t="s">
        <v>5</v>
      </c>
      <c r="S4" s="86"/>
      <c r="T4" s="85" t="s">
        <v>30</v>
      </c>
      <c r="U4" s="85" t="s">
        <v>23</v>
      </c>
      <c r="V4" s="62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</row>
    <row r="5" ht="12.75" customHeight="1">
      <c r="A5" s="38"/>
      <c r="B5" s="85" t="s">
        <v>28</v>
      </c>
      <c r="C5" s="85" t="s">
        <v>26</v>
      </c>
      <c r="D5" s="85" t="s">
        <v>25</v>
      </c>
      <c r="E5" s="85" t="s">
        <v>31</v>
      </c>
      <c r="F5" s="85" t="s">
        <v>27</v>
      </c>
      <c r="G5" s="85" t="s">
        <v>5</v>
      </c>
      <c r="H5" s="86"/>
      <c r="I5" s="85" t="s">
        <v>30</v>
      </c>
      <c r="J5" s="85" t="s">
        <v>23</v>
      </c>
      <c r="K5" s="62"/>
      <c r="L5" s="38"/>
      <c r="M5" s="88">
        <f>COUNTIF(B136:AE136,M4)</f>
        <v>0</v>
      </c>
      <c r="N5" s="88">
        <f>COUNTIF(B136:AE136,N4)</f>
        <v>0</v>
      </c>
      <c r="O5" s="88">
        <f>COUNTIF(B136:AE136,O4)</f>
        <v>0</v>
      </c>
      <c r="P5" s="88">
        <f>COUNTIF(B136:AE136,P4)</f>
        <v>0</v>
      </c>
      <c r="Q5" s="88">
        <f>COUNTIF(B136:AE136,Q4)</f>
        <v>0</v>
      </c>
      <c r="R5" s="88">
        <f t="shared" ref="R5:R6" si="1">SUM(M5:Q5)</f>
        <v>0</v>
      </c>
      <c r="S5" s="86"/>
      <c r="T5" s="88">
        <f>COUNTIF(B136:AE136,T4)</f>
        <v>0</v>
      </c>
      <c r="U5" s="88">
        <f>COUNTIF(B136:AE136,U4)</f>
        <v>0</v>
      </c>
      <c r="V5" s="62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</row>
    <row r="6" ht="12.75" customHeight="1">
      <c r="A6" s="38"/>
      <c r="B6" s="88">
        <f>COUNTIF(B136:AE140,B5)</f>
        <v>0</v>
      </c>
      <c r="C6" s="88">
        <f>COUNTIF(B136:AE140,C5)</f>
        <v>0</v>
      </c>
      <c r="D6" s="88">
        <f>COUNTIF(B136:AE140,D5)</f>
        <v>0</v>
      </c>
      <c r="E6" s="88">
        <f>COUNTIF(B136:AE140,E5)</f>
        <v>0</v>
      </c>
      <c r="F6" s="88">
        <f>COUNTIF(B136:AE140,F5)</f>
        <v>0</v>
      </c>
      <c r="G6" s="88">
        <f t="shared" ref="G6:G7" si="2">SUM(B6:F6)</f>
        <v>0</v>
      </c>
      <c r="H6" s="86"/>
      <c r="I6" s="88">
        <f>COUNTIF(B136:AE140,I5)</f>
        <v>0</v>
      </c>
      <c r="J6" s="88">
        <f>COUNTIF(B136:AE140,J5)</f>
        <v>0</v>
      </c>
      <c r="K6" s="62"/>
      <c r="L6" s="38"/>
      <c r="M6" s="96">
        <f>IF(R5&gt;0,M5/R5,0)</f>
        <v>0</v>
      </c>
      <c r="N6" s="96">
        <f>IF(R5&gt;0,N5/R5,0)</f>
        <v>0</v>
      </c>
      <c r="O6" s="96">
        <f>IF(R5&gt;0,O5/R5,0)</f>
        <v>0</v>
      </c>
      <c r="P6" s="96">
        <f>IF(R5&gt;0,P5/R5,0)</f>
        <v>0</v>
      </c>
      <c r="Q6" s="96">
        <f>IF(R5&gt;0,Q5/R5,0)</f>
        <v>0</v>
      </c>
      <c r="R6" s="98">
        <f t="shared" si="1"/>
        <v>0</v>
      </c>
      <c r="S6" s="62"/>
      <c r="T6" s="69"/>
      <c r="U6" s="69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ht="12.75" customHeight="1">
      <c r="A7" s="38"/>
      <c r="B7" s="96">
        <f>IF(G6&gt;0,B6/G6,0)</f>
        <v>0</v>
      </c>
      <c r="C7" s="96">
        <f>IF(G6&gt;0,C6/G6,0)</f>
        <v>0</v>
      </c>
      <c r="D7" s="96">
        <f>IF(G6&gt;0,D6/G6,0)</f>
        <v>0</v>
      </c>
      <c r="E7" s="96">
        <f>IF(E6&gt;0,E6/G6,0)</f>
        <v>0</v>
      </c>
      <c r="F7" s="96">
        <f>IF(F6&gt;0,F6/G6,0)</f>
        <v>0</v>
      </c>
      <c r="G7" s="98">
        <f t="shared" si="2"/>
        <v>0</v>
      </c>
      <c r="H7" s="62"/>
      <c r="I7" s="69"/>
      <c r="J7" s="69"/>
      <c r="K7" s="37"/>
      <c r="L7" s="99" t="s">
        <v>53</v>
      </c>
      <c r="M7" s="101">
        <f>IF(R5&gt;0,(M5-Q5)/R5,0)</f>
        <v>0</v>
      </c>
      <c r="N7" s="69"/>
      <c r="O7" s="170"/>
      <c r="P7" s="170"/>
      <c r="Q7" s="170"/>
      <c r="R7" s="69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ht="12.75" customHeight="1">
      <c r="A8" s="99" t="s">
        <v>53</v>
      </c>
      <c r="B8" s="101">
        <f>IF(G6&gt;0,(B6-F6)/G6,0)</f>
        <v>0</v>
      </c>
      <c r="C8" s="69"/>
      <c r="D8" s="170"/>
      <c r="E8" s="170"/>
      <c r="F8" s="170"/>
      <c r="G8" s="69"/>
      <c r="H8" s="37"/>
      <c r="I8" s="35" t="s">
        <v>16</v>
      </c>
      <c r="J8" s="172">
        <f>COUNTIF(B136:AE140,I8)</f>
        <v>0</v>
      </c>
      <c r="K8" s="37"/>
      <c r="L8" s="99" t="s">
        <v>58</v>
      </c>
      <c r="M8" s="173">
        <f>IF(R5&gt;0,(M5+N5)/R5,0)</f>
        <v>0</v>
      </c>
      <c r="N8" s="174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ht="12.75" customHeight="1">
      <c r="A9" s="99" t="s">
        <v>58</v>
      </c>
      <c r="B9" s="173">
        <f>IF(G6&gt;0,(B6+C6)/G6,0)</f>
        <v>0</v>
      </c>
      <c r="C9" s="174"/>
      <c r="D9" s="37"/>
      <c r="E9" s="37"/>
      <c r="F9" s="37"/>
      <c r="G9" s="37"/>
      <c r="H9" s="37"/>
      <c r="I9" s="37"/>
      <c r="J9" s="37"/>
      <c r="K9" s="37"/>
      <c r="L9" s="37"/>
      <c r="M9" s="176"/>
      <c r="N9" s="174"/>
      <c r="O9" s="37"/>
      <c r="P9" s="37"/>
      <c r="Q9" s="37"/>
      <c r="R9" s="37"/>
      <c r="S9" s="37"/>
      <c r="T9" s="81" t="s">
        <v>59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ht="12.75" customHeight="1">
      <c r="A10" s="37"/>
      <c r="B10" s="176"/>
      <c r="C10" s="174"/>
      <c r="D10" s="37"/>
      <c r="E10" s="37"/>
      <c r="F10" s="37"/>
      <c r="G10" s="37"/>
      <c r="H10" s="37"/>
      <c r="I10" s="81" t="s">
        <v>59</v>
      </c>
      <c r="J10" s="37"/>
      <c r="K10" s="37"/>
      <c r="L10" s="37"/>
      <c r="M10" s="83" t="s">
        <v>1</v>
      </c>
      <c r="N10" s="36"/>
      <c r="O10" s="36"/>
      <c r="P10" s="36"/>
      <c r="Q10" s="36"/>
      <c r="R10" s="36"/>
      <c r="S10" s="37"/>
      <c r="T10" s="178" t="s">
        <v>0</v>
      </c>
      <c r="U10" s="180">
        <f>M12+M19+T5</f>
        <v>0</v>
      </c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ht="12.75" customHeight="1">
      <c r="A11" s="37"/>
      <c r="B11" s="83" t="s">
        <v>1</v>
      </c>
      <c r="C11" s="36"/>
      <c r="D11" s="36"/>
      <c r="E11" s="36"/>
      <c r="F11" s="36"/>
      <c r="G11" s="36"/>
      <c r="H11" s="37"/>
      <c r="I11" s="178" t="s">
        <v>0</v>
      </c>
      <c r="J11" s="180">
        <f>B13+B20+I6</f>
        <v>0</v>
      </c>
      <c r="K11" s="37"/>
      <c r="L11" s="38"/>
      <c r="M11" s="85" t="s">
        <v>24</v>
      </c>
      <c r="N11" s="85" t="s">
        <v>17</v>
      </c>
      <c r="O11" s="85" t="s">
        <v>60</v>
      </c>
      <c r="P11" s="85" t="s">
        <v>61</v>
      </c>
      <c r="Q11" s="85" t="s">
        <v>22</v>
      </c>
      <c r="R11" s="85" t="s">
        <v>5</v>
      </c>
      <c r="S11" s="62"/>
      <c r="T11" s="178" t="s">
        <v>62</v>
      </c>
      <c r="U11" s="180">
        <f>R19+Q12</f>
        <v>0</v>
      </c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ht="12.75" customHeight="1">
      <c r="A12" s="38"/>
      <c r="B12" s="85" t="s">
        <v>24</v>
      </c>
      <c r="C12" s="85" t="s">
        <v>17</v>
      </c>
      <c r="D12" s="85" t="s">
        <v>60</v>
      </c>
      <c r="E12" s="85" t="s">
        <v>61</v>
      </c>
      <c r="F12" s="85" t="s">
        <v>22</v>
      </c>
      <c r="G12" s="85" t="s">
        <v>5</v>
      </c>
      <c r="H12" s="62"/>
      <c r="I12" s="178" t="s">
        <v>62</v>
      </c>
      <c r="J12" s="192">
        <f>G20+F13+J6+J8</f>
        <v>0</v>
      </c>
      <c r="K12" s="37"/>
      <c r="L12" s="38"/>
      <c r="M12" s="88">
        <f>COUNTIF(B136:AE136,M11)</f>
        <v>0</v>
      </c>
      <c r="N12" s="88">
        <f>COUNTIF(B136:AE136,N11)</f>
        <v>0</v>
      </c>
      <c r="O12" s="88">
        <f>COUNTIF(B136:AE136,O11)</f>
        <v>0</v>
      </c>
      <c r="P12" s="88">
        <f>COUNTIF(B136:AE136,P11)</f>
        <v>0</v>
      </c>
      <c r="Q12" s="88">
        <f>COUNTIF(B136:AE136,Q11)</f>
        <v>0</v>
      </c>
      <c r="R12" s="88">
        <f t="shared" ref="R12:R13" si="3">SUM(M12:Q12)</f>
        <v>0</v>
      </c>
      <c r="S12" s="62"/>
      <c r="T12" s="178" t="s">
        <v>63</v>
      </c>
      <c r="U12" s="180">
        <f>Q5</f>
        <v>0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ht="12.75" customHeight="1">
      <c r="A13" s="38"/>
      <c r="B13" s="88">
        <f>COUNTIF(B136:AE140,B12)</f>
        <v>0</v>
      </c>
      <c r="C13" s="88">
        <f>COUNTIF(B136:AE140,C12)</f>
        <v>0</v>
      </c>
      <c r="D13" s="88">
        <f>COUNTIF(B136:AE140,D12)</f>
        <v>0</v>
      </c>
      <c r="E13" s="88">
        <f>COUNTIF(B136:AE140,E12)</f>
        <v>0</v>
      </c>
      <c r="F13" s="88">
        <f>COUNTIF(B136:AE140,F12)</f>
        <v>0</v>
      </c>
      <c r="G13" s="88">
        <f t="shared" ref="G13:G14" si="4">SUM(B13:F13)</f>
        <v>0</v>
      </c>
      <c r="H13" s="62"/>
      <c r="I13" s="178" t="s">
        <v>63</v>
      </c>
      <c r="J13" s="180">
        <f>F6</f>
        <v>0</v>
      </c>
      <c r="K13" s="37"/>
      <c r="L13" s="38"/>
      <c r="M13" s="96">
        <f>IF(R12&gt;0,M12/R12,0)</f>
        <v>0</v>
      </c>
      <c r="N13" s="96">
        <f>IF(R2&gt;0,N12/R12,0)</f>
        <v>0</v>
      </c>
      <c r="O13" s="96">
        <f>IF(R12&gt;0,O12/R12,0)</f>
        <v>0</v>
      </c>
      <c r="P13" s="96">
        <f>IF(R2&gt;0,P12/R12,0)</f>
        <v>0</v>
      </c>
      <c r="Q13" s="96">
        <f>IF(R2&gt;0,Q12/R12,0)</f>
        <v>0</v>
      </c>
      <c r="R13" s="96">
        <f t="shared" si="3"/>
        <v>0</v>
      </c>
      <c r="S13" s="62"/>
      <c r="T13" s="178" t="s">
        <v>64</v>
      </c>
      <c r="U13" s="180">
        <f>Q19</f>
        <v>0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ht="12.75" customHeight="1">
      <c r="A14" s="38"/>
      <c r="B14" s="96">
        <f>IF(G13&gt;0,B13/G13,0)</f>
        <v>0</v>
      </c>
      <c r="C14" s="96">
        <f>IF(G13&gt;0,C13/G13,0)</f>
        <v>0</v>
      </c>
      <c r="D14" s="96">
        <f>IF(G13&gt;0,D13/G13,0)</f>
        <v>0</v>
      </c>
      <c r="E14" s="96">
        <f>IF(G13&gt;0,E13/G13,0)</f>
        <v>0</v>
      </c>
      <c r="F14" s="96">
        <f>IF(G13&gt;0,F13/G13,0)</f>
        <v>0</v>
      </c>
      <c r="G14" s="96">
        <f t="shared" si="4"/>
        <v>0</v>
      </c>
      <c r="H14" s="62"/>
      <c r="I14" s="178" t="s">
        <v>64</v>
      </c>
      <c r="J14" s="180">
        <f>F20</f>
        <v>0</v>
      </c>
      <c r="K14" s="37"/>
      <c r="L14" s="99" t="s">
        <v>53</v>
      </c>
      <c r="M14" s="101">
        <f>IF(R12&gt;0,(M12-Q12)/R12,0)</f>
        <v>0</v>
      </c>
      <c r="N14" s="69"/>
      <c r="O14" s="69"/>
      <c r="P14" s="69"/>
      <c r="Q14" s="69"/>
      <c r="R14" s="69"/>
      <c r="S14" s="37"/>
      <c r="T14" s="178" t="s">
        <v>65</v>
      </c>
      <c r="U14" s="189">
        <f>M7</f>
        <v>0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ht="12.75" customHeight="1">
      <c r="A15" s="99" t="s">
        <v>53</v>
      </c>
      <c r="B15" s="101">
        <f>IF(G13&gt;0,(B13-F13)/G13,0)</f>
        <v>0</v>
      </c>
      <c r="C15" s="69"/>
      <c r="D15" s="69"/>
      <c r="E15" s="69"/>
      <c r="F15" s="69"/>
      <c r="G15" s="69"/>
      <c r="H15" s="37"/>
      <c r="I15" s="178" t="s">
        <v>65</v>
      </c>
      <c r="J15" s="189">
        <f>B8</f>
        <v>0</v>
      </c>
      <c r="K15" s="37"/>
      <c r="L15" s="99" t="s">
        <v>58</v>
      </c>
      <c r="M15" s="173">
        <f>IF(R12&gt;0,(M12+N12)/R12,0)</f>
        <v>0</v>
      </c>
      <c r="N15" s="37"/>
      <c r="O15" s="37"/>
      <c r="P15" s="37"/>
      <c r="Q15" s="37"/>
      <c r="R15" s="37"/>
      <c r="S15" s="37"/>
      <c r="T15" s="178" t="s">
        <v>67</v>
      </c>
      <c r="U15" s="189">
        <f>M21</f>
        <v>0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ht="12.75" customHeight="1">
      <c r="A16" s="99" t="s">
        <v>66</v>
      </c>
      <c r="B16" s="173">
        <f>IF(G13&gt;0,(B13+C13)/G13,0)</f>
        <v>0</v>
      </c>
      <c r="C16" s="37"/>
      <c r="D16" s="37"/>
      <c r="E16" s="37"/>
      <c r="F16" s="37"/>
      <c r="G16" s="37"/>
      <c r="H16" s="37"/>
      <c r="I16" s="178" t="s">
        <v>67</v>
      </c>
      <c r="J16" s="189">
        <f>B22</f>
        <v>0</v>
      </c>
      <c r="K16" s="37"/>
      <c r="L16" s="37"/>
      <c r="M16" s="176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ht="12.75" customHeight="1">
      <c r="A17" s="37"/>
      <c r="B17" s="176"/>
      <c r="C17" s="37"/>
      <c r="D17" s="37"/>
      <c r="E17" s="37"/>
      <c r="F17" s="37"/>
      <c r="G17" s="37"/>
      <c r="H17" s="37"/>
      <c r="I17" s="65" t="s">
        <v>6</v>
      </c>
      <c r="J17" s="192">
        <f>J11-J12-J13</f>
        <v>0</v>
      </c>
      <c r="K17" s="37"/>
      <c r="L17" s="37"/>
      <c r="M17" s="83" t="s">
        <v>3</v>
      </c>
      <c r="N17" s="36"/>
      <c r="O17" s="36"/>
      <c r="P17" s="36"/>
      <c r="Q17" s="36"/>
      <c r="R17" s="36"/>
      <c r="S17" s="36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ht="12.75" customHeight="1">
      <c r="A18" s="37"/>
      <c r="B18" s="83" t="s">
        <v>3</v>
      </c>
      <c r="C18" s="36"/>
      <c r="D18" s="36"/>
      <c r="E18" s="36"/>
      <c r="F18" s="36"/>
      <c r="G18" s="36"/>
      <c r="H18" s="36"/>
      <c r="I18" s="37"/>
      <c r="J18" s="37"/>
      <c r="K18" s="37"/>
      <c r="L18" s="38"/>
      <c r="M18" s="85" t="s">
        <v>15</v>
      </c>
      <c r="N18" s="85" t="s">
        <v>18</v>
      </c>
      <c r="O18" s="85" t="s">
        <v>68</v>
      </c>
      <c r="P18" s="85" t="s">
        <v>69</v>
      </c>
      <c r="Q18" s="85" t="s">
        <v>70</v>
      </c>
      <c r="R18" s="85" t="s">
        <v>21</v>
      </c>
      <c r="S18" s="85" t="s">
        <v>5</v>
      </c>
      <c r="T18" s="62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ht="12.75" customHeight="1">
      <c r="A19" s="38"/>
      <c r="B19" s="85" t="s">
        <v>15</v>
      </c>
      <c r="C19" s="85" t="s">
        <v>18</v>
      </c>
      <c r="D19" s="85" t="s">
        <v>68</v>
      </c>
      <c r="E19" s="85" t="s">
        <v>69</v>
      </c>
      <c r="F19" s="85" t="s">
        <v>70</v>
      </c>
      <c r="G19" s="85" t="s">
        <v>21</v>
      </c>
      <c r="H19" s="85" t="s">
        <v>5</v>
      </c>
      <c r="I19" s="62"/>
      <c r="J19" s="37"/>
      <c r="K19" s="37"/>
      <c r="L19" s="38"/>
      <c r="M19" s="88">
        <f>COUNTIF(B136:AE136,M18)</f>
        <v>0</v>
      </c>
      <c r="N19" s="88">
        <f>COUNTIF(B136:AE136,N18)</f>
        <v>0</v>
      </c>
      <c r="O19" s="88">
        <f>COUNTIF(B136:AE136,O18)</f>
        <v>0</v>
      </c>
      <c r="P19" s="88">
        <f>COUNTIF(B136:AE136,P18)</f>
        <v>0</v>
      </c>
      <c r="Q19" s="88">
        <f>COUNTIF(B136:AE136,Q18)</f>
        <v>0</v>
      </c>
      <c r="R19" s="88">
        <f>COUNTIF(B136:AE136,R18)</f>
        <v>0</v>
      </c>
      <c r="S19" s="88">
        <f t="shared" ref="S19:S20" si="5">SUM(M19:R19)</f>
        <v>0</v>
      </c>
      <c r="T19" s="62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ht="12.75" customHeight="1">
      <c r="A20" s="38"/>
      <c r="B20" s="88">
        <f>COUNTIF(B136:AE140,B19)</f>
        <v>0</v>
      </c>
      <c r="C20" s="88">
        <f>COUNTIF(B136:AE140,C19)</f>
        <v>0</v>
      </c>
      <c r="D20" s="88">
        <f>COUNTIF(B136:AE140,D19)</f>
        <v>0</v>
      </c>
      <c r="E20" s="88">
        <f>COUNTIF(B136:AE140,E19)</f>
        <v>0</v>
      </c>
      <c r="F20" s="88">
        <f>COUNTIF(B136:AE140,F19)</f>
        <v>0</v>
      </c>
      <c r="G20" s="88">
        <f>COUNTIF(B136:AE140,G19)</f>
        <v>0</v>
      </c>
      <c r="H20" s="88">
        <f t="shared" ref="H20:H21" si="6">SUM(B20:G20)</f>
        <v>0</v>
      </c>
      <c r="I20" s="62"/>
      <c r="J20" s="37"/>
      <c r="K20" s="37"/>
      <c r="L20" s="38"/>
      <c r="M20" s="96">
        <f>IF(S19&gt;0,M19/S19,0)</f>
        <v>0</v>
      </c>
      <c r="N20" s="96">
        <f>IF(S19&gt;0,N19/S19,0)</f>
        <v>0</v>
      </c>
      <c r="O20" s="96">
        <f>IF(S19&gt;0,O19/S19,0)</f>
        <v>0</v>
      </c>
      <c r="P20" s="96">
        <f>IF(S19&gt;0,P19/S19,0)</f>
        <v>0</v>
      </c>
      <c r="Q20" s="96">
        <f>IF(S19&gt;0,Q19/S19,0)</f>
        <v>0</v>
      </c>
      <c r="R20" s="96">
        <f>IF(S19&gt;0,R19/S19,0)</f>
        <v>0</v>
      </c>
      <c r="S20" s="96">
        <f t="shared" si="5"/>
        <v>0</v>
      </c>
      <c r="T20" s="62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ht="12.75" customHeight="1">
      <c r="A21" s="38"/>
      <c r="B21" s="96">
        <f>IF(H20&gt;0,B20/H20,0)</f>
        <v>0</v>
      </c>
      <c r="C21" s="96">
        <f>IF(H20&gt;0,C20/H20,0)</f>
        <v>0</v>
      </c>
      <c r="D21" s="96">
        <f>IF(H20&gt;0,D20/H20,0)</f>
        <v>0</v>
      </c>
      <c r="E21" s="96">
        <f>IF(H20&gt;0,E20/H20,0)</f>
        <v>0</v>
      </c>
      <c r="F21" s="96">
        <f>IF(H20&gt;0,F20/H20,0)</f>
        <v>0</v>
      </c>
      <c r="G21" s="96">
        <f>IF(H20&gt;0,G20/H20,0)</f>
        <v>0</v>
      </c>
      <c r="H21" s="96">
        <f t="shared" si="6"/>
        <v>0</v>
      </c>
      <c r="I21" s="62"/>
      <c r="J21" s="37"/>
      <c r="K21" s="37"/>
      <c r="L21" s="99" t="s">
        <v>53</v>
      </c>
      <c r="M21" s="199">
        <f>IF(S19&gt;0,(M19-R19)/S19,0)</f>
        <v>0</v>
      </c>
      <c r="N21" s="69"/>
      <c r="O21" s="69"/>
      <c r="P21" s="69"/>
      <c r="Q21" s="69"/>
      <c r="R21" s="69"/>
      <c r="S21" s="69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ht="12.75" customHeight="1">
      <c r="A22" s="99" t="s">
        <v>53</v>
      </c>
      <c r="B22" s="199">
        <f>IF(H20&gt;0,(B20-G20)/H20,0)</f>
        <v>0</v>
      </c>
      <c r="C22" s="69"/>
      <c r="D22" s="69"/>
      <c r="E22" s="69"/>
      <c r="F22" s="69"/>
      <c r="G22" s="69"/>
      <c r="H22" s="69"/>
      <c r="I22" s="37"/>
      <c r="J22" s="37"/>
      <c r="K22" s="37"/>
      <c r="L22" s="99" t="s">
        <v>58</v>
      </c>
      <c r="M22" s="202">
        <f>IF(S19&gt;0,(M19+N19+O19+P19)/S19,0)</f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ht="12.75" customHeight="1">
      <c r="A23" s="99" t="s">
        <v>58</v>
      </c>
      <c r="B23" s="202">
        <f>IF(H20&gt;0,(B20+C20+D20+E20)/H20,0)</f>
        <v>0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ht="12.75" customHeight="1">
      <c r="A24" s="99"/>
      <c r="B24" s="20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ht="12.75" customHeight="1">
      <c r="A25" s="80" t="s">
        <v>85</v>
      </c>
      <c r="B25" s="83" t="s">
        <v>2</v>
      </c>
      <c r="C25" s="36"/>
      <c r="D25" s="36"/>
      <c r="E25" s="36"/>
      <c r="F25" s="36"/>
      <c r="G25" s="36"/>
      <c r="H25" s="37"/>
      <c r="I25" s="83" t="s">
        <v>4</v>
      </c>
      <c r="J25" s="36"/>
      <c r="K25" s="37"/>
      <c r="L25" s="80" t="s">
        <v>86</v>
      </c>
      <c r="M25" s="83" t="s">
        <v>2</v>
      </c>
      <c r="N25" s="36"/>
      <c r="O25" s="36"/>
      <c r="P25" s="36"/>
      <c r="Q25" s="36"/>
      <c r="R25" s="36"/>
      <c r="S25" s="37"/>
      <c r="T25" s="83" t="s">
        <v>4</v>
      </c>
      <c r="U25" s="36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ht="12.75" customHeight="1">
      <c r="A26" s="38"/>
      <c r="B26" s="85" t="s">
        <v>28</v>
      </c>
      <c r="C26" s="85" t="s">
        <v>26</v>
      </c>
      <c r="D26" s="85" t="s">
        <v>25</v>
      </c>
      <c r="E26" s="85" t="s">
        <v>31</v>
      </c>
      <c r="F26" s="85" t="s">
        <v>27</v>
      </c>
      <c r="G26" s="85" t="s">
        <v>5</v>
      </c>
      <c r="H26" s="86"/>
      <c r="I26" s="85" t="s">
        <v>30</v>
      </c>
      <c r="J26" s="85" t="s">
        <v>23</v>
      </c>
      <c r="K26" s="62"/>
      <c r="L26" s="38"/>
      <c r="M26" s="85" t="s">
        <v>28</v>
      </c>
      <c r="N26" s="85" t="s">
        <v>26</v>
      </c>
      <c r="O26" s="85" t="s">
        <v>25</v>
      </c>
      <c r="P26" s="85" t="s">
        <v>31</v>
      </c>
      <c r="Q26" s="85" t="s">
        <v>27</v>
      </c>
      <c r="R26" s="85" t="s">
        <v>5</v>
      </c>
      <c r="S26" s="86"/>
      <c r="T26" s="85" t="s">
        <v>30</v>
      </c>
      <c r="U26" s="85" t="s">
        <v>23</v>
      </c>
      <c r="V26" s="62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ht="12.75" customHeight="1">
      <c r="A27" s="38"/>
      <c r="B27" s="88">
        <f>COUNTIF(B137:AE137,B26)</f>
        <v>0</v>
      </c>
      <c r="C27" s="88">
        <f>COUNTIF(B137:AE137,C26)</f>
        <v>0</v>
      </c>
      <c r="D27" s="88">
        <f>COUNTIF(B137:AE137,D26)</f>
        <v>0</v>
      </c>
      <c r="E27" s="88">
        <f>COUNTIF(B137:AE137,E26)</f>
        <v>0</v>
      </c>
      <c r="F27" s="88">
        <f>COUNTIF(B137:AE137,F26)</f>
        <v>0</v>
      </c>
      <c r="G27" s="88">
        <f t="shared" ref="G27:G28" si="7">SUM(B27:F27)</f>
        <v>0</v>
      </c>
      <c r="H27" s="86"/>
      <c r="I27" s="88">
        <f>COUNTIF(B137:AE137,I26)</f>
        <v>0</v>
      </c>
      <c r="J27" s="88">
        <f>COUNTIF(B137:AE137,J26)</f>
        <v>0</v>
      </c>
      <c r="K27" s="62"/>
      <c r="L27" s="38"/>
      <c r="M27" s="88">
        <f>COUNTIF(B138:AE138,M26)</f>
        <v>0</v>
      </c>
      <c r="N27" s="88">
        <f>COUNTIF(B138:AE138,N26)</f>
        <v>0</v>
      </c>
      <c r="O27" s="88">
        <f>COUNTIF(B138:AE138,O26)</f>
        <v>0</v>
      </c>
      <c r="P27" s="88">
        <f>COUNTIF(B138:AE138,P26)</f>
        <v>0</v>
      </c>
      <c r="Q27" s="88">
        <f>COUNTIF(B138:AE138,Q26)</f>
        <v>0</v>
      </c>
      <c r="R27" s="88">
        <f t="shared" ref="R27:R28" si="8">SUM(M27:Q27)</f>
        <v>0</v>
      </c>
      <c r="S27" s="86"/>
      <c r="T27" s="88">
        <f>COUNTIF(B138:AE138,T26)</f>
        <v>0</v>
      </c>
      <c r="U27" s="88">
        <f>COUNTIF(B138:AE138,U26)</f>
        <v>0</v>
      </c>
      <c r="V27" s="62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ht="12.75" customHeight="1">
      <c r="A28" s="38"/>
      <c r="B28" s="96">
        <f>IF(G27&gt;0,B27/G27,0)</f>
        <v>0</v>
      </c>
      <c r="C28" s="96">
        <f>IF(G27&gt;0,C27/G27,0)</f>
        <v>0</v>
      </c>
      <c r="D28" s="96">
        <f>IF(G27&gt;0,D27/G27,0)</f>
        <v>0</v>
      </c>
      <c r="E28" s="96">
        <f>IF(G27&gt;0,E27/G27,0)</f>
        <v>0</v>
      </c>
      <c r="F28" s="96">
        <f>IF(G27&gt;0,F27/G27,0)</f>
        <v>0</v>
      </c>
      <c r="G28" s="98">
        <f t="shared" si="7"/>
        <v>0</v>
      </c>
      <c r="H28" s="62"/>
      <c r="I28" s="69"/>
      <c r="J28" s="69"/>
      <c r="K28" s="37"/>
      <c r="L28" s="38"/>
      <c r="M28" s="96">
        <f>IF(R27&gt;0,M27/R27,0)</f>
        <v>0</v>
      </c>
      <c r="N28" s="96">
        <f>IF(R27&gt;0,N27/R27,0)</f>
        <v>0</v>
      </c>
      <c r="O28" s="96">
        <f>IF(R27&gt;0,O27/R27,0)</f>
        <v>0</v>
      </c>
      <c r="P28" s="96">
        <f>IF(R27&gt;0,P27/R27,0)</f>
        <v>0</v>
      </c>
      <c r="Q28" s="96">
        <f>IF(R27&gt;0,Q27/R27,0)</f>
        <v>0</v>
      </c>
      <c r="R28" s="98">
        <f t="shared" si="8"/>
        <v>0</v>
      </c>
      <c r="S28" s="62"/>
      <c r="T28" s="69"/>
      <c r="U28" s="69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ht="12.75" customHeight="1">
      <c r="A29" s="99" t="s">
        <v>53</v>
      </c>
      <c r="B29" s="101">
        <f>IF(G27&gt;0,(B27-F27)/G27,0)</f>
        <v>0</v>
      </c>
      <c r="C29" s="69"/>
      <c r="D29" s="170"/>
      <c r="E29" s="170"/>
      <c r="F29" s="170"/>
      <c r="G29" s="69"/>
      <c r="H29" s="37"/>
      <c r="I29" s="37"/>
      <c r="J29" s="37"/>
      <c r="K29" s="37"/>
      <c r="L29" s="99" t="s">
        <v>53</v>
      </c>
      <c r="M29" s="101">
        <f>IF(R27&gt;0,(M27-Q27)/R27,0)</f>
        <v>0</v>
      </c>
      <c r="N29" s="69"/>
      <c r="O29" s="170"/>
      <c r="P29" s="170"/>
      <c r="Q29" s="170"/>
      <c r="R29" s="69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ht="12.75" customHeight="1">
      <c r="A30" s="99" t="s">
        <v>58</v>
      </c>
      <c r="B30" s="173">
        <f>IF(G27&gt;0,(B27+C27)/G27,0)</f>
        <v>0</v>
      </c>
      <c r="C30" s="174"/>
      <c r="D30" s="37"/>
      <c r="E30" s="37"/>
      <c r="F30" s="37"/>
      <c r="G30" s="37"/>
      <c r="H30" s="37"/>
      <c r="I30" s="37"/>
      <c r="J30" s="37"/>
      <c r="K30" s="37"/>
      <c r="L30" s="99" t="s">
        <v>58</v>
      </c>
      <c r="M30" s="173">
        <f>IF(R27&gt;0,(M27+N27)/R27,0)</f>
        <v>0</v>
      </c>
      <c r="N30" s="174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ht="12.75" customHeight="1">
      <c r="B31" s="176"/>
      <c r="C31" s="174"/>
      <c r="D31" s="37"/>
      <c r="E31" s="37"/>
      <c r="F31" s="37"/>
      <c r="G31" s="37"/>
      <c r="H31" s="37"/>
      <c r="I31" s="81" t="s">
        <v>59</v>
      </c>
      <c r="J31" s="37"/>
      <c r="K31" s="37"/>
      <c r="L31" s="37"/>
      <c r="M31" s="176"/>
      <c r="N31" s="174"/>
      <c r="O31" s="37"/>
      <c r="P31" s="37"/>
      <c r="Q31" s="37"/>
      <c r="R31" s="37"/>
      <c r="S31" s="37"/>
      <c r="T31" s="81" t="s">
        <v>59</v>
      </c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ht="12.75" customHeight="1">
      <c r="A32" s="37"/>
      <c r="B32" s="83" t="s">
        <v>1</v>
      </c>
      <c r="C32" s="36"/>
      <c r="D32" s="36"/>
      <c r="E32" s="36"/>
      <c r="F32" s="36"/>
      <c r="G32" s="36"/>
      <c r="H32" s="37"/>
      <c r="I32" s="178" t="s">
        <v>0</v>
      </c>
      <c r="J32" s="180">
        <f>B34+B41+I27</f>
        <v>0</v>
      </c>
      <c r="K32" s="37"/>
      <c r="L32" s="37"/>
      <c r="M32" s="83" t="s">
        <v>1</v>
      </c>
      <c r="N32" s="36"/>
      <c r="O32" s="36"/>
      <c r="P32" s="36"/>
      <c r="Q32" s="36"/>
      <c r="R32" s="36"/>
      <c r="S32" s="37"/>
      <c r="T32" s="178" t="s">
        <v>0</v>
      </c>
      <c r="U32" s="180">
        <f>M34+M41+T27</f>
        <v>0</v>
      </c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ht="12.75" customHeight="1">
      <c r="A33" s="38"/>
      <c r="B33" s="85" t="s">
        <v>24</v>
      </c>
      <c r="C33" s="85" t="s">
        <v>17</v>
      </c>
      <c r="D33" s="85" t="s">
        <v>60</v>
      </c>
      <c r="E33" s="85" t="s">
        <v>61</v>
      </c>
      <c r="F33" s="85" t="s">
        <v>22</v>
      </c>
      <c r="G33" s="85" t="s">
        <v>5</v>
      </c>
      <c r="H33" s="62"/>
      <c r="I33" s="178" t="s">
        <v>62</v>
      </c>
      <c r="J33" s="180">
        <f>G41+F34</f>
        <v>0</v>
      </c>
      <c r="K33" s="37"/>
      <c r="L33" s="38"/>
      <c r="M33" s="85" t="s">
        <v>24</v>
      </c>
      <c r="N33" s="85" t="s">
        <v>17</v>
      </c>
      <c r="O33" s="85" t="s">
        <v>60</v>
      </c>
      <c r="P33" s="85" t="s">
        <v>61</v>
      </c>
      <c r="Q33" s="85" t="s">
        <v>22</v>
      </c>
      <c r="R33" s="85" t="s">
        <v>5</v>
      </c>
      <c r="S33" s="62"/>
      <c r="T33" s="178" t="s">
        <v>62</v>
      </c>
      <c r="U33" s="180">
        <f>R41+Q34</f>
        <v>0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ht="12.75" customHeight="1">
      <c r="A34" s="38"/>
      <c r="B34" s="88">
        <f>COUNTIF(B137:AE137,B33)</f>
        <v>0</v>
      </c>
      <c r="C34" s="88">
        <f>COUNTIF(B137:AE137,C33)</f>
        <v>0</v>
      </c>
      <c r="D34" s="88">
        <f>COUNTIF(B137:AE137,D33)</f>
        <v>0</v>
      </c>
      <c r="E34" s="88">
        <f>COUNTIF(B137:AE137,E33)</f>
        <v>0</v>
      </c>
      <c r="F34" s="88">
        <f>COUNTIF(B137:AE137,F33)</f>
        <v>0</v>
      </c>
      <c r="G34" s="88">
        <f t="shared" ref="G34:G35" si="10">SUM(B34:F34)</f>
        <v>0</v>
      </c>
      <c r="H34" s="62"/>
      <c r="I34" s="178" t="s">
        <v>63</v>
      </c>
      <c r="J34" s="180">
        <f>F27</f>
        <v>0</v>
      </c>
      <c r="K34" s="37"/>
      <c r="L34" s="38"/>
      <c r="M34" s="88">
        <f>COUNTIF(B138:AE138,M33)</f>
        <v>0</v>
      </c>
      <c r="N34" s="88">
        <f>COUNTIF(B138:AE138,N33)</f>
        <v>0</v>
      </c>
      <c r="O34" s="88">
        <f>COUNTIF(B138:AE138,O33)</f>
        <v>0</v>
      </c>
      <c r="P34" s="88">
        <f>COUNTIF(B138:AE138,P33)</f>
        <v>0</v>
      </c>
      <c r="Q34" s="88">
        <f>COUNTIF(B138:AE138,Q33)</f>
        <v>0</v>
      </c>
      <c r="R34" s="88">
        <f>SUM(M34:Q34)</f>
        <v>0</v>
      </c>
      <c r="S34" s="62"/>
      <c r="T34" s="178" t="s">
        <v>63</v>
      </c>
      <c r="U34" s="180">
        <f>Q27</f>
        <v>0</v>
      </c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2.75" customHeight="1">
      <c r="A35" s="99" t="s">
        <v>53</v>
      </c>
      <c r="B35" s="96">
        <f t="shared" ref="B35:F35" si="9">IF($G$34&gt;0,B34/$G$34,0)</f>
        <v>0</v>
      </c>
      <c r="C35" s="96">
        <f t="shared" si="9"/>
        <v>0</v>
      </c>
      <c r="D35" s="96">
        <f t="shared" si="9"/>
        <v>0</v>
      </c>
      <c r="E35" s="96">
        <f t="shared" si="9"/>
        <v>0</v>
      </c>
      <c r="F35" s="96">
        <f t="shared" si="9"/>
        <v>0</v>
      </c>
      <c r="G35" s="96">
        <f t="shared" si="10"/>
        <v>0</v>
      </c>
      <c r="H35" s="178" t="s">
        <v>64</v>
      </c>
      <c r="I35" s="180">
        <f>F41</f>
        <v>0</v>
      </c>
      <c r="J35" s="37"/>
      <c r="K35" s="38"/>
      <c r="L35" s="99" t="s">
        <v>53</v>
      </c>
      <c r="M35" s="96">
        <f t="shared" ref="M35:Q35" si="11">IF($G$69&gt;0,N34/$G$34,0)</f>
        <v>0</v>
      </c>
      <c r="N35" s="96">
        <f t="shared" si="11"/>
        <v>0</v>
      </c>
      <c r="O35" s="96">
        <f t="shared" si="11"/>
        <v>0</v>
      </c>
      <c r="P35" s="96">
        <f t="shared" si="11"/>
        <v>0</v>
      </c>
      <c r="Q35" s="96">
        <f t="shared" si="11"/>
        <v>0</v>
      </c>
      <c r="R35" s="62"/>
      <c r="S35" s="178" t="s">
        <v>64</v>
      </c>
      <c r="T35" s="180">
        <f>Q41</f>
        <v>0</v>
      </c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ht="12.75" customHeight="1">
      <c r="A36" s="99" t="s">
        <v>58</v>
      </c>
      <c r="B36" s="101">
        <f>IF(G34&gt;0,(B34-F34)/G34,0)</f>
        <v>0</v>
      </c>
      <c r="C36" s="69"/>
      <c r="D36" s="69"/>
      <c r="E36" s="69"/>
      <c r="F36" s="69"/>
      <c r="G36" s="69"/>
      <c r="H36" s="37"/>
      <c r="I36" s="178" t="s">
        <v>65</v>
      </c>
      <c r="J36" s="189">
        <f>B29</f>
        <v>0</v>
      </c>
      <c r="K36" s="37"/>
      <c r="L36" s="99" t="s">
        <v>58</v>
      </c>
      <c r="M36" s="101">
        <f>IF(R34&gt;0,(M34-Q34)/R34,0)</f>
        <v>0</v>
      </c>
      <c r="N36" s="69"/>
      <c r="O36" s="69"/>
      <c r="P36" s="69"/>
      <c r="Q36" s="69"/>
      <c r="R36" s="69"/>
      <c r="S36" s="37"/>
      <c r="T36" s="178" t="s">
        <v>65</v>
      </c>
      <c r="U36" s="189">
        <f>M29</f>
        <v>0</v>
      </c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ht="12.75" customHeight="1">
      <c r="B37" s="173">
        <f>IF(G34&gt;0,(B34+C34)/G34,0)</f>
        <v>0</v>
      </c>
      <c r="C37" s="37"/>
      <c r="D37" s="37"/>
      <c r="E37" s="37"/>
      <c r="F37" s="37"/>
      <c r="G37" s="37"/>
      <c r="H37" s="37"/>
      <c r="I37" s="178" t="s">
        <v>67</v>
      </c>
      <c r="J37" s="189">
        <f>B43</f>
        <v>0</v>
      </c>
      <c r="K37" s="37"/>
      <c r="M37" s="173">
        <f>IF(R34&gt;0,(M34+N34)/R34,0)</f>
        <v>0</v>
      </c>
      <c r="N37" s="37"/>
      <c r="O37" s="37"/>
      <c r="P37" s="37"/>
      <c r="Q37" s="37"/>
      <c r="R37" s="37"/>
      <c r="S37" s="37"/>
      <c r="T37" s="178" t="s">
        <v>67</v>
      </c>
      <c r="U37" s="189">
        <f>M43</f>
        <v>0</v>
      </c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ht="12.75" customHeight="1">
      <c r="A38" s="37"/>
      <c r="B38" s="17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176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ht="12.75" customHeight="1">
      <c r="B39" s="83" t="s">
        <v>3</v>
      </c>
      <c r="C39" s="36"/>
      <c r="D39" s="36"/>
      <c r="E39" s="36"/>
      <c r="F39" s="36"/>
      <c r="G39" s="36"/>
      <c r="H39" s="36"/>
      <c r="I39" s="37"/>
      <c r="J39" s="37"/>
      <c r="K39" s="37"/>
      <c r="L39" s="37"/>
      <c r="M39" s="83" t="s">
        <v>3</v>
      </c>
      <c r="N39" s="36"/>
      <c r="O39" s="36"/>
      <c r="P39" s="36"/>
      <c r="Q39" s="36"/>
      <c r="R39" s="36"/>
      <c r="S39" s="36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ht="12.75" customHeight="1">
      <c r="A40" s="38"/>
      <c r="B40" s="85" t="s">
        <v>15</v>
      </c>
      <c r="C40" s="85" t="s">
        <v>18</v>
      </c>
      <c r="D40" s="85" t="s">
        <v>68</v>
      </c>
      <c r="E40" s="85" t="s">
        <v>69</v>
      </c>
      <c r="F40" s="85" t="s">
        <v>70</v>
      </c>
      <c r="G40" s="85" t="s">
        <v>21</v>
      </c>
      <c r="H40" s="85" t="s">
        <v>5</v>
      </c>
      <c r="I40" s="62"/>
      <c r="J40" s="37"/>
      <c r="K40" s="37"/>
      <c r="L40" s="38"/>
      <c r="M40" s="85" t="s">
        <v>15</v>
      </c>
      <c r="N40" s="85" t="s">
        <v>18</v>
      </c>
      <c r="O40" s="85" t="s">
        <v>68</v>
      </c>
      <c r="P40" s="85" t="s">
        <v>69</v>
      </c>
      <c r="Q40" s="85" t="s">
        <v>70</v>
      </c>
      <c r="R40" s="85" t="s">
        <v>21</v>
      </c>
      <c r="S40" s="85" t="s">
        <v>5</v>
      </c>
      <c r="T40" s="62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ht="12.75" customHeight="1">
      <c r="A41" s="38"/>
      <c r="B41" s="88">
        <f>COUNTIF(B137:AE137,B40)</f>
        <v>0</v>
      </c>
      <c r="C41" s="88">
        <f>COUNTIF(B137:AE137,C40)</f>
        <v>0</v>
      </c>
      <c r="D41" s="88">
        <f>COUNTIF(B137:AE137,D40)</f>
        <v>0</v>
      </c>
      <c r="E41" s="88">
        <f>COUNTIF(B137:AE137,E40)</f>
        <v>0</v>
      </c>
      <c r="F41" s="88">
        <f>COUNTIF(B137:AE137,F40)</f>
        <v>0</v>
      </c>
      <c r="G41" s="88">
        <f>COUNTIF(B137:AE137,G40)</f>
        <v>0</v>
      </c>
      <c r="H41" s="88">
        <f t="shared" ref="H41:H42" si="12">SUM(B41:G41)</f>
        <v>0</v>
      </c>
      <c r="I41" s="62"/>
      <c r="J41" s="37"/>
      <c r="K41" s="37"/>
      <c r="L41" s="38"/>
      <c r="M41" s="88">
        <f>COUNTIF(B138:AE138,M40)</f>
        <v>0</v>
      </c>
      <c r="N41" s="88">
        <f>COUNTIF(B138:AE138,N40)</f>
        <v>0</v>
      </c>
      <c r="O41" s="88">
        <f>COUNTIF(B138:AE138,O40)</f>
        <v>0</v>
      </c>
      <c r="P41" s="88">
        <f>COUNTIF(B138:AE138,P40)</f>
        <v>0</v>
      </c>
      <c r="Q41" s="88">
        <f>COUNTIF(B138:AE138,Q40)</f>
        <v>0</v>
      </c>
      <c r="R41" s="88">
        <f>COUNTIF(B138:AE138,R40)</f>
        <v>0</v>
      </c>
      <c r="S41" s="88">
        <f t="shared" ref="S41:S42" si="13">SUM(M41:R41)</f>
        <v>0</v>
      </c>
      <c r="T41" s="62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ht="12.75" customHeight="1">
      <c r="A42" s="38"/>
      <c r="B42" s="96">
        <f>IF(H41&gt;0,B41/H41,0)</f>
        <v>0</v>
      </c>
      <c r="C42" s="96">
        <f>IF(H41&gt;0,C41/H41,0)</f>
        <v>0</v>
      </c>
      <c r="D42" s="96">
        <f>IF(H41&gt;0,D41/H41,0)</f>
        <v>0</v>
      </c>
      <c r="E42" s="96">
        <f>IF(H41&gt;0,E41/H41,0)</f>
        <v>0</v>
      </c>
      <c r="F42" s="96">
        <f>IF(H41&gt;0,F41/H41,0)</f>
        <v>0</v>
      </c>
      <c r="G42" s="96">
        <f>IF(H41&gt;0,G41/H41,0)</f>
        <v>0</v>
      </c>
      <c r="H42" s="96">
        <f t="shared" si="12"/>
        <v>0</v>
      </c>
      <c r="I42" s="62"/>
      <c r="J42" s="37"/>
      <c r="K42" s="37"/>
      <c r="L42" s="38"/>
      <c r="M42" s="96">
        <f>IF(S41&gt;0,M41/S41,0)</f>
        <v>0</v>
      </c>
      <c r="N42" s="96">
        <f>IF(S41&gt;0,N41/S41,0)</f>
        <v>0</v>
      </c>
      <c r="O42" s="96">
        <f>IF(S41&gt;0,O41/S41,0)</f>
        <v>0</v>
      </c>
      <c r="P42" s="96">
        <f>IF(S41&gt;0,P41/S41,0)</f>
        <v>0</v>
      </c>
      <c r="Q42" s="96">
        <f>IF(S41&gt;0,Q41/S41,0)</f>
        <v>0</v>
      </c>
      <c r="R42" s="96">
        <f>IF(S41&gt;0,R41/S41,0)</f>
        <v>0</v>
      </c>
      <c r="S42" s="96">
        <f t="shared" si="13"/>
        <v>0</v>
      </c>
      <c r="T42" s="62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ht="12.75" customHeight="1">
      <c r="A43" s="99" t="s">
        <v>53</v>
      </c>
      <c r="B43" s="199">
        <f>IF(H41&gt;0,(B41-G41)/H41,0)</f>
        <v>0</v>
      </c>
      <c r="C43" s="69"/>
      <c r="D43" s="69"/>
      <c r="E43" s="69"/>
      <c r="F43" s="69"/>
      <c r="G43" s="69"/>
      <c r="H43" s="69"/>
      <c r="I43" s="37"/>
      <c r="J43" s="37"/>
      <c r="K43" s="37"/>
      <c r="L43" s="99" t="s">
        <v>53</v>
      </c>
      <c r="M43" s="199">
        <f>IF(S41&gt;0,(M41-R41)/S41,0)</f>
        <v>0</v>
      </c>
      <c r="N43" s="69"/>
      <c r="O43" s="69"/>
      <c r="P43" s="69"/>
      <c r="Q43" s="69"/>
      <c r="R43" s="69"/>
      <c r="S43" s="69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ht="12.75" customHeight="1">
      <c r="A44" s="99" t="s">
        <v>58</v>
      </c>
      <c r="B44" s="202">
        <f>IF(H41&gt;0,(B41+C41+D41+E41)/H41,0)</f>
        <v>0</v>
      </c>
      <c r="C44" s="37"/>
      <c r="D44" s="37"/>
      <c r="E44" s="37"/>
      <c r="F44" s="37"/>
      <c r="G44" s="37"/>
      <c r="H44" s="37"/>
      <c r="I44" s="37"/>
      <c r="J44" s="37"/>
      <c r="K44" s="37"/>
      <c r="L44" s="99" t="s">
        <v>58</v>
      </c>
      <c r="M44" s="202">
        <f>IF(S41&gt;0,(M41+N41+O41+P41)/S41,0)</f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ht="12.75" customHeight="1">
      <c r="A46" s="37"/>
      <c r="B46" s="81"/>
      <c r="C46" s="37"/>
      <c r="D46" s="37"/>
      <c r="E46" s="37"/>
      <c r="F46" s="37"/>
      <c r="G46" s="37"/>
      <c r="H46" s="37"/>
      <c r="I46" s="81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ht="12.75" customHeight="1">
      <c r="A47" s="80" t="s">
        <v>88</v>
      </c>
      <c r="B47" s="83" t="s">
        <v>2</v>
      </c>
      <c r="C47" s="36"/>
      <c r="D47" s="36"/>
      <c r="E47" s="36"/>
      <c r="F47" s="36"/>
      <c r="G47" s="36"/>
      <c r="H47" s="37"/>
      <c r="I47" s="83" t="s">
        <v>4</v>
      </c>
      <c r="J47" s="36"/>
      <c r="K47" s="37"/>
      <c r="L47" s="80" t="s">
        <v>90</v>
      </c>
      <c r="M47" s="83" t="s">
        <v>2</v>
      </c>
      <c r="N47" s="36"/>
      <c r="O47" s="36"/>
      <c r="P47" s="36"/>
      <c r="Q47" s="36"/>
      <c r="R47" s="36"/>
      <c r="S47" s="37"/>
      <c r="T47" s="83" t="s">
        <v>4</v>
      </c>
      <c r="U47" s="36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ht="12.75" customHeight="1">
      <c r="A48" s="38"/>
      <c r="B48" s="85" t="s">
        <v>28</v>
      </c>
      <c r="C48" s="85" t="s">
        <v>26</v>
      </c>
      <c r="D48" s="85" t="s">
        <v>25</v>
      </c>
      <c r="E48" s="85" t="s">
        <v>31</v>
      </c>
      <c r="F48" s="85" t="s">
        <v>27</v>
      </c>
      <c r="G48" s="85" t="s">
        <v>5</v>
      </c>
      <c r="H48" s="86"/>
      <c r="I48" s="85" t="s">
        <v>30</v>
      </c>
      <c r="J48" s="85" t="s">
        <v>23</v>
      </c>
      <c r="K48" s="210"/>
      <c r="L48" s="38"/>
      <c r="M48" s="85" t="s">
        <v>28</v>
      </c>
      <c r="N48" s="85" t="s">
        <v>26</v>
      </c>
      <c r="O48" s="85" t="s">
        <v>25</v>
      </c>
      <c r="P48" s="85" t="s">
        <v>31</v>
      </c>
      <c r="Q48" s="85" t="s">
        <v>27</v>
      </c>
      <c r="R48" s="85" t="s">
        <v>5</v>
      </c>
      <c r="S48" s="86"/>
      <c r="T48" s="85" t="s">
        <v>30</v>
      </c>
      <c r="U48" s="85" t="s">
        <v>23</v>
      </c>
      <c r="V48" s="62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ht="12.75" customHeight="1">
      <c r="A49" s="38"/>
      <c r="B49" s="88">
        <f>COUNTIF(B139:AE139,B48)</f>
        <v>0</v>
      </c>
      <c r="C49" s="88">
        <f>COUNTIF(B139:AE139,C48)</f>
        <v>0</v>
      </c>
      <c r="D49" s="88">
        <f>COUNTIF(B139:AE139,D48)</f>
        <v>0</v>
      </c>
      <c r="E49" s="88">
        <f>COUNTIF(B139:AE139,E48)</f>
        <v>0</v>
      </c>
      <c r="F49" s="88">
        <f>COUNTIF(B139:AE139,F48)</f>
        <v>0</v>
      </c>
      <c r="G49" s="88">
        <f t="shared" ref="G49:G50" si="14">SUM(B49:F49)</f>
        <v>0</v>
      </c>
      <c r="H49" s="86"/>
      <c r="I49" s="88">
        <f>COUNTIF(B139:AE139,I48)</f>
        <v>0</v>
      </c>
      <c r="J49" s="88">
        <f>COUNTIF(B139:AE139,J48)</f>
        <v>0</v>
      </c>
      <c r="K49" s="210"/>
      <c r="L49" s="38"/>
      <c r="M49" s="88">
        <f>COUNTIF(B140:AE140,M48)</f>
        <v>0</v>
      </c>
      <c r="N49" s="88">
        <f>COUNTIF(B140:AE140,N48)</f>
        <v>0</v>
      </c>
      <c r="O49" s="88">
        <f>COUNTIF(B140:AE140,O48)</f>
        <v>0</v>
      </c>
      <c r="P49" s="88">
        <f>COUNTIF(B140:AE140,P48)</f>
        <v>0</v>
      </c>
      <c r="Q49" s="88">
        <f>COUNTIF(B140:AE140,Q48)</f>
        <v>0</v>
      </c>
      <c r="R49" s="88">
        <f t="shared" ref="R49:R50" si="15">SUM(M49:Q49)</f>
        <v>0</v>
      </c>
      <c r="S49" s="86"/>
      <c r="T49" s="88">
        <f>COUNTIF(B140:AE140,T48)</f>
        <v>0</v>
      </c>
      <c r="U49" s="88">
        <f>COUNTIF(B140:AE140,U48)</f>
        <v>0</v>
      </c>
      <c r="V49" s="62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ht="12.75" customHeight="1">
      <c r="A50" s="38"/>
      <c r="B50" s="96">
        <f>IF(G49&gt;0,B49/G49,0)</f>
        <v>0</v>
      </c>
      <c r="C50" s="96">
        <f>IF(G49&gt;0,C49/G49,0)</f>
        <v>0</v>
      </c>
      <c r="D50" s="96">
        <f>IF(G49&gt;0,D49/G49,0)</f>
        <v>0</v>
      </c>
      <c r="E50" s="96">
        <f>IF(G49&gt;0,E49/G49,0)</f>
        <v>0</v>
      </c>
      <c r="F50" s="96">
        <f>IF(G49&gt;0,F49/G49,0)</f>
        <v>0</v>
      </c>
      <c r="G50" s="98">
        <f t="shared" si="14"/>
        <v>0</v>
      </c>
      <c r="H50" s="62"/>
      <c r="I50" s="69"/>
      <c r="J50" s="69"/>
      <c r="K50" s="35"/>
      <c r="L50" s="38"/>
      <c r="M50" s="96">
        <f>IF(R49&gt;0,M49/R49,0)</f>
        <v>0</v>
      </c>
      <c r="N50" s="96">
        <f>IF(R49&gt;0,N49/R49,0)</f>
        <v>0</v>
      </c>
      <c r="O50" s="96">
        <f>IF(R49&gt;0,O49/R49,0)</f>
        <v>0</v>
      </c>
      <c r="P50" s="96">
        <f>IF(R49&gt;0,P49/R49,0)</f>
        <v>0</v>
      </c>
      <c r="Q50" s="96">
        <f>IF(R49&gt;0,Q49/R49,0)</f>
        <v>0</v>
      </c>
      <c r="R50" s="98">
        <f t="shared" si="15"/>
        <v>0</v>
      </c>
      <c r="S50" s="62"/>
      <c r="T50" s="69"/>
      <c r="U50" s="69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ht="12.75" customHeight="1">
      <c r="A51" s="99" t="s">
        <v>53</v>
      </c>
      <c r="B51" s="101">
        <f>IF(G49&gt;0,(B49-F49)/G49,0)</f>
        <v>0</v>
      </c>
      <c r="C51" s="69"/>
      <c r="D51" s="170"/>
      <c r="E51" s="170"/>
      <c r="F51" s="170"/>
      <c r="G51" s="69"/>
      <c r="H51" s="37"/>
      <c r="I51" s="37"/>
      <c r="J51" s="37"/>
      <c r="K51" s="35"/>
      <c r="L51" s="99" t="s">
        <v>53</v>
      </c>
      <c r="M51" s="101">
        <f>IF(R49&gt;0,(M49-Q49)/R49,0)</f>
        <v>0</v>
      </c>
      <c r="N51" s="69"/>
      <c r="O51" s="170"/>
      <c r="P51" s="170"/>
      <c r="Q51" s="170"/>
      <c r="R51" s="69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ht="12.75" customHeight="1">
      <c r="A52" s="99" t="s">
        <v>58</v>
      </c>
      <c r="B52" s="173">
        <f>IF(G49&gt;0,(B49+C49)/G49,0)</f>
        <v>0</v>
      </c>
      <c r="C52" s="174"/>
      <c r="D52" s="37"/>
      <c r="E52" s="37"/>
      <c r="F52" s="37"/>
      <c r="G52" s="37"/>
      <c r="H52" s="37"/>
      <c r="I52" s="37"/>
      <c r="J52" s="37"/>
      <c r="K52" s="35"/>
      <c r="L52" s="99" t="s">
        <v>58</v>
      </c>
      <c r="M52" s="173">
        <f>IF(R49&gt;0,(M49+N49)/R49,0)</f>
        <v>0</v>
      </c>
      <c r="N52" s="174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ht="12.75" customHeight="1">
      <c r="A53" s="37"/>
      <c r="B53" s="176"/>
      <c r="C53" s="174"/>
      <c r="D53" s="37"/>
      <c r="E53" s="37"/>
      <c r="F53" s="37"/>
      <c r="G53" s="37"/>
      <c r="H53" s="37"/>
      <c r="I53" s="81" t="s">
        <v>59</v>
      </c>
      <c r="J53" s="37"/>
      <c r="K53" s="35"/>
      <c r="L53" s="37"/>
      <c r="M53" s="176"/>
      <c r="N53" s="174"/>
      <c r="O53" s="37"/>
      <c r="P53" s="37"/>
      <c r="Q53" s="37"/>
      <c r="R53" s="37"/>
      <c r="S53" s="37"/>
      <c r="T53" s="81" t="s">
        <v>59</v>
      </c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ht="12.75" customHeight="1">
      <c r="A54" s="37"/>
      <c r="B54" s="83" t="s">
        <v>1</v>
      </c>
      <c r="C54" s="36"/>
      <c r="D54" s="36"/>
      <c r="E54" s="36"/>
      <c r="F54" s="36"/>
      <c r="G54" s="36"/>
      <c r="H54" s="37"/>
      <c r="I54" s="178" t="s">
        <v>0</v>
      </c>
      <c r="J54" s="180">
        <f>B56+B63+I49</f>
        <v>0</v>
      </c>
      <c r="K54" s="35"/>
      <c r="L54" s="37"/>
      <c r="M54" s="83" t="s">
        <v>1</v>
      </c>
      <c r="N54" s="36"/>
      <c r="O54" s="36"/>
      <c r="P54" s="36"/>
      <c r="Q54" s="36"/>
      <c r="R54" s="36"/>
      <c r="S54" s="37"/>
      <c r="T54" s="178" t="s">
        <v>0</v>
      </c>
      <c r="U54" s="180">
        <f>M56+M63+T49</f>
        <v>0</v>
      </c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ht="12.75" customHeight="1">
      <c r="A55" s="38"/>
      <c r="B55" s="85" t="s">
        <v>24</v>
      </c>
      <c r="C55" s="85" t="s">
        <v>17</v>
      </c>
      <c r="D55" s="85" t="s">
        <v>60</v>
      </c>
      <c r="E55" s="85" t="s">
        <v>61</v>
      </c>
      <c r="F55" s="85" t="s">
        <v>22</v>
      </c>
      <c r="G55" s="85" t="s">
        <v>5</v>
      </c>
      <c r="H55" s="62"/>
      <c r="I55" s="178" t="s">
        <v>62</v>
      </c>
      <c r="J55" s="180">
        <f>G63+F56</f>
        <v>0</v>
      </c>
      <c r="K55" s="35"/>
      <c r="L55" s="38"/>
      <c r="M55" s="85" t="s">
        <v>24</v>
      </c>
      <c r="N55" s="85" t="s">
        <v>17</v>
      </c>
      <c r="O55" s="85" t="s">
        <v>60</v>
      </c>
      <c r="P55" s="85" t="s">
        <v>61</v>
      </c>
      <c r="Q55" s="85" t="s">
        <v>22</v>
      </c>
      <c r="R55" s="85" t="s">
        <v>5</v>
      </c>
      <c r="S55" s="62"/>
      <c r="T55" s="178" t="s">
        <v>62</v>
      </c>
      <c r="U55" s="180">
        <f>R63+Q56</f>
        <v>0</v>
      </c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ht="12.75" customHeight="1">
      <c r="A56" s="38"/>
      <c r="B56" s="88">
        <f>COUNTIF(B139:AE139,B55)</f>
        <v>0</v>
      </c>
      <c r="C56" s="88">
        <f>COUNTIF(B139:AE139,C55)</f>
        <v>0</v>
      </c>
      <c r="D56" s="88">
        <f>COUNTIF(B139:AE139,D55)</f>
        <v>0</v>
      </c>
      <c r="E56" s="88">
        <f>COUNTIF(B139:AE139,E55)</f>
        <v>0</v>
      </c>
      <c r="F56" s="88">
        <f>COUNTIF(B139:AE139,F55)</f>
        <v>0</v>
      </c>
      <c r="G56" s="88">
        <f t="shared" ref="G56:G57" si="16">SUM(B56:F56)</f>
        <v>0</v>
      </c>
      <c r="H56" s="62"/>
      <c r="I56" s="178" t="s">
        <v>63</v>
      </c>
      <c r="J56" s="180">
        <f>F49</f>
        <v>0</v>
      </c>
      <c r="K56" s="35"/>
      <c r="L56" s="38"/>
      <c r="M56" s="88">
        <f>COUNTIF(B140:AE140,M55)</f>
        <v>0</v>
      </c>
      <c r="N56" s="88">
        <f>COUNTIF(B140:AE140,N55)</f>
        <v>0</v>
      </c>
      <c r="O56" s="88">
        <f>COUNTIF(B140:AE140,O55)</f>
        <v>0</v>
      </c>
      <c r="P56" s="88">
        <f>COUNTIF(B140:AE140,P55)</f>
        <v>0</v>
      </c>
      <c r="Q56" s="88">
        <f>COUNTIF(B140:AE140,Q55)</f>
        <v>0</v>
      </c>
      <c r="R56" s="88">
        <f t="shared" ref="R56:R57" si="17">SUM(M56:Q56)</f>
        <v>0</v>
      </c>
      <c r="S56" s="62"/>
      <c r="T56" s="178" t="s">
        <v>63</v>
      </c>
      <c r="U56" s="180">
        <f>Q49</f>
        <v>0</v>
      </c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ht="12.75" customHeight="1">
      <c r="A57" s="38"/>
      <c r="B57" s="96">
        <f>IF(G56&gt;0,B56/G56,0)</f>
        <v>0</v>
      </c>
      <c r="C57" s="96">
        <f>IF(G46&gt;0,C56/G56,0)</f>
        <v>0</v>
      </c>
      <c r="D57" s="96">
        <f>IF(G56&gt;0,D56/G56,0)</f>
        <v>0</v>
      </c>
      <c r="E57" s="96">
        <f>IF(G46&gt;0,E56/G56,0)</f>
        <v>0</v>
      </c>
      <c r="F57" s="96">
        <f>IF(G46&gt;0,F56/G56,0)</f>
        <v>0</v>
      </c>
      <c r="G57" s="96">
        <f t="shared" si="16"/>
        <v>0</v>
      </c>
      <c r="H57" s="62"/>
      <c r="I57" s="178" t="s">
        <v>64</v>
      </c>
      <c r="J57" s="180">
        <f>F63</f>
        <v>0</v>
      </c>
      <c r="K57" s="35"/>
      <c r="L57" s="38"/>
      <c r="M57" s="96">
        <f>IF(R56&gt;0,M56/R56,0)</f>
        <v>0</v>
      </c>
      <c r="N57" s="96">
        <f>IF(G113&gt;0,N56/R56,0)</f>
        <v>0</v>
      </c>
      <c r="O57" s="96">
        <f>IF(R56&gt;0,O56/R56,0)</f>
        <v>0</v>
      </c>
      <c r="P57" s="96">
        <f>IF(G113&gt;0,P56/R56,0)</f>
        <v>0</v>
      </c>
      <c r="Q57" s="96">
        <f>IF(G113&gt;0,Q56/R56,0)</f>
        <v>0</v>
      </c>
      <c r="R57" s="96">
        <f t="shared" si="17"/>
        <v>0</v>
      </c>
      <c r="S57" s="62"/>
      <c r="T57" s="178" t="s">
        <v>64</v>
      </c>
      <c r="U57" s="180">
        <f>Q63</f>
        <v>0</v>
      </c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ht="12.75" customHeight="1">
      <c r="A58" s="99" t="s">
        <v>53</v>
      </c>
      <c r="B58" s="101">
        <f>IF(G56&gt;0,(B56-F56)/G56,0)</f>
        <v>0</v>
      </c>
      <c r="C58" s="69"/>
      <c r="D58" s="69"/>
      <c r="E58" s="69"/>
      <c r="F58" s="69"/>
      <c r="G58" s="69"/>
      <c r="H58" s="37"/>
      <c r="I58" s="178" t="s">
        <v>65</v>
      </c>
      <c r="J58" s="189">
        <f>B51</f>
        <v>0</v>
      </c>
      <c r="K58" s="35"/>
      <c r="L58" s="99" t="s">
        <v>53</v>
      </c>
      <c r="M58" s="101">
        <f>IF(R56&gt;0,(M56-Q56)/R56,0)</f>
        <v>0</v>
      </c>
      <c r="N58" s="69"/>
      <c r="O58" s="69"/>
      <c r="P58" s="69"/>
      <c r="Q58" s="69"/>
      <c r="R58" s="69"/>
      <c r="S58" s="37"/>
      <c r="T58" s="178" t="s">
        <v>65</v>
      </c>
      <c r="U58" s="189">
        <f>M51</f>
        <v>0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ht="12.75" customHeight="1">
      <c r="A59" s="99" t="s">
        <v>58</v>
      </c>
      <c r="B59" s="173">
        <f>IF(G56&gt;0,(B56+C56)/G56,0)</f>
        <v>0</v>
      </c>
      <c r="C59" s="37"/>
      <c r="D59" s="37"/>
      <c r="E59" s="37"/>
      <c r="F59" s="37"/>
      <c r="G59" s="37"/>
      <c r="H59" s="37"/>
      <c r="I59" s="178" t="s">
        <v>67</v>
      </c>
      <c r="J59" s="189">
        <f>B65</f>
        <v>0</v>
      </c>
      <c r="K59" s="35"/>
      <c r="L59" s="99" t="s">
        <v>58</v>
      </c>
      <c r="M59" s="173">
        <f>IF(R56&gt;0,(M56+N56)/R56,0)</f>
        <v>0</v>
      </c>
      <c r="N59" s="37"/>
      <c r="O59" s="37"/>
      <c r="P59" s="37"/>
      <c r="Q59" s="37"/>
      <c r="R59" s="37"/>
      <c r="S59" s="37"/>
      <c r="T59" s="178" t="s">
        <v>67</v>
      </c>
      <c r="U59" s="189">
        <f>M65</f>
        <v>0</v>
      </c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ht="12.75" customHeight="1">
      <c r="A60" s="37"/>
      <c r="B60" s="202"/>
      <c r="C60" s="37"/>
      <c r="D60" s="37"/>
      <c r="E60" s="37"/>
      <c r="F60" s="37"/>
      <c r="G60" s="37"/>
      <c r="H60" s="37"/>
      <c r="I60" s="37"/>
      <c r="J60" s="37"/>
      <c r="K60" s="35"/>
      <c r="L60" s="37"/>
      <c r="M60" s="176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ht="12.75" customHeight="1">
      <c r="A61" s="37"/>
      <c r="B61" s="83" t="s">
        <v>3</v>
      </c>
      <c r="C61" s="36"/>
      <c r="D61" s="36"/>
      <c r="E61" s="36"/>
      <c r="F61" s="36"/>
      <c r="G61" s="36"/>
      <c r="H61" s="36"/>
      <c r="I61" s="37"/>
      <c r="J61" s="37"/>
      <c r="K61" s="35"/>
      <c r="L61" s="37"/>
      <c r="M61" s="83" t="s">
        <v>3</v>
      </c>
      <c r="N61" s="36"/>
      <c r="O61" s="36"/>
      <c r="P61" s="36"/>
      <c r="Q61" s="36"/>
      <c r="R61" s="36"/>
      <c r="S61" s="36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ht="12.75" customHeight="1">
      <c r="A62" s="38"/>
      <c r="B62" s="85" t="s">
        <v>15</v>
      </c>
      <c r="C62" s="85" t="s">
        <v>18</v>
      </c>
      <c r="D62" s="85" t="s">
        <v>68</v>
      </c>
      <c r="E62" s="85" t="s">
        <v>69</v>
      </c>
      <c r="F62" s="85" t="s">
        <v>70</v>
      </c>
      <c r="G62" s="85" t="s">
        <v>21</v>
      </c>
      <c r="H62" s="85" t="s">
        <v>5</v>
      </c>
      <c r="I62" s="62"/>
      <c r="J62" s="37"/>
      <c r="K62" s="35"/>
      <c r="L62" s="38"/>
      <c r="M62" s="85" t="s">
        <v>15</v>
      </c>
      <c r="N62" s="85" t="s">
        <v>18</v>
      </c>
      <c r="O62" s="85" t="s">
        <v>68</v>
      </c>
      <c r="P62" s="85" t="s">
        <v>69</v>
      </c>
      <c r="Q62" s="85" t="s">
        <v>70</v>
      </c>
      <c r="R62" s="85" t="s">
        <v>21</v>
      </c>
      <c r="S62" s="85" t="s">
        <v>5</v>
      </c>
      <c r="T62" s="62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ht="12.75" customHeight="1">
      <c r="A63" s="38"/>
      <c r="B63" s="88">
        <f>COUNTIF(B139:AE139,B62)</f>
        <v>0</v>
      </c>
      <c r="C63" s="88">
        <f>COUNTIF(B139:AE139,C62)</f>
        <v>0</v>
      </c>
      <c r="D63" s="88">
        <f>COUNTIF(B139:AE139,D62)</f>
        <v>0</v>
      </c>
      <c r="E63" s="88">
        <f>COUNTIF(B139:AE139,E62)</f>
        <v>0</v>
      </c>
      <c r="F63" s="88">
        <f>COUNTIF(B139:AE139,F62)</f>
        <v>0</v>
      </c>
      <c r="G63" s="88">
        <f>COUNTIF(B139:AE139,G62)</f>
        <v>0</v>
      </c>
      <c r="H63" s="88">
        <f t="shared" ref="H63:H64" si="18">SUM(B63:G63)</f>
        <v>0</v>
      </c>
      <c r="I63" s="62"/>
      <c r="J63" s="37"/>
      <c r="K63" s="35"/>
      <c r="L63" s="38"/>
      <c r="M63" s="88">
        <f>COUNTIF(B140:AE140,M62)</f>
        <v>0</v>
      </c>
      <c r="N63" s="88">
        <f>COUNTIF(B140:AE140,N62)</f>
        <v>0</v>
      </c>
      <c r="O63" s="88">
        <f>COUNTIF(B140:AE140,O62)</f>
        <v>0</v>
      </c>
      <c r="P63" s="88">
        <f>COUNTIF(B140:AE140,P62)</f>
        <v>0</v>
      </c>
      <c r="Q63" s="88">
        <f>COUNTIF(B140:AE140,Q62)</f>
        <v>0</v>
      </c>
      <c r="R63" s="88">
        <f>COUNTIF(B140:AE140,R62)</f>
        <v>0</v>
      </c>
      <c r="S63" s="88">
        <f t="shared" ref="S63:S64" si="19">SUM(M63:R63)</f>
        <v>0</v>
      </c>
      <c r="T63" s="62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ht="12.75" customHeight="1">
      <c r="A64" s="38"/>
      <c r="B64" s="96">
        <f>IF(H63&gt;0,B63/H63,0)</f>
        <v>0</v>
      </c>
      <c r="C64" s="96">
        <f>IF(H63&gt;0,C63/H63,0)</f>
        <v>0</v>
      </c>
      <c r="D64" s="96">
        <f>IF(H63&gt;0,D63/H63,0)</f>
        <v>0</v>
      </c>
      <c r="E64" s="96">
        <f>IF(H63&gt;0,E63/H63,0)</f>
        <v>0</v>
      </c>
      <c r="F64" s="96">
        <f>IF(H63&gt;0,F63/H63,0)</f>
        <v>0</v>
      </c>
      <c r="G64" s="96">
        <f>IF(H63&gt;0,G63/H63,0)</f>
        <v>0</v>
      </c>
      <c r="H64" s="96">
        <f t="shared" si="18"/>
        <v>0</v>
      </c>
      <c r="I64" s="62"/>
      <c r="J64" s="37"/>
      <c r="K64" s="35"/>
      <c r="L64" s="38"/>
      <c r="M64" s="96">
        <f>IF(S63&gt;0,M63/S63,0)</f>
        <v>0</v>
      </c>
      <c r="N64" s="96">
        <f>IF(S63&gt;0,N63/S63,0)</f>
        <v>0</v>
      </c>
      <c r="O64" s="96">
        <f>IF(S63&gt;0,O63/S63,0)</f>
        <v>0</v>
      </c>
      <c r="P64" s="96">
        <f>IF(S63&gt;0,P63/S63,0)</f>
        <v>0</v>
      </c>
      <c r="Q64" s="96">
        <f>IF(S63&gt;0,Q63/S63,0)</f>
        <v>0</v>
      </c>
      <c r="R64" s="96">
        <f>IF(S63&gt;0,R63/S63,0)</f>
        <v>0</v>
      </c>
      <c r="S64" s="96">
        <f t="shared" si="19"/>
        <v>0</v>
      </c>
      <c r="T64" s="62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ht="12.75" customHeight="1">
      <c r="A65" s="99" t="s">
        <v>53</v>
      </c>
      <c r="B65" s="199">
        <f>IF(H63&gt;0,(B63-G63)/H63,0)</f>
        <v>0</v>
      </c>
      <c r="C65" s="69"/>
      <c r="D65" s="69"/>
      <c r="E65" s="69"/>
      <c r="F65" s="69"/>
      <c r="G65" s="69"/>
      <c r="H65" s="69"/>
      <c r="I65" s="37"/>
      <c r="J65" s="37"/>
      <c r="K65" s="35"/>
      <c r="L65" s="99" t="s">
        <v>53</v>
      </c>
      <c r="M65" s="199">
        <f>IF(S63&gt;0,(M63-R63)/S63,0)</f>
        <v>0</v>
      </c>
      <c r="N65" s="69"/>
      <c r="O65" s="69"/>
      <c r="P65" s="69"/>
      <c r="Q65" s="69"/>
      <c r="R65" s="69"/>
      <c r="S65" s="69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ht="12.75" customHeight="1">
      <c r="A66" s="99" t="s">
        <v>58</v>
      </c>
      <c r="B66" s="202">
        <f>IF(H63&gt;0,(B63+C63+D63+E63)/H63,0)</f>
        <v>0</v>
      </c>
      <c r="C66" s="37"/>
      <c r="D66" s="37"/>
      <c r="E66" s="37"/>
      <c r="F66" s="37"/>
      <c r="G66" s="37"/>
      <c r="H66" s="37"/>
      <c r="I66" s="37"/>
      <c r="J66" s="37"/>
      <c r="K66" s="35"/>
      <c r="L66" s="99" t="s">
        <v>58</v>
      </c>
      <c r="M66" s="202">
        <f>IF(S63&gt;0,(M63+N63+O63+P63)/S63,0)</f>
        <v>0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ht="12.75" customHeight="1">
      <c r="A68" s="37"/>
      <c r="B68" s="20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ht="12.75" customHeight="1">
      <c r="A69" s="37"/>
      <c r="B69" s="81"/>
      <c r="C69" s="37"/>
      <c r="D69" s="37"/>
      <c r="E69" s="37"/>
      <c r="F69" s="37"/>
      <c r="G69" s="37"/>
      <c r="H69" s="37"/>
      <c r="I69" s="81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ht="12.75" customHeight="1">
      <c r="A90" s="37"/>
      <c r="B90" s="20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ht="12.75" customHeight="1">
      <c r="A112" s="37"/>
      <c r="B112" s="20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ht="12.75" customHeight="1">
      <c r="A113" s="37"/>
      <c r="B113" s="81"/>
      <c r="C113" s="37"/>
      <c r="D113" s="37"/>
      <c r="E113" s="37"/>
      <c r="F113" s="37"/>
      <c r="G113" s="37"/>
      <c r="H113" s="37"/>
      <c r="I113" s="81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ht="12.75" customHeight="1">
      <c r="A134" s="37"/>
      <c r="B134" s="20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ht="12.75" customHeight="1">
      <c r="A135" s="99"/>
      <c r="B135" s="20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ht="12.75" customHeight="1">
      <c r="A136" s="211" t="s">
        <v>91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ht="12.75" customHeight="1">
      <c r="A137" s="211" t="s">
        <v>92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ht="12.75" customHeight="1">
      <c r="A138" s="211" t="s">
        <v>93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ht="12.75" customHeight="1">
      <c r="A139" s="211" t="s">
        <v>94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ht="12.75" customHeight="1">
      <c r="A140" s="211" t="s">
        <v>95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ht="12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ht="12.0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ht="12.0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ht="12.0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ht="12.0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ht="12.0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ht="12.0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ht="12.0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ht="12.0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ht="12.0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ht="12.0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ht="12.0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ht="12.0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ht="12.0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ht="12.0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ht="12.0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ht="12.0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ht="12.0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ht="12.0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ht="12.0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ht="12.0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ht="12.0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ht="12.0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ht="12.0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ht="12.0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ht="12.0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ht="12.0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ht="12.0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ht="12.0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ht="12.0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ht="12.0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ht="12.0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ht="12.0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ht="12.0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ht="12.0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ht="12.0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ht="12.0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ht="12.0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ht="12.0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ht="12.0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ht="12.0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ht="12.0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ht="12.0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ht="12.0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ht="12.0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ht="12.0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ht="12.0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ht="12.0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ht="12.0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ht="12.0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ht="12.0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ht="12.0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ht="12.0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ht="12.0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ht="12.0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ht="12.0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ht="12.0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ht="12.0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ht="12.0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ht="12.0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ht="12.0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ht="12.0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ht="12.0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ht="12.0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ht="12.0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ht="12.0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ht="12.0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ht="12.0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ht="12.0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ht="12.0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ht="12.0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ht="12.0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ht="12.0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ht="12.0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ht="12.0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ht="12.0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ht="12.0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ht="12.0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ht="12.0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ht="12.0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ht="12.0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ht="12.0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ht="12.0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ht="12.0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ht="12.0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ht="12.0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ht="12.0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ht="12.0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ht="12.0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ht="12.0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ht="12.0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ht="12.0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ht="12.0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ht="12.0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ht="12.0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ht="12.0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ht="12.0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ht="12.0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ht="12.0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ht="12.0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ht="12.0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ht="12.0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ht="12.0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ht="12.0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ht="12.0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ht="12.0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ht="12.0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ht="12.0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ht="12.0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ht="12.0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ht="12.0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ht="12.0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ht="12.0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ht="12.0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ht="12.0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ht="12.0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ht="12.0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ht="12.0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ht="12.0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ht="12.0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ht="12.0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ht="12.0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ht="12.0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ht="12.0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ht="12.0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ht="12.0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ht="12.0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ht="12.0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ht="12.0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ht="12.0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ht="12.0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ht="12.0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ht="12.0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ht="12.0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ht="12.0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ht="12.0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ht="12.0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ht="12.0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ht="12.0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ht="12.0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ht="12.0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ht="12.0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ht="12.0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ht="12.0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ht="12.0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ht="12.0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ht="12.0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ht="12.0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ht="12.0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ht="12.0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ht="12.0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ht="12.0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ht="12.0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ht="12.0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ht="12.0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ht="12.0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ht="12.0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ht="12.0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ht="12.0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ht="12.0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ht="12.0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ht="12.0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ht="12.0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ht="12.0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ht="12.0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ht="12.0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ht="12.0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ht="12.0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ht="12.0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ht="12.0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ht="12.0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ht="12.0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ht="12.0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ht="12.0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ht="12.0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ht="12.0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ht="12.0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ht="12.0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ht="12.0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ht="12.0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ht="12.0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ht="12.0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ht="12.0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ht="12.0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ht="12.0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ht="12.0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ht="12.0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ht="12.0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ht="12.0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ht="12.0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ht="12.0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ht="12.0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ht="12.0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ht="12.0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ht="12.0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ht="12.0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ht="12.0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ht="12.0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ht="12.0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ht="12.0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ht="12.0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ht="12.0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ht="12.0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ht="12.0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ht="12.0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ht="12.0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ht="12.0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ht="12.0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ht="12.0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ht="12.0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ht="12.0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ht="12.0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ht="12.0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ht="12.0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ht="12.0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ht="12.0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ht="12.0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ht="12.0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ht="12.0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ht="12.0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ht="12.0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ht="12.0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ht="12.0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ht="12.0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ht="12.0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ht="12.0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ht="12.0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ht="12.0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ht="12.0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ht="12.0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ht="12.0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ht="12.0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ht="12.0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ht="12.0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ht="12.0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ht="12.0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ht="12.0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ht="12.0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ht="12.0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ht="12.0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ht="12.0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ht="12.0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ht="12.0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ht="12.0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ht="12.0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ht="12.0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ht="12.0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ht="12.0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ht="12.0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ht="12.0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ht="12.0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ht="12.0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ht="12.0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ht="12.0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ht="12.0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ht="12.0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ht="12.0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ht="12.0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ht="12.0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ht="12.0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ht="12.0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ht="12.0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ht="12.0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ht="12.0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ht="12.0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ht="12.0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ht="12.0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ht="12.0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ht="12.0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ht="12.0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ht="12.0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ht="12.0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ht="12.0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ht="12.0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ht="12.0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ht="12.0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ht="12.0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ht="12.0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ht="12.0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ht="12.0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ht="12.0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ht="12.0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ht="12.0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ht="12.0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ht="12.0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ht="12.0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ht="12.0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ht="12.0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ht="12.0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ht="12.0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ht="12.0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ht="12.0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ht="12.0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ht="12.0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ht="12.0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ht="12.0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ht="12.0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ht="12.0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ht="12.0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ht="12.0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ht="12.0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ht="12.0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ht="12.0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ht="12.0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ht="12.0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ht="12.0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ht="12.0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ht="12.0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ht="12.0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ht="12.0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ht="12.0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ht="12.0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ht="12.0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ht="12.0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ht="12.0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ht="12.0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ht="12.0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ht="12.0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ht="12.0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ht="12.0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ht="12.0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ht="12.0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ht="12.0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ht="12.0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ht="12.0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ht="12.0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ht="12.0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ht="12.0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ht="12.0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ht="12.0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ht="12.0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ht="12.0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ht="12.0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ht="12.0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ht="12.0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ht="12.0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ht="12.0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ht="12.0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ht="12.0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ht="12.0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ht="12.0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ht="12.0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ht="12.0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ht="12.0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ht="12.0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ht="12.0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ht="12.0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ht="12.0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ht="12.0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ht="12.0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ht="12.0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ht="12.0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ht="12.0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ht="12.0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ht="12.0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ht="12.0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ht="12.0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ht="12.0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ht="12.0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ht="12.0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ht="12.0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ht="12.0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ht="12.0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ht="12.0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ht="12.0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ht="12.0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ht="12.0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ht="12.0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ht="12.0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ht="12.0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ht="12.0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ht="12.0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ht="12.0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ht="12.0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ht="12.0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ht="12.0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ht="12.0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ht="12.0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ht="12.0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ht="12.0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ht="12.0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ht="12.0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ht="12.0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ht="12.0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ht="12.0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ht="12.0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ht="12.0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ht="12.0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ht="12.0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ht="12.0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ht="12.0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ht="12.0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ht="12.0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ht="12.0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ht="12.0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ht="12.0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ht="12.0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ht="12.0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ht="12.0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ht="12.0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ht="12.0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ht="12.0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ht="12.0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ht="12.0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ht="12.0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ht="12.0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ht="12.0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ht="12.0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ht="12.0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ht="12.0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ht="12.0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ht="12.0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ht="12.0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ht="12.0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ht="12.0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ht="12.0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ht="12.0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ht="12.0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ht="12.0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ht="12.0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ht="12.0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ht="12.0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ht="12.0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ht="12.0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ht="12.0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ht="12.0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ht="12.0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ht="12.0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ht="12.0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ht="12.0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ht="12.0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ht="12.0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ht="12.0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ht="12.0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ht="12.0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ht="12.0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ht="12.0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ht="12.0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ht="12.0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ht="12.0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ht="12.0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ht="12.0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ht="12.0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ht="12.0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ht="12.0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ht="12.0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ht="12.0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ht="12.0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ht="12.0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ht="12.0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ht="12.0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ht="12.0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ht="12.0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ht="12.0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ht="12.0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ht="12.0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ht="12.0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ht="12.0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ht="12.0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ht="12.0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ht="12.0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ht="12.0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ht="12.0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ht="12.0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ht="12.0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ht="12.0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ht="12.0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ht="12.0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ht="12.0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ht="12.0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ht="12.0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ht="12.0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ht="12.0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ht="12.0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ht="12.0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ht="12.0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ht="12.0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ht="12.0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ht="12.0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ht="12.0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ht="12.0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ht="12.0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ht="12.0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ht="12.0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ht="12.0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ht="12.0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ht="12.0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ht="12.0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ht="12.0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ht="12.0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ht="12.0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ht="12.0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ht="12.0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ht="12.0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ht="12.0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ht="12.0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ht="12.0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ht="12.0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ht="12.0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ht="12.0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ht="12.0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ht="12.0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ht="12.0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ht="12.0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ht="12.0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ht="12.0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ht="12.0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ht="12.0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ht="12.0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ht="12.0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ht="12.0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ht="12.0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ht="12.0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ht="12.0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ht="12.0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ht="12.0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ht="12.0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ht="12.0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ht="12.0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ht="12.0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ht="12.0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ht="12.0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ht="12.0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ht="12.0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ht="12.0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ht="12.0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ht="12.0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ht="12.0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ht="12.0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ht="12.0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ht="12.0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ht="12.0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ht="12.0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ht="12.0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ht="12.0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ht="12.0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ht="12.0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ht="12.0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ht="12.0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ht="12.0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ht="12.0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ht="12.0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ht="12.0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ht="12.0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ht="12.0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ht="12.0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ht="12.0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ht="12.0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ht="12.0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ht="12.0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ht="12.0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ht="12.0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ht="12.0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ht="12.0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ht="12.0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ht="12.0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ht="12.0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ht="12.0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ht="12.0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ht="12.0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ht="12.0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ht="12.0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ht="12.0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ht="12.0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ht="12.0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ht="12.0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ht="12.0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ht="12.0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ht="12.0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ht="12.0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ht="12.0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ht="12.0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ht="12.0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ht="12.0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ht="12.0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ht="12.0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ht="12.0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ht="12.0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ht="12.0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ht="12.0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ht="12.0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ht="12.0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ht="12.0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ht="12.0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ht="12.0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ht="12.0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ht="12.0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ht="12.0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ht="12.0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ht="12.0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ht="12.0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ht="12.0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ht="12.0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ht="12.0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ht="12.0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ht="12.0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ht="12.0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ht="12.0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ht="12.0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ht="12.0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ht="12.0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ht="12.0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ht="12.0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ht="12.0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ht="12.0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ht="12.0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ht="12.0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ht="12.0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ht="12.0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ht="12.0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ht="12.0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ht="12.0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ht="12.0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ht="12.0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ht="12.0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ht="12.0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ht="12.0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ht="12.0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ht="12.0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ht="12.0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ht="12.0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ht="12.0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ht="12.0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ht="12.0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ht="12.0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ht="12.0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ht="12.0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ht="12.0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ht="12.0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ht="12.0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ht="12.0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ht="12.0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ht="12.0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ht="12.0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ht="12.0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ht="12.0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ht="12.0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ht="12.0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ht="12.0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ht="12.0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ht="12.0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ht="12.0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ht="12.0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ht="12.0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ht="12.0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ht="12.0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ht="12.0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ht="12.0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ht="12.0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ht="12.0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ht="12.0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ht="12.0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ht="12.0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ht="12.0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ht="12.0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ht="12.0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ht="12.0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ht="12.0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ht="12.0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ht="12.0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ht="12.0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ht="12.0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ht="12.0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ht="12.0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ht="12.0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ht="12.0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ht="12.0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ht="12.0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ht="12.0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ht="12.0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ht="12.0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ht="12.0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ht="12.0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ht="12.0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ht="12.0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ht="12.0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ht="12.0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ht="12.0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ht="12.0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ht="12.0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ht="12.0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ht="12.0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ht="12.0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ht="12.0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ht="12.0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ht="12.0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ht="12.0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ht="12.0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ht="12.0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ht="12.0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ht="12.0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ht="12.0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ht="12.0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ht="12.0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ht="12.0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ht="12.0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ht="12.0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ht="12.0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ht="12.0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ht="12.0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ht="12.0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ht="12.0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ht="12.0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ht="12.0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ht="12.0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ht="12.0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ht="12.0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ht="12.0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ht="12.0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ht="12.0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ht="12.0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ht="12.0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ht="12.0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ht="12.0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ht="12.0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ht="12.0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ht="12.0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ht="12.0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ht="12.0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ht="12.0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ht="12.0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ht="12.0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ht="12.0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ht="12.0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ht="12.0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ht="12.0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ht="12.0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ht="12.0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ht="12.0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ht="12.0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ht="12.0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ht="12.0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ht="12.0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ht="12.0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ht="12.0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ht="12.0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ht="12.0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ht="12.0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ht="12.0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ht="12.0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ht="12.0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ht="12.0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ht="12.0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ht="12.0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ht="12.0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ht="12.0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ht="12.0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ht="12.0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ht="12.0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ht="12.0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ht="12.0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ht="12.0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ht="12.0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ht="12.0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ht="12.0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ht="12.0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ht="12.0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ht="12.0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ht="12.0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ht="12.0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ht="12.0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ht="12.0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ht="12.0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ht="12.0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ht="12.0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ht="12.0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ht="12.0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ht="12.0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ht="12.0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ht="12.0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ht="12.0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ht="12.0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ht="12.0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ht="12.0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ht="12.0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ht="12.0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ht="12.0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ht="12.0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ht="12.0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ht="12.0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ht="12.0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ht="12.0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ht="12.0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ht="12.0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ht="12.0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ht="12.0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ht="12.0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ht="12.0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ht="12.0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ht="12.0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ht="12.0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ht="12.0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ht="12.0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ht="12.0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ht="12.0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ht="12.0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ht="12.0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ht="12.0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ht="12.0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ht="12.0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ht="12.0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ht="12.0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ht="12.0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ht="12.0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ht="12.0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ht="12.0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ht="12.0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ht="12.0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ht="12.0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ht="12.0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ht="12.0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ht="12.0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ht="12.0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ht="12.0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ht="12.0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ht="12.0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ht="12.0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ht="12.0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ht="12.0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ht="12.0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ht="12.0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ht="12.0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ht="12.0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ht="12.0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ht="12.0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ht="12.0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ht="12.0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ht="12.0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ht="12.0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ht="12.0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ht="12.0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ht="12.0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ht="12.0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ht="12.0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ht="12.0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ht="12.0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ht="12.0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ht="12.0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ht="12.0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ht="12.0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ht="12.0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ht="12.0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ht="12.0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ht="12.0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ht="12.0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ht="12.0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ht="12.0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ht="12.0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ht="12.0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ht="12.0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ht="12.0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ht="12.0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ht="12.0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ht="12.0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ht="12.0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ht="12.0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ht="12.0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ht="12.0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ht="12.0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ht="12.0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71" t="s">
        <v>96</v>
      </c>
      <c r="B1" s="71"/>
      <c r="C1" s="71" t="s">
        <v>35</v>
      </c>
    </row>
    <row r="2">
      <c r="A2" s="71" t="s">
        <v>97</v>
      </c>
      <c r="B2" s="71" t="s">
        <v>98</v>
      </c>
      <c r="C2" s="71" t="s">
        <v>99</v>
      </c>
    </row>
    <row r="3">
      <c r="A3" s="71">
        <v>5.0</v>
      </c>
      <c r="B3" s="71"/>
      <c r="C3" s="71" t="s">
        <v>100</v>
      </c>
      <c r="D3" s="71"/>
    </row>
    <row r="4">
      <c r="A4" s="213">
        <v>7.0</v>
      </c>
      <c r="B4" s="71"/>
      <c r="C4" s="71" t="s">
        <v>101</v>
      </c>
      <c r="D4" s="71"/>
    </row>
    <row r="5">
      <c r="A5" s="71">
        <v>10.0</v>
      </c>
      <c r="B5" s="71"/>
      <c r="C5" s="71" t="s">
        <v>102</v>
      </c>
      <c r="D5" s="71"/>
    </row>
    <row r="6">
      <c r="A6" s="213">
        <v>3.0</v>
      </c>
      <c r="B6" s="71"/>
      <c r="C6" s="71" t="s">
        <v>103</v>
      </c>
      <c r="D6" s="71"/>
    </row>
    <row r="7">
      <c r="A7" s="213">
        <v>14.0</v>
      </c>
      <c r="B7" s="71"/>
      <c r="C7" s="71" t="s">
        <v>104</v>
      </c>
      <c r="D7" s="71"/>
    </row>
    <row r="8">
      <c r="A8" s="213">
        <v>16.0</v>
      </c>
      <c r="B8" s="71"/>
      <c r="C8" s="71" t="s">
        <v>105</v>
      </c>
      <c r="D8" s="71"/>
    </row>
    <row r="9">
      <c r="A9" s="71">
        <v>15.0</v>
      </c>
      <c r="B9" s="71"/>
      <c r="C9" s="71" t="s">
        <v>106</v>
      </c>
      <c r="D9" s="71"/>
    </row>
    <row r="10">
      <c r="A10" s="71">
        <v>11.0</v>
      </c>
      <c r="B10" s="71" t="s">
        <v>107</v>
      </c>
      <c r="C10" s="71" t="s">
        <v>108</v>
      </c>
      <c r="D10" s="71"/>
    </row>
    <row r="11">
      <c r="A11" s="71">
        <v>12.0</v>
      </c>
      <c r="B11" s="71"/>
      <c r="C11" s="71" t="s">
        <v>109</v>
      </c>
      <c r="D11" s="71"/>
    </row>
    <row r="12">
      <c r="A12" s="71">
        <v>9.0</v>
      </c>
      <c r="B12" s="71"/>
      <c r="C12" s="71" t="s">
        <v>110</v>
      </c>
      <c r="D12" s="71"/>
    </row>
    <row r="13">
      <c r="A13" s="71">
        <v>18.0</v>
      </c>
      <c r="B13" s="71"/>
      <c r="C13" s="71" t="s">
        <v>111</v>
      </c>
      <c r="D13" s="71"/>
    </row>
    <row r="14">
      <c r="A14" s="71">
        <v>2.0</v>
      </c>
      <c r="B14" s="71"/>
      <c r="C14" s="71" t="s">
        <v>112</v>
      </c>
      <c r="D14" s="7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4" t="s">
        <v>113</v>
      </c>
    </row>
    <row r="2">
      <c r="A2" s="215"/>
    </row>
    <row r="3">
      <c r="A3" s="215" t="s">
        <v>114</v>
      </c>
    </row>
    <row r="4">
      <c r="A4" s="214" t="s">
        <v>115</v>
      </c>
    </row>
    <row r="5">
      <c r="A5" s="214" t="s">
        <v>116</v>
      </c>
    </row>
    <row r="6">
      <c r="A6" s="216"/>
    </row>
    <row r="7">
      <c r="A7" s="216" t="s">
        <v>117</v>
      </c>
    </row>
    <row r="8">
      <c r="B8" s="217" t="s">
        <v>118</v>
      </c>
    </row>
    <row r="9">
      <c r="B9" s="218" t="s">
        <v>119</v>
      </c>
    </row>
    <row r="10">
      <c r="B10" s="217" t="s">
        <v>120</v>
      </c>
    </row>
    <row r="11">
      <c r="B11" s="217" t="s">
        <v>121</v>
      </c>
    </row>
    <row r="12">
      <c r="B12" s="218" t="s">
        <v>122</v>
      </c>
    </row>
    <row r="13">
      <c r="A13" s="216" t="s">
        <v>123</v>
      </c>
      <c r="B13" s="219"/>
    </row>
    <row r="14">
      <c r="B14" s="217" t="s">
        <v>124</v>
      </c>
    </row>
    <row r="15">
      <c r="B15" s="218" t="s">
        <v>125</v>
      </c>
    </row>
    <row r="16">
      <c r="B16" s="218" t="s">
        <v>126</v>
      </c>
    </row>
    <row r="17">
      <c r="B17" s="217" t="s">
        <v>127</v>
      </c>
    </row>
    <row r="18">
      <c r="B18" s="218" t="s">
        <v>128</v>
      </c>
    </row>
    <row r="19">
      <c r="A19" s="216" t="s">
        <v>129</v>
      </c>
      <c r="B19" s="219"/>
    </row>
    <row r="20">
      <c r="B20" s="217" t="s">
        <v>130</v>
      </c>
    </row>
    <row r="21">
      <c r="B21" s="218" t="s">
        <v>131</v>
      </c>
    </row>
    <row r="22">
      <c r="B22" s="217" t="s">
        <v>132</v>
      </c>
    </row>
    <row r="23">
      <c r="B23" s="217" t="s">
        <v>133</v>
      </c>
    </row>
    <row r="24">
      <c r="B24" s="217" t="s">
        <v>134</v>
      </c>
    </row>
    <row r="25">
      <c r="B25" s="218" t="s">
        <v>135</v>
      </c>
    </row>
    <row r="26">
      <c r="A26" s="216" t="s">
        <v>136</v>
      </c>
      <c r="B26" s="219"/>
    </row>
    <row r="27">
      <c r="B27" s="217" t="s">
        <v>130</v>
      </c>
    </row>
    <row r="28">
      <c r="B28" s="218" t="s">
        <v>137</v>
      </c>
    </row>
    <row r="29">
      <c r="B29" s="217" t="s">
        <v>138</v>
      </c>
    </row>
    <row r="30">
      <c r="B30" s="217" t="s">
        <v>139</v>
      </c>
    </row>
    <row r="31">
      <c r="B31" s="218" t="s">
        <v>140</v>
      </c>
    </row>
    <row r="32">
      <c r="A32" s="216" t="s">
        <v>141</v>
      </c>
      <c r="B32" s="219"/>
    </row>
    <row r="33">
      <c r="B33" s="218" t="s">
        <v>142</v>
      </c>
    </row>
    <row r="34">
      <c r="A34" s="215"/>
      <c r="B34" s="220"/>
    </row>
    <row r="35">
      <c r="A35" s="215" t="s">
        <v>143</v>
      </c>
      <c r="B35" s="220"/>
    </row>
    <row r="36">
      <c r="A36" s="214" t="s">
        <v>144</v>
      </c>
      <c r="B36" s="220"/>
    </row>
    <row r="37">
      <c r="A37" s="71" t="s">
        <v>145</v>
      </c>
      <c r="B37" s="220"/>
    </row>
    <row r="38">
      <c r="A38" s="214" t="s">
        <v>146</v>
      </c>
      <c r="B38" s="220"/>
    </row>
    <row r="39">
      <c r="A39" s="214" t="s">
        <v>147</v>
      </c>
      <c r="B39" s="220"/>
    </row>
    <row r="40">
      <c r="A40" s="215"/>
      <c r="B40" s="220"/>
    </row>
    <row r="41">
      <c r="A41" s="215" t="s">
        <v>148</v>
      </c>
      <c r="B41" s="220"/>
    </row>
    <row r="42">
      <c r="A42" s="214" t="s">
        <v>144</v>
      </c>
      <c r="B42" s="220"/>
    </row>
    <row r="43">
      <c r="A43" s="214" t="s">
        <v>149</v>
      </c>
      <c r="B43" s="220"/>
    </row>
  </sheetData>
  <drawing r:id="rId1"/>
</worksheet>
</file>