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lexReportGroup.Raw_25Hz " r:id="rId3" sheetId="1"/>
  </sheets>
</workbook>
</file>

<file path=xl/sharedStrings.xml><?xml version="1.0" encoding="utf-8"?>
<sst xmlns="http://schemas.openxmlformats.org/spreadsheetml/2006/main" count="6010" uniqueCount="3011">
  <si>
    <t>STARTDATE</t>
  </si>
  <si>
    <t>SubstationId</t>
  </si>
  <si>
    <t>VRM</t>
  </si>
  <si>
    <t>VRM:Quality</t>
  </si>
  <si>
    <t>IRM</t>
  </si>
  <si>
    <t>IRM:Quality</t>
  </si>
  <si>
    <t>MW</t>
  </si>
  <si>
    <t>MW:Quality</t>
  </si>
  <si>
    <t>MVar</t>
  </si>
  <si>
    <t>MVar:Quality</t>
  </si>
  <si>
    <t>2022-06-10 10:30:00.000</t>
  </si>
  <si>
    <t>AHEJ2_IP</t>
  </si>
  <si>
    <t>2022-06-10 10:30:00.040</t>
  </si>
  <si>
    <t>2022-06-10 10:30:00.080</t>
  </si>
  <si>
    <t>2022-06-10 10:30:00.120</t>
  </si>
  <si>
    <t>2022-06-10 10:30:00.160</t>
  </si>
  <si>
    <t>2022-06-10 10:30:00.200</t>
  </si>
  <si>
    <t>2022-06-10 10:30:00.240</t>
  </si>
  <si>
    <t>2022-06-10 10:30:00.280</t>
  </si>
  <si>
    <t>2022-06-10 10:30:00.320</t>
  </si>
  <si>
    <t>2022-06-10 10:30:00.360</t>
  </si>
  <si>
    <t>2022-06-10 10:30:00.400</t>
  </si>
  <si>
    <t>2022-06-10 10:30:00.440</t>
  </si>
  <si>
    <t>2022-06-10 10:30:00.480</t>
  </si>
  <si>
    <t>2022-06-10 10:30:00.520</t>
  </si>
  <si>
    <t>2022-06-10 10:30:00.560</t>
  </si>
  <si>
    <t>2022-06-10 10:30:00.600</t>
  </si>
  <si>
    <t>2022-06-10 10:30:00.640</t>
  </si>
  <si>
    <t>2022-06-10 10:30:00.680</t>
  </si>
  <si>
    <t>2022-06-10 10:30:00.720</t>
  </si>
  <si>
    <t>2022-06-10 10:30:00.760</t>
  </si>
  <si>
    <t>2022-06-10 10:30:00.800</t>
  </si>
  <si>
    <t>2022-06-10 10:30:00.840</t>
  </si>
  <si>
    <t>2022-06-10 10:30:00.880</t>
  </si>
  <si>
    <t>2022-06-10 10:30:00.920</t>
  </si>
  <si>
    <t>2022-06-10 10:30:00.960</t>
  </si>
  <si>
    <t>2022-06-10 10:30:01.000</t>
  </si>
  <si>
    <t>2022-06-10 10:30:01.040</t>
  </si>
  <si>
    <t>2022-06-10 10:30:01.080</t>
  </si>
  <si>
    <t>2022-06-10 10:30:01.120</t>
  </si>
  <si>
    <t>2022-06-10 10:30:01.160</t>
  </si>
  <si>
    <t>2022-06-10 10:30:01.200</t>
  </si>
  <si>
    <t>2022-06-10 10:30:01.240</t>
  </si>
  <si>
    <t>2022-06-10 10:30:01.280</t>
  </si>
  <si>
    <t>2022-06-10 10:30:01.320</t>
  </si>
  <si>
    <t>2022-06-10 10:30:01.360</t>
  </si>
  <si>
    <t>2022-06-10 10:30:01.400</t>
  </si>
  <si>
    <t>2022-06-10 10:30:01.440</t>
  </si>
  <si>
    <t>2022-06-10 10:30:01.480</t>
  </si>
  <si>
    <t>2022-06-10 10:30:01.520</t>
  </si>
  <si>
    <t>2022-06-10 10:30:01.560</t>
  </si>
  <si>
    <t>2022-06-10 10:30:01.600</t>
  </si>
  <si>
    <t>2022-06-10 10:30:01.640</t>
  </si>
  <si>
    <t>2022-06-10 10:30:01.680</t>
  </si>
  <si>
    <t>2022-06-10 10:30:01.720</t>
  </si>
  <si>
    <t>2022-06-10 10:30:01.760</t>
  </si>
  <si>
    <t>2022-06-10 10:30:01.800</t>
  </si>
  <si>
    <t>2022-06-10 10:30:01.840</t>
  </si>
  <si>
    <t>2022-06-10 10:30:01.880</t>
  </si>
  <si>
    <t>2022-06-10 10:30:01.920</t>
  </si>
  <si>
    <t>2022-06-10 10:30:01.960</t>
  </si>
  <si>
    <t>2022-06-10 10:30:02.000</t>
  </si>
  <si>
    <t>2022-06-10 10:30:02.040</t>
  </si>
  <si>
    <t>2022-06-10 10:30:02.080</t>
  </si>
  <si>
    <t>2022-06-10 10:30:02.120</t>
  </si>
  <si>
    <t>2022-06-10 10:30:02.160</t>
  </si>
  <si>
    <t>2022-06-10 10:30:02.200</t>
  </si>
  <si>
    <t>2022-06-10 10:30:02.240</t>
  </si>
  <si>
    <t>2022-06-10 10:30:02.280</t>
  </si>
  <si>
    <t>2022-06-10 10:30:02.320</t>
  </si>
  <si>
    <t>2022-06-10 10:30:02.360</t>
  </si>
  <si>
    <t>2022-06-10 10:30:02.400</t>
  </si>
  <si>
    <t>2022-06-10 10:30:02.440</t>
  </si>
  <si>
    <t>2022-06-10 10:30:02.480</t>
  </si>
  <si>
    <t>2022-06-10 10:30:02.520</t>
  </si>
  <si>
    <t>2022-06-10 10:30:02.560</t>
  </si>
  <si>
    <t>2022-06-10 10:30:02.600</t>
  </si>
  <si>
    <t>2022-06-10 10:30:02.640</t>
  </si>
  <si>
    <t>2022-06-10 10:30:02.680</t>
  </si>
  <si>
    <t>2022-06-10 10:30:02.720</t>
  </si>
  <si>
    <t>2022-06-10 10:30:02.760</t>
  </si>
  <si>
    <t>2022-06-10 10:30:02.800</t>
  </si>
  <si>
    <t>2022-06-10 10:30:02.840</t>
  </si>
  <si>
    <t>2022-06-10 10:30:02.880</t>
  </si>
  <si>
    <t>2022-06-10 10:30:02.920</t>
  </si>
  <si>
    <t>2022-06-10 10:30:02.960</t>
  </si>
  <si>
    <t>2022-06-10 10:30:03.000</t>
  </si>
  <si>
    <t>2022-06-10 10:30:03.040</t>
  </si>
  <si>
    <t>2022-06-10 10:30:03.080</t>
  </si>
  <si>
    <t>2022-06-10 10:30:03.120</t>
  </si>
  <si>
    <t>2022-06-10 10:30:03.160</t>
  </si>
  <si>
    <t>2022-06-10 10:30:03.200</t>
  </si>
  <si>
    <t>2022-06-10 10:30:03.240</t>
  </si>
  <si>
    <t>2022-06-10 10:30:03.280</t>
  </si>
  <si>
    <t>2022-06-10 10:30:03.320</t>
  </si>
  <si>
    <t>2022-06-10 10:30:03.360</t>
  </si>
  <si>
    <t>2022-06-10 10:30:03.400</t>
  </si>
  <si>
    <t>2022-06-10 10:30:03.440</t>
  </si>
  <si>
    <t>2022-06-10 10:30:03.480</t>
  </si>
  <si>
    <t>2022-06-10 10:30:03.520</t>
  </si>
  <si>
    <t>2022-06-10 10:30:03.560</t>
  </si>
  <si>
    <t>2022-06-10 10:30:03.600</t>
  </si>
  <si>
    <t>2022-06-10 10:30:03.640</t>
  </si>
  <si>
    <t>2022-06-10 10:30:03.680</t>
  </si>
  <si>
    <t>2022-06-10 10:30:03.720</t>
  </si>
  <si>
    <t>2022-06-10 10:30:03.760</t>
  </si>
  <si>
    <t>2022-06-10 10:30:03.800</t>
  </si>
  <si>
    <t>2022-06-10 10:30:03.840</t>
  </si>
  <si>
    <t>2022-06-10 10:30:03.880</t>
  </si>
  <si>
    <t>2022-06-10 10:30:03.920</t>
  </si>
  <si>
    <t>2022-06-10 10:30:03.960</t>
  </si>
  <si>
    <t>2022-06-10 10:30:04.000</t>
  </si>
  <si>
    <t>2022-06-10 10:30:04.040</t>
  </si>
  <si>
    <t>2022-06-10 10:30:04.080</t>
  </si>
  <si>
    <t>2022-06-10 10:30:04.120</t>
  </si>
  <si>
    <t>2022-06-10 10:30:04.160</t>
  </si>
  <si>
    <t>2022-06-10 10:30:04.200</t>
  </si>
  <si>
    <t>2022-06-10 10:30:04.240</t>
  </si>
  <si>
    <t>2022-06-10 10:30:04.280</t>
  </si>
  <si>
    <t>2022-06-10 10:30:04.320</t>
  </si>
  <si>
    <t>2022-06-10 10:30:04.360</t>
  </si>
  <si>
    <t>2022-06-10 10:30:04.400</t>
  </si>
  <si>
    <t>2022-06-10 10:30:04.440</t>
  </si>
  <si>
    <t>2022-06-10 10:30:04.480</t>
  </si>
  <si>
    <t>2022-06-10 10:30:04.520</t>
  </si>
  <si>
    <t>2022-06-10 10:30:04.560</t>
  </si>
  <si>
    <t>2022-06-10 10:30:04.600</t>
  </si>
  <si>
    <t>2022-06-10 10:30:04.640</t>
  </si>
  <si>
    <t>2022-06-10 10:30:04.680</t>
  </si>
  <si>
    <t>2022-06-10 10:30:04.720</t>
  </si>
  <si>
    <t>2022-06-10 10:30:04.760</t>
  </si>
  <si>
    <t>2022-06-10 10:30:04.800</t>
  </si>
  <si>
    <t>2022-06-10 10:30:04.840</t>
  </si>
  <si>
    <t>2022-06-10 10:30:04.880</t>
  </si>
  <si>
    <t>2022-06-10 10:30:04.920</t>
  </si>
  <si>
    <t>2022-06-10 10:30:04.960</t>
  </si>
  <si>
    <t>2022-06-10 10:30:05.000</t>
  </si>
  <si>
    <t>2022-06-10 10:30:05.040</t>
  </si>
  <si>
    <t>2022-06-10 10:30:05.080</t>
  </si>
  <si>
    <t>2022-06-10 10:30:05.120</t>
  </si>
  <si>
    <t>2022-06-10 10:30:05.160</t>
  </si>
  <si>
    <t>2022-06-10 10:30:05.200</t>
  </si>
  <si>
    <t>2022-06-10 10:30:05.240</t>
  </si>
  <si>
    <t>2022-06-10 10:30:05.280</t>
  </si>
  <si>
    <t>2022-06-10 10:30:05.320</t>
  </si>
  <si>
    <t>2022-06-10 10:30:05.360</t>
  </si>
  <si>
    <t>2022-06-10 10:30:05.400</t>
  </si>
  <si>
    <t>2022-06-10 10:30:05.440</t>
  </si>
  <si>
    <t>2022-06-10 10:30:05.480</t>
  </si>
  <si>
    <t>2022-06-10 10:30:05.520</t>
  </si>
  <si>
    <t>2022-06-10 10:30:05.560</t>
  </si>
  <si>
    <t>2022-06-10 10:30:05.600</t>
  </si>
  <si>
    <t>2022-06-10 10:30:05.640</t>
  </si>
  <si>
    <t>2022-06-10 10:30:05.680</t>
  </si>
  <si>
    <t>2022-06-10 10:30:05.720</t>
  </si>
  <si>
    <t>2022-06-10 10:30:05.760</t>
  </si>
  <si>
    <t>2022-06-10 10:30:05.800</t>
  </si>
  <si>
    <t>2022-06-10 10:30:05.840</t>
  </si>
  <si>
    <t>2022-06-10 10:30:05.880</t>
  </si>
  <si>
    <t>2022-06-10 10:30:05.920</t>
  </si>
  <si>
    <t>2022-06-10 10:30:05.960</t>
  </si>
  <si>
    <t>2022-06-10 10:30:06.000</t>
  </si>
  <si>
    <t>2022-06-10 10:30:06.040</t>
  </si>
  <si>
    <t>2022-06-10 10:30:06.080</t>
  </si>
  <si>
    <t>2022-06-10 10:30:06.120</t>
  </si>
  <si>
    <t>2022-06-10 10:30:06.160</t>
  </si>
  <si>
    <t>2022-06-10 10:30:06.200</t>
  </si>
  <si>
    <t>2022-06-10 10:30:06.240</t>
  </si>
  <si>
    <t>2022-06-10 10:30:06.280</t>
  </si>
  <si>
    <t>2022-06-10 10:30:06.320</t>
  </si>
  <si>
    <t>2022-06-10 10:30:06.360</t>
  </si>
  <si>
    <t>2022-06-10 10:30:06.400</t>
  </si>
  <si>
    <t>2022-06-10 10:30:06.440</t>
  </si>
  <si>
    <t>2022-06-10 10:30:06.480</t>
  </si>
  <si>
    <t>2022-06-10 10:30:06.520</t>
  </si>
  <si>
    <t>2022-06-10 10:30:06.560</t>
  </si>
  <si>
    <t>2022-06-10 10:30:06.600</t>
  </si>
  <si>
    <t>2022-06-10 10:30:06.640</t>
  </si>
  <si>
    <t>2022-06-10 10:30:06.680</t>
  </si>
  <si>
    <t>2022-06-10 10:30:06.720</t>
  </si>
  <si>
    <t>2022-06-10 10:30:06.760</t>
  </si>
  <si>
    <t>2022-06-10 10:30:06.800</t>
  </si>
  <si>
    <t>2022-06-10 10:30:06.840</t>
  </si>
  <si>
    <t>2022-06-10 10:30:06.880</t>
  </si>
  <si>
    <t>2022-06-10 10:30:06.920</t>
  </si>
  <si>
    <t>2022-06-10 10:30:06.960</t>
  </si>
  <si>
    <t>2022-06-10 10:30:07.000</t>
  </si>
  <si>
    <t>2022-06-10 10:30:07.040</t>
  </si>
  <si>
    <t>2022-06-10 10:30:07.080</t>
  </si>
  <si>
    <t>2022-06-10 10:30:07.120</t>
  </si>
  <si>
    <t>2022-06-10 10:30:07.160</t>
  </si>
  <si>
    <t>2022-06-10 10:30:07.200</t>
  </si>
  <si>
    <t>2022-06-10 10:30:07.240</t>
  </si>
  <si>
    <t>2022-06-10 10:30:07.280</t>
  </si>
  <si>
    <t>2022-06-10 10:30:07.320</t>
  </si>
  <si>
    <t>2022-06-10 10:30:07.360</t>
  </si>
  <si>
    <t>2022-06-10 10:30:07.400</t>
  </si>
  <si>
    <t>2022-06-10 10:30:07.440</t>
  </si>
  <si>
    <t>2022-06-10 10:30:07.480</t>
  </si>
  <si>
    <t>2022-06-10 10:30:07.520</t>
  </si>
  <si>
    <t>2022-06-10 10:30:07.560</t>
  </si>
  <si>
    <t>2022-06-10 10:30:07.600</t>
  </si>
  <si>
    <t>2022-06-10 10:30:07.640</t>
  </si>
  <si>
    <t>2022-06-10 10:30:07.680</t>
  </si>
  <si>
    <t>2022-06-10 10:30:07.720</t>
  </si>
  <si>
    <t>2022-06-10 10:30:07.760</t>
  </si>
  <si>
    <t>2022-06-10 10:30:07.800</t>
  </si>
  <si>
    <t>2022-06-10 10:30:07.840</t>
  </si>
  <si>
    <t>2022-06-10 10:30:07.880</t>
  </si>
  <si>
    <t>2022-06-10 10:30:07.920</t>
  </si>
  <si>
    <t>2022-06-10 10:30:07.960</t>
  </si>
  <si>
    <t>2022-06-10 10:30:08.000</t>
  </si>
  <si>
    <t>2022-06-10 10:30:08.040</t>
  </si>
  <si>
    <t>2022-06-10 10:30:08.080</t>
  </si>
  <si>
    <t>2022-06-10 10:30:08.120</t>
  </si>
  <si>
    <t>2022-06-10 10:30:08.160</t>
  </si>
  <si>
    <t>2022-06-10 10:30:08.200</t>
  </si>
  <si>
    <t>2022-06-10 10:30:08.240</t>
  </si>
  <si>
    <t>2022-06-10 10:30:08.280</t>
  </si>
  <si>
    <t>2022-06-10 10:30:08.320</t>
  </si>
  <si>
    <t>2022-06-10 10:30:08.360</t>
  </si>
  <si>
    <t>2022-06-10 10:30:08.400</t>
  </si>
  <si>
    <t>2022-06-10 10:30:08.440</t>
  </si>
  <si>
    <t>2022-06-10 10:30:08.480</t>
  </si>
  <si>
    <t>2022-06-10 10:30:08.520</t>
  </si>
  <si>
    <t>2022-06-10 10:30:08.560</t>
  </si>
  <si>
    <t>2022-06-10 10:30:08.600</t>
  </si>
  <si>
    <t>2022-06-10 10:30:08.640</t>
  </si>
  <si>
    <t>2022-06-10 10:30:08.680</t>
  </si>
  <si>
    <t>2022-06-10 10:30:08.720</t>
  </si>
  <si>
    <t>2022-06-10 10:30:08.760</t>
  </si>
  <si>
    <t>2022-06-10 10:30:08.800</t>
  </si>
  <si>
    <t>2022-06-10 10:30:08.840</t>
  </si>
  <si>
    <t>2022-06-10 10:30:08.880</t>
  </si>
  <si>
    <t>2022-06-10 10:30:08.920</t>
  </si>
  <si>
    <t>2022-06-10 10:30:08.960</t>
  </si>
  <si>
    <t>2022-06-10 10:30:09.000</t>
  </si>
  <si>
    <t>2022-06-10 10:30:09.040</t>
  </si>
  <si>
    <t>2022-06-10 10:30:09.080</t>
  </si>
  <si>
    <t>2022-06-10 10:30:09.120</t>
  </si>
  <si>
    <t>2022-06-10 10:30:09.160</t>
  </si>
  <si>
    <t>2022-06-10 10:30:09.200</t>
  </si>
  <si>
    <t>2022-06-10 10:30:09.240</t>
  </si>
  <si>
    <t>2022-06-10 10:30:09.280</t>
  </si>
  <si>
    <t>2022-06-10 10:30:09.320</t>
  </si>
  <si>
    <t>2022-06-10 10:30:09.360</t>
  </si>
  <si>
    <t>2022-06-10 10:30:09.400</t>
  </si>
  <si>
    <t>2022-06-10 10:30:09.440</t>
  </si>
  <si>
    <t>2022-06-10 10:30:09.480</t>
  </si>
  <si>
    <t>2022-06-10 10:30:09.520</t>
  </si>
  <si>
    <t>2022-06-10 10:30:09.560</t>
  </si>
  <si>
    <t>2022-06-10 10:30:09.600</t>
  </si>
  <si>
    <t>2022-06-10 10:30:09.640</t>
  </si>
  <si>
    <t>2022-06-10 10:30:09.680</t>
  </si>
  <si>
    <t>2022-06-10 10:30:09.720</t>
  </si>
  <si>
    <t>2022-06-10 10:30:09.760</t>
  </si>
  <si>
    <t>2022-06-10 10:30:09.800</t>
  </si>
  <si>
    <t>2022-06-10 10:30:09.840</t>
  </si>
  <si>
    <t>2022-06-10 10:30:09.880</t>
  </si>
  <si>
    <t>2022-06-10 10:30:09.920</t>
  </si>
  <si>
    <t>2022-06-10 10:30:09.960</t>
  </si>
  <si>
    <t>2022-06-10 10:30:10.000</t>
  </si>
  <si>
    <t>2022-06-10 10:30:10.040</t>
  </si>
  <si>
    <t>2022-06-10 10:30:10.080</t>
  </si>
  <si>
    <t>2022-06-10 10:30:10.120</t>
  </si>
  <si>
    <t>2022-06-10 10:30:10.160</t>
  </si>
  <si>
    <t>2022-06-10 10:30:10.200</t>
  </si>
  <si>
    <t>2022-06-10 10:30:10.240</t>
  </si>
  <si>
    <t>2022-06-10 10:30:10.280</t>
  </si>
  <si>
    <t>2022-06-10 10:30:10.320</t>
  </si>
  <si>
    <t>2022-06-10 10:30:10.360</t>
  </si>
  <si>
    <t>2022-06-10 10:30:10.400</t>
  </si>
  <si>
    <t>2022-06-10 10:30:10.440</t>
  </si>
  <si>
    <t>2022-06-10 10:30:10.480</t>
  </si>
  <si>
    <t>2022-06-10 10:30:10.520</t>
  </si>
  <si>
    <t>2022-06-10 10:30:10.560</t>
  </si>
  <si>
    <t>2022-06-10 10:30:10.600</t>
  </si>
  <si>
    <t>2022-06-10 10:30:10.640</t>
  </si>
  <si>
    <t>2022-06-10 10:30:10.680</t>
  </si>
  <si>
    <t>2022-06-10 10:30:10.720</t>
  </si>
  <si>
    <t>2022-06-10 10:30:10.760</t>
  </si>
  <si>
    <t>2022-06-10 10:30:10.800</t>
  </si>
  <si>
    <t>2022-06-10 10:30:10.840</t>
  </si>
  <si>
    <t>2022-06-10 10:30:10.880</t>
  </si>
  <si>
    <t>2022-06-10 10:30:10.920</t>
  </si>
  <si>
    <t>2022-06-10 10:30:10.960</t>
  </si>
  <si>
    <t>2022-06-10 10:30:11.000</t>
  </si>
  <si>
    <t>2022-06-10 10:30:11.040</t>
  </si>
  <si>
    <t>2022-06-10 10:30:11.080</t>
  </si>
  <si>
    <t>2022-06-10 10:30:11.120</t>
  </si>
  <si>
    <t>2022-06-10 10:30:11.160</t>
  </si>
  <si>
    <t>2022-06-10 10:30:11.200</t>
  </si>
  <si>
    <t>2022-06-10 10:30:11.240</t>
  </si>
  <si>
    <t>2022-06-10 10:30:11.280</t>
  </si>
  <si>
    <t>2022-06-10 10:30:11.320</t>
  </si>
  <si>
    <t>2022-06-10 10:30:11.360</t>
  </si>
  <si>
    <t>2022-06-10 10:30:11.400</t>
  </si>
  <si>
    <t>2022-06-10 10:30:11.440</t>
  </si>
  <si>
    <t>2022-06-10 10:30:11.480</t>
  </si>
  <si>
    <t>2022-06-10 10:30:11.520</t>
  </si>
  <si>
    <t>2022-06-10 10:30:11.560</t>
  </si>
  <si>
    <t>2022-06-10 10:30:11.600</t>
  </si>
  <si>
    <t>2022-06-10 10:30:11.640</t>
  </si>
  <si>
    <t>2022-06-10 10:30:11.680</t>
  </si>
  <si>
    <t>2022-06-10 10:30:11.720</t>
  </si>
  <si>
    <t>2022-06-10 10:30:11.760</t>
  </si>
  <si>
    <t>2022-06-10 10:30:11.800</t>
  </si>
  <si>
    <t>2022-06-10 10:30:11.840</t>
  </si>
  <si>
    <t>2022-06-10 10:30:11.880</t>
  </si>
  <si>
    <t>2022-06-10 10:30:11.920</t>
  </si>
  <si>
    <t>2022-06-10 10:30:11.960</t>
  </si>
  <si>
    <t>2022-06-10 10:30:12.000</t>
  </si>
  <si>
    <t>2022-06-10 10:30:12.040</t>
  </si>
  <si>
    <t>2022-06-10 10:30:12.080</t>
  </si>
  <si>
    <t>2022-06-10 10:30:12.120</t>
  </si>
  <si>
    <t>2022-06-10 10:30:12.160</t>
  </si>
  <si>
    <t>2022-06-10 10:30:12.200</t>
  </si>
  <si>
    <t>2022-06-10 10:30:12.240</t>
  </si>
  <si>
    <t>2022-06-10 10:30:12.280</t>
  </si>
  <si>
    <t>2022-06-10 10:30:12.320</t>
  </si>
  <si>
    <t>2022-06-10 10:30:12.360</t>
  </si>
  <si>
    <t>2022-06-10 10:30:12.400</t>
  </si>
  <si>
    <t>2022-06-10 10:30:12.440</t>
  </si>
  <si>
    <t>2022-06-10 10:30:12.480</t>
  </si>
  <si>
    <t>2022-06-10 10:30:12.520</t>
  </si>
  <si>
    <t>2022-06-10 10:30:12.560</t>
  </si>
  <si>
    <t>2022-06-10 10:30:12.600</t>
  </si>
  <si>
    <t>2022-06-10 10:30:12.640</t>
  </si>
  <si>
    <t>2022-06-10 10:30:12.680</t>
  </si>
  <si>
    <t>2022-06-10 10:30:12.720</t>
  </si>
  <si>
    <t>2022-06-10 10:30:12.760</t>
  </si>
  <si>
    <t>2022-06-10 10:30:12.800</t>
  </si>
  <si>
    <t>2022-06-10 10:30:12.840</t>
  </si>
  <si>
    <t>2022-06-10 10:30:12.880</t>
  </si>
  <si>
    <t>2022-06-10 10:30:12.920</t>
  </si>
  <si>
    <t>2022-06-10 10:30:12.960</t>
  </si>
  <si>
    <t>2022-06-10 10:30:13.000</t>
  </si>
  <si>
    <t>2022-06-10 10:30:13.040</t>
  </si>
  <si>
    <t>2022-06-10 10:30:13.080</t>
  </si>
  <si>
    <t>2022-06-10 10:30:13.120</t>
  </si>
  <si>
    <t>2022-06-10 10:30:13.160</t>
  </si>
  <si>
    <t>2022-06-10 10:30:13.200</t>
  </si>
  <si>
    <t>2022-06-10 10:30:13.240</t>
  </si>
  <si>
    <t>2022-06-10 10:30:13.280</t>
  </si>
  <si>
    <t>2022-06-10 10:30:13.320</t>
  </si>
  <si>
    <t>2022-06-10 10:30:13.360</t>
  </si>
  <si>
    <t>2022-06-10 10:30:13.400</t>
  </si>
  <si>
    <t>2022-06-10 10:30:13.440</t>
  </si>
  <si>
    <t>2022-06-10 10:30:13.480</t>
  </si>
  <si>
    <t>2022-06-10 10:30:13.520</t>
  </si>
  <si>
    <t>2022-06-10 10:30:13.560</t>
  </si>
  <si>
    <t>2022-06-10 10:30:13.600</t>
  </si>
  <si>
    <t>2022-06-10 10:30:13.640</t>
  </si>
  <si>
    <t>2022-06-10 10:30:13.680</t>
  </si>
  <si>
    <t>2022-06-10 10:30:13.720</t>
  </si>
  <si>
    <t>2022-06-10 10:30:13.760</t>
  </si>
  <si>
    <t>2022-06-10 10:30:13.800</t>
  </si>
  <si>
    <t>2022-06-10 10:30:13.840</t>
  </si>
  <si>
    <t>2022-06-10 10:30:13.880</t>
  </si>
  <si>
    <t>2022-06-10 10:30:13.920</t>
  </si>
  <si>
    <t>2022-06-10 10:30:13.960</t>
  </si>
  <si>
    <t>2022-06-10 10:30:14.000</t>
  </si>
  <si>
    <t>2022-06-10 10:30:14.040</t>
  </si>
  <si>
    <t>2022-06-10 10:30:14.080</t>
  </si>
  <si>
    <t>2022-06-10 10:30:14.120</t>
  </si>
  <si>
    <t>2022-06-10 10:30:14.160</t>
  </si>
  <si>
    <t>2022-06-10 10:30:14.200</t>
  </si>
  <si>
    <t>2022-06-10 10:30:14.240</t>
  </si>
  <si>
    <t>2022-06-10 10:30:14.280</t>
  </si>
  <si>
    <t>2022-06-10 10:30:14.320</t>
  </si>
  <si>
    <t>2022-06-10 10:30:14.360</t>
  </si>
  <si>
    <t>2022-06-10 10:30:14.400</t>
  </si>
  <si>
    <t>2022-06-10 10:30:14.440</t>
  </si>
  <si>
    <t>2022-06-10 10:30:14.480</t>
  </si>
  <si>
    <t>2022-06-10 10:30:14.520</t>
  </si>
  <si>
    <t>2022-06-10 10:30:14.560</t>
  </si>
  <si>
    <t>2022-06-10 10:30:14.600</t>
  </si>
  <si>
    <t>2022-06-10 10:30:14.640</t>
  </si>
  <si>
    <t>2022-06-10 10:30:14.680</t>
  </si>
  <si>
    <t>2022-06-10 10:30:14.720</t>
  </si>
  <si>
    <t>2022-06-10 10:30:14.760</t>
  </si>
  <si>
    <t>2022-06-10 10:30:14.800</t>
  </si>
  <si>
    <t>2022-06-10 10:30:14.840</t>
  </si>
  <si>
    <t>2022-06-10 10:30:14.880</t>
  </si>
  <si>
    <t>2022-06-10 10:30:14.920</t>
  </si>
  <si>
    <t>2022-06-10 10:30:14.960</t>
  </si>
  <si>
    <t>2022-06-10 10:30:15.000</t>
  </si>
  <si>
    <t>2022-06-10 10:30:15.040</t>
  </si>
  <si>
    <t>2022-06-10 10:30:15.080</t>
  </si>
  <si>
    <t>2022-06-10 10:30:15.120</t>
  </si>
  <si>
    <t>2022-06-10 10:30:15.160</t>
  </si>
  <si>
    <t>2022-06-10 10:30:15.200</t>
  </si>
  <si>
    <t>2022-06-10 10:30:15.240</t>
  </si>
  <si>
    <t>2022-06-10 10:30:15.280</t>
  </si>
  <si>
    <t>2022-06-10 10:30:15.320</t>
  </si>
  <si>
    <t>2022-06-10 10:30:15.360</t>
  </si>
  <si>
    <t>2022-06-10 10:30:15.400</t>
  </si>
  <si>
    <t>2022-06-10 10:30:15.440</t>
  </si>
  <si>
    <t>2022-06-10 10:30:15.480</t>
  </si>
  <si>
    <t>2022-06-10 10:30:15.520</t>
  </si>
  <si>
    <t>2022-06-10 10:30:15.560</t>
  </si>
  <si>
    <t>2022-06-10 10:30:15.600</t>
  </si>
  <si>
    <t>2022-06-10 10:30:15.640</t>
  </si>
  <si>
    <t>2022-06-10 10:30:15.680</t>
  </si>
  <si>
    <t>2022-06-10 10:30:15.720</t>
  </si>
  <si>
    <t>2022-06-10 10:30:15.760</t>
  </si>
  <si>
    <t>2022-06-10 10:30:15.800</t>
  </si>
  <si>
    <t>2022-06-10 10:30:15.840</t>
  </si>
  <si>
    <t>2022-06-10 10:30:15.880</t>
  </si>
  <si>
    <t>2022-06-10 10:30:15.920</t>
  </si>
  <si>
    <t>2022-06-10 10:30:15.960</t>
  </si>
  <si>
    <t>2022-06-10 10:30:16.000</t>
  </si>
  <si>
    <t>2022-06-10 10:30:16.040</t>
  </si>
  <si>
    <t>2022-06-10 10:30:16.080</t>
  </si>
  <si>
    <t>2022-06-10 10:30:16.120</t>
  </si>
  <si>
    <t>2022-06-10 10:30:16.160</t>
  </si>
  <si>
    <t>2022-06-10 10:30:16.200</t>
  </si>
  <si>
    <t>2022-06-10 10:30:16.240</t>
  </si>
  <si>
    <t>2022-06-10 10:30:16.280</t>
  </si>
  <si>
    <t>2022-06-10 10:30:16.320</t>
  </si>
  <si>
    <t>2022-06-10 10:30:16.360</t>
  </si>
  <si>
    <t>2022-06-10 10:30:16.400</t>
  </si>
  <si>
    <t>2022-06-10 10:30:16.440</t>
  </si>
  <si>
    <t>2022-06-10 10:30:16.480</t>
  </si>
  <si>
    <t>2022-06-10 10:30:16.520</t>
  </si>
  <si>
    <t>2022-06-10 10:30:16.560</t>
  </si>
  <si>
    <t>2022-06-10 10:30:16.600</t>
  </si>
  <si>
    <t>2022-06-10 10:30:16.640</t>
  </si>
  <si>
    <t>2022-06-10 10:30:16.680</t>
  </si>
  <si>
    <t>2022-06-10 10:30:16.720</t>
  </si>
  <si>
    <t>2022-06-10 10:30:16.760</t>
  </si>
  <si>
    <t>2022-06-10 10:30:16.800</t>
  </si>
  <si>
    <t>2022-06-10 10:30:16.840</t>
  </si>
  <si>
    <t>2022-06-10 10:30:16.880</t>
  </si>
  <si>
    <t>2022-06-10 10:30:16.920</t>
  </si>
  <si>
    <t>2022-06-10 10:30:16.960</t>
  </si>
  <si>
    <t>2022-06-10 10:30:17.000</t>
  </si>
  <si>
    <t>2022-06-10 10:30:17.040</t>
  </si>
  <si>
    <t>2022-06-10 10:30:17.080</t>
  </si>
  <si>
    <t>2022-06-10 10:30:17.120</t>
  </si>
  <si>
    <t>2022-06-10 10:30:17.160</t>
  </si>
  <si>
    <t>2022-06-10 10:30:17.200</t>
  </si>
  <si>
    <t>2022-06-10 10:30:17.240</t>
  </si>
  <si>
    <t>2022-06-10 10:30:17.280</t>
  </si>
  <si>
    <t>2022-06-10 10:30:17.320</t>
  </si>
  <si>
    <t>2022-06-10 10:30:17.360</t>
  </si>
  <si>
    <t>2022-06-10 10:30:17.400</t>
  </si>
  <si>
    <t>2022-06-10 10:30:17.440</t>
  </si>
  <si>
    <t>2022-06-10 10:30:17.480</t>
  </si>
  <si>
    <t>2022-06-10 10:30:17.520</t>
  </si>
  <si>
    <t>2022-06-10 10:30:17.560</t>
  </si>
  <si>
    <t>2022-06-10 10:30:17.600</t>
  </si>
  <si>
    <t>2022-06-10 10:30:17.640</t>
  </si>
  <si>
    <t>2022-06-10 10:30:17.680</t>
  </si>
  <si>
    <t>2022-06-10 10:30:17.720</t>
  </si>
  <si>
    <t>2022-06-10 10:30:17.760</t>
  </si>
  <si>
    <t>2022-06-10 10:30:17.800</t>
  </si>
  <si>
    <t>2022-06-10 10:30:17.840</t>
  </si>
  <si>
    <t>2022-06-10 10:30:17.880</t>
  </si>
  <si>
    <t>2022-06-10 10:30:17.920</t>
  </si>
  <si>
    <t>2022-06-10 10:30:17.960</t>
  </si>
  <si>
    <t>2022-06-10 10:30:18.000</t>
  </si>
  <si>
    <t>2022-06-10 10:30:18.040</t>
  </si>
  <si>
    <t>2022-06-10 10:30:18.080</t>
  </si>
  <si>
    <t>2022-06-10 10:30:18.120</t>
  </si>
  <si>
    <t>2022-06-10 10:30:18.160</t>
  </si>
  <si>
    <t>2022-06-10 10:30:18.200</t>
  </si>
  <si>
    <t>2022-06-10 10:30:18.240</t>
  </si>
  <si>
    <t>2022-06-10 10:30:18.280</t>
  </si>
  <si>
    <t>2022-06-10 10:30:18.320</t>
  </si>
  <si>
    <t>2022-06-10 10:30:18.360</t>
  </si>
  <si>
    <t>2022-06-10 10:30:18.400</t>
  </si>
  <si>
    <t>2022-06-10 10:30:18.440</t>
  </si>
  <si>
    <t>2022-06-10 10:30:18.480</t>
  </si>
  <si>
    <t>2022-06-10 10:30:18.520</t>
  </si>
  <si>
    <t>2022-06-10 10:30:18.560</t>
  </si>
  <si>
    <t>2022-06-10 10:30:18.600</t>
  </si>
  <si>
    <t>2022-06-10 10:30:18.640</t>
  </si>
  <si>
    <t>2022-06-10 10:30:18.680</t>
  </si>
  <si>
    <t>2022-06-10 10:30:18.720</t>
  </si>
  <si>
    <t>2022-06-10 10:30:18.760</t>
  </si>
  <si>
    <t>2022-06-10 10:30:18.800</t>
  </si>
  <si>
    <t>2022-06-10 10:30:18.840</t>
  </si>
  <si>
    <t>2022-06-10 10:30:18.880</t>
  </si>
  <si>
    <t>2022-06-10 10:30:18.920</t>
  </si>
  <si>
    <t>2022-06-10 10:30:18.960</t>
  </si>
  <si>
    <t>2022-06-10 10:30:19.000</t>
  </si>
  <si>
    <t>2022-06-10 10:30:19.040</t>
  </si>
  <si>
    <t>2022-06-10 10:30:19.080</t>
  </si>
  <si>
    <t>2022-06-10 10:30:19.120</t>
  </si>
  <si>
    <t>2022-06-10 10:30:19.160</t>
  </si>
  <si>
    <t>2022-06-10 10:30:19.200</t>
  </si>
  <si>
    <t>2022-06-10 10:30:19.240</t>
  </si>
  <si>
    <t>2022-06-10 10:30:19.280</t>
  </si>
  <si>
    <t>2022-06-10 10:30:19.320</t>
  </si>
  <si>
    <t>2022-06-10 10:30:19.360</t>
  </si>
  <si>
    <t>2022-06-10 10:30:19.400</t>
  </si>
  <si>
    <t>2022-06-10 10:30:19.440</t>
  </si>
  <si>
    <t>2022-06-10 10:30:19.480</t>
  </si>
  <si>
    <t>2022-06-10 10:30:19.520</t>
  </si>
  <si>
    <t>2022-06-10 10:30:19.560</t>
  </si>
  <si>
    <t>2022-06-10 10:30:19.600</t>
  </si>
  <si>
    <t>2022-06-10 10:30:19.640</t>
  </si>
  <si>
    <t>2022-06-10 10:30:19.680</t>
  </si>
  <si>
    <t>2022-06-10 10:30:19.720</t>
  </si>
  <si>
    <t>2022-06-10 10:30:19.760</t>
  </si>
  <si>
    <t>2022-06-10 10:30:19.800</t>
  </si>
  <si>
    <t>2022-06-10 10:30:19.840</t>
  </si>
  <si>
    <t>2022-06-10 10:30:19.880</t>
  </si>
  <si>
    <t>2022-06-10 10:30:19.920</t>
  </si>
  <si>
    <t>2022-06-10 10:30:19.960</t>
  </si>
  <si>
    <t>2022-06-10 10:30:20.000</t>
  </si>
  <si>
    <t>2022-06-10 10:30:20.040</t>
  </si>
  <si>
    <t>2022-06-10 10:30:20.080</t>
  </si>
  <si>
    <t>2022-06-10 10:30:20.120</t>
  </si>
  <si>
    <t>2022-06-10 10:30:20.160</t>
  </si>
  <si>
    <t>2022-06-10 10:30:20.200</t>
  </si>
  <si>
    <t>2022-06-10 10:30:20.240</t>
  </si>
  <si>
    <t>2022-06-10 10:30:20.280</t>
  </si>
  <si>
    <t>2022-06-10 10:30:20.320</t>
  </si>
  <si>
    <t>2022-06-10 10:30:20.360</t>
  </si>
  <si>
    <t>2022-06-10 10:30:20.400</t>
  </si>
  <si>
    <t>2022-06-10 10:30:20.440</t>
  </si>
  <si>
    <t>2022-06-10 10:30:20.480</t>
  </si>
  <si>
    <t>2022-06-10 10:30:20.520</t>
  </si>
  <si>
    <t>2022-06-10 10:30:20.560</t>
  </si>
  <si>
    <t>2022-06-10 10:30:20.600</t>
  </si>
  <si>
    <t>2022-06-10 10:30:20.640</t>
  </si>
  <si>
    <t>2022-06-10 10:30:20.680</t>
  </si>
  <si>
    <t>2022-06-10 10:30:20.720</t>
  </si>
  <si>
    <t>2022-06-10 10:30:20.760</t>
  </si>
  <si>
    <t>2022-06-10 10:30:20.800</t>
  </si>
  <si>
    <t>2022-06-10 10:30:20.840</t>
  </si>
  <si>
    <t>2022-06-10 10:30:20.880</t>
  </si>
  <si>
    <t>2022-06-10 10:30:20.920</t>
  </si>
  <si>
    <t>2022-06-10 10:30:20.960</t>
  </si>
  <si>
    <t>2022-06-10 10:30:21.000</t>
  </si>
  <si>
    <t>2022-06-10 10:30:21.040</t>
  </si>
  <si>
    <t>2022-06-10 10:30:21.080</t>
  </si>
  <si>
    <t>2022-06-10 10:30:21.120</t>
  </si>
  <si>
    <t>2022-06-10 10:30:21.160</t>
  </si>
  <si>
    <t>2022-06-10 10:30:21.200</t>
  </si>
  <si>
    <t>2022-06-10 10:30:21.240</t>
  </si>
  <si>
    <t>2022-06-10 10:30:21.280</t>
  </si>
  <si>
    <t>2022-06-10 10:30:21.320</t>
  </si>
  <si>
    <t>2022-06-10 10:30:21.360</t>
  </si>
  <si>
    <t>2022-06-10 10:30:21.400</t>
  </si>
  <si>
    <t>2022-06-10 10:30:21.440</t>
  </si>
  <si>
    <t>2022-06-10 10:30:21.480</t>
  </si>
  <si>
    <t>2022-06-10 10:30:21.520</t>
  </si>
  <si>
    <t>2022-06-10 10:30:21.560</t>
  </si>
  <si>
    <t>2022-06-10 10:30:21.600</t>
  </si>
  <si>
    <t>2022-06-10 10:30:21.640</t>
  </si>
  <si>
    <t>2022-06-10 10:30:21.680</t>
  </si>
  <si>
    <t>2022-06-10 10:30:21.720</t>
  </si>
  <si>
    <t>2022-06-10 10:30:21.760</t>
  </si>
  <si>
    <t>2022-06-10 10:30:21.800</t>
  </si>
  <si>
    <t>2022-06-10 10:30:21.840</t>
  </si>
  <si>
    <t>2022-06-10 10:30:21.880</t>
  </si>
  <si>
    <t>2022-06-10 10:30:21.920</t>
  </si>
  <si>
    <t>2022-06-10 10:30:21.960</t>
  </si>
  <si>
    <t>2022-06-10 10:30:22.000</t>
  </si>
  <si>
    <t>2022-06-10 10:30:22.040</t>
  </si>
  <si>
    <t>2022-06-10 10:30:22.080</t>
  </si>
  <si>
    <t>2022-06-10 10:30:22.120</t>
  </si>
  <si>
    <t>2022-06-10 10:30:22.160</t>
  </si>
  <si>
    <t>2022-06-10 10:30:22.200</t>
  </si>
  <si>
    <t>2022-06-10 10:30:22.240</t>
  </si>
  <si>
    <t>2022-06-10 10:30:22.280</t>
  </si>
  <si>
    <t>2022-06-10 10:30:22.320</t>
  </si>
  <si>
    <t>2022-06-10 10:30:22.360</t>
  </si>
  <si>
    <t>2022-06-10 10:30:22.400</t>
  </si>
  <si>
    <t>2022-06-10 10:30:22.440</t>
  </si>
  <si>
    <t>2022-06-10 10:30:22.480</t>
  </si>
  <si>
    <t>2022-06-10 10:30:22.520</t>
  </si>
  <si>
    <t>2022-06-10 10:30:22.560</t>
  </si>
  <si>
    <t>2022-06-10 10:30:22.600</t>
  </si>
  <si>
    <t>2022-06-10 10:30:22.640</t>
  </si>
  <si>
    <t>2022-06-10 10:30:22.680</t>
  </si>
  <si>
    <t>2022-06-10 10:30:22.720</t>
  </si>
  <si>
    <t>2022-06-10 10:30:22.760</t>
  </si>
  <si>
    <t>2022-06-10 10:30:22.800</t>
  </si>
  <si>
    <t>2022-06-10 10:30:22.840</t>
  </si>
  <si>
    <t>2022-06-10 10:30:22.880</t>
  </si>
  <si>
    <t>2022-06-10 10:30:22.920</t>
  </si>
  <si>
    <t>2022-06-10 10:30:22.960</t>
  </si>
  <si>
    <t>2022-06-10 10:30:23.000</t>
  </si>
  <si>
    <t>2022-06-10 10:30:23.040</t>
  </si>
  <si>
    <t>2022-06-10 10:30:23.080</t>
  </si>
  <si>
    <t>2022-06-10 10:30:23.120</t>
  </si>
  <si>
    <t>2022-06-10 10:30:23.160</t>
  </si>
  <si>
    <t>2022-06-10 10:30:23.200</t>
  </si>
  <si>
    <t>2022-06-10 10:30:23.240</t>
  </si>
  <si>
    <t>2022-06-10 10:30:23.280</t>
  </si>
  <si>
    <t>2022-06-10 10:30:23.320</t>
  </si>
  <si>
    <t>2022-06-10 10:30:23.360</t>
  </si>
  <si>
    <t>2022-06-10 10:30:23.400</t>
  </si>
  <si>
    <t>2022-06-10 10:30:23.440</t>
  </si>
  <si>
    <t>2022-06-10 10:30:23.480</t>
  </si>
  <si>
    <t>2022-06-10 10:30:23.520</t>
  </si>
  <si>
    <t>2022-06-10 10:30:23.560</t>
  </si>
  <si>
    <t>2022-06-10 10:30:23.600</t>
  </si>
  <si>
    <t>2022-06-10 10:30:23.640</t>
  </si>
  <si>
    <t>2022-06-10 10:30:23.680</t>
  </si>
  <si>
    <t>2022-06-10 10:30:23.720</t>
  </si>
  <si>
    <t>2022-06-10 10:30:23.760</t>
  </si>
  <si>
    <t>2022-06-10 10:30:23.800</t>
  </si>
  <si>
    <t>2022-06-10 10:30:23.840</t>
  </si>
  <si>
    <t>2022-06-10 10:30:23.880</t>
  </si>
  <si>
    <t>2022-06-10 10:30:23.920</t>
  </si>
  <si>
    <t>2022-06-10 10:30:23.960</t>
  </si>
  <si>
    <t>2022-06-10 10:30:24.000</t>
  </si>
  <si>
    <t>2022-06-10 10:30:24.040</t>
  </si>
  <si>
    <t>2022-06-10 10:30:24.080</t>
  </si>
  <si>
    <t>2022-06-10 10:30:24.120</t>
  </si>
  <si>
    <t>2022-06-10 10:30:24.160</t>
  </si>
  <si>
    <t>2022-06-10 10:30:24.200</t>
  </si>
  <si>
    <t>2022-06-10 10:30:24.240</t>
  </si>
  <si>
    <t>2022-06-10 10:30:24.280</t>
  </si>
  <si>
    <t>2022-06-10 10:30:24.320</t>
  </si>
  <si>
    <t>2022-06-10 10:30:24.360</t>
  </si>
  <si>
    <t>2022-06-10 10:30:24.400</t>
  </si>
  <si>
    <t>2022-06-10 10:30:24.440</t>
  </si>
  <si>
    <t>2022-06-10 10:30:24.480</t>
  </si>
  <si>
    <t>2022-06-10 10:30:24.520</t>
  </si>
  <si>
    <t>2022-06-10 10:30:24.560</t>
  </si>
  <si>
    <t>2022-06-10 10:30:24.600</t>
  </si>
  <si>
    <t>2022-06-10 10:30:24.640</t>
  </si>
  <si>
    <t>2022-06-10 10:30:24.680</t>
  </si>
  <si>
    <t>2022-06-10 10:30:24.720</t>
  </si>
  <si>
    <t>2022-06-10 10:30:24.760</t>
  </si>
  <si>
    <t>2022-06-10 10:30:24.800</t>
  </si>
  <si>
    <t>2022-06-10 10:30:24.840</t>
  </si>
  <si>
    <t>2022-06-10 10:30:24.880</t>
  </si>
  <si>
    <t>2022-06-10 10:30:24.920</t>
  </si>
  <si>
    <t>2022-06-10 10:30:24.960</t>
  </si>
  <si>
    <t>2022-06-10 10:30:25.000</t>
  </si>
  <si>
    <t>2022-06-10 10:30:25.040</t>
  </si>
  <si>
    <t>2022-06-10 10:30:25.080</t>
  </si>
  <si>
    <t>2022-06-10 10:30:25.120</t>
  </si>
  <si>
    <t>2022-06-10 10:30:25.160</t>
  </si>
  <si>
    <t>2022-06-10 10:30:25.200</t>
  </si>
  <si>
    <t>2022-06-10 10:30:25.240</t>
  </si>
  <si>
    <t>2022-06-10 10:30:25.280</t>
  </si>
  <si>
    <t>2022-06-10 10:30:25.320</t>
  </si>
  <si>
    <t>2022-06-10 10:30:25.360</t>
  </si>
  <si>
    <t>2022-06-10 10:30:25.400</t>
  </si>
  <si>
    <t>2022-06-10 10:30:25.440</t>
  </si>
  <si>
    <t>2022-06-10 10:30:25.480</t>
  </si>
  <si>
    <t>2022-06-10 10:30:25.520</t>
  </si>
  <si>
    <t>2022-06-10 10:30:25.560</t>
  </si>
  <si>
    <t>2022-06-10 10:30:25.600</t>
  </si>
  <si>
    <t>2022-06-10 10:30:25.640</t>
  </si>
  <si>
    <t>2022-06-10 10:30:25.680</t>
  </si>
  <si>
    <t>2022-06-10 10:30:25.720</t>
  </si>
  <si>
    <t>2022-06-10 10:30:25.760</t>
  </si>
  <si>
    <t>2022-06-10 10:30:25.800</t>
  </si>
  <si>
    <t>2022-06-10 10:30:25.840</t>
  </si>
  <si>
    <t>2022-06-10 10:30:25.880</t>
  </si>
  <si>
    <t>2022-06-10 10:30:25.920</t>
  </si>
  <si>
    <t>2022-06-10 10:30:25.960</t>
  </si>
  <si>
    <t>2022-06-10 10:30:26.000</t>
  </si>
  <si>
    <t>2022-06-10 10:30:26.040</t>
  </si>
  <si>
    <t>2022-06-10 10:30:26.080</t>
  </si>
  <si>
    <t>2022-06-10 10:30:26.120</t>
  </si>
  <si>
    <t>2022-06-10 10:30:26.160</t>
  </si>
  <si>
    <t>2022-06-10 10:30:26.200</t>
  </si>
  <si>
    <t>2022-06-10 10:30:26.240</t>
  </si>
  <si>
    <t>2022-06-10 10:30:26.280</t>
  </si>
  <si>
    <t>2022-06-10 10:30:26.320</t>
  </si>
  <si>
    <t>2022-06-10 10:30:26.360</t>
  </si>
  <si>
    <t>2022-06-10 10:30:26.400</t>
  </si>
  <si>
    <t>2022-06-10 10:30:26.440</t>
  </si>
  <si>
    <t>2022-06-10 10:30:26.480</t>
  </si>
  <si>
    <t>2022-06-10 10:30:26.520</t>
  </si>
  <si>
    <t>2022-06-10 10:30:26.560</t>
  </si>
  <si>
    <t>2022-06-10 10:30:26.600</t>
  </si>
  <si>
    <t>2022-06-10 10:30:26.640</t>
  </si>
  <si>
    <t>2022-06-10 10:30:26.680</t>
  </si>
  <si>
    <t>2022-06-10 10:30:26.720</t>
  </si>
  <si>
    <t>2022-06-10 10:30:26.760</t>
  </si>
  <si>
    <t>2022-06-10 10:30:26.800</t>
  </si>
  <si>
    <t>2022-06-10 10:30:26.840</t>
  </si>
  <si>
    <t>2022-06-10 10:30:26.880</t>
  </si>
  <si>
    <t>2022-06-10 10:30:26.920</t>
  </si>
  <si>
    <t>2022-06-10 10:30:26.960</t>
  </si>
  <si>
    <t>2022-06-10 10:30:27.000</t>
  </si>
  <si>
    <t>2022-06-10 10:30:27.040</t>
  </si>
  <si>
    <t>2022-06-10 10:30:27.080</t>
  </si>
  <si>
    <t>2022-06-10 10:30:27.120</t>
  </si>
  <si>
    <t>2022-06-10 10:30:27.160</t>
  </si>
  <si>
    <t>2022-06-10 10:30:27.200</t>
  </si>
  <si>
    <t>2022-06-10 10:30:27.240</t>
  </si>
  <si>
    <t>2022-06-10 10:30:27.280</t>
  </si>
  <si>
    <t>2022-06-10 10:30:27.320</t>
  </si>
  <si>
    <t>2022-06-10 10:30:27.360</t>
  </si>
  <si>
    <t>2022-06-10 10:30:27.400</t>
  </si>
  <si>
    <t>2022-06-10 10:30:27.440</t>
  </si>
  <si>
    <t>2022-06-10 10:30:27.480</t>
  </si>
  <si>
    <t>2022-06-10 10:30:27.520</t>
  </si>
  <si>
    <t>2022-06-10 10:30:27.560</t>
  </si>
  <si>
    <t>2022-06-10 10:30:27.600</t>
  </si>
  <si>
    <t>2022-06-10 10:30:27.640</t>
  </si>
  <si>
    <t>2022-06-10 10:30:27.680</t>
  </si>
  <si>
    <t>2022-06-10 10:30:27.720</t>
  </si>
  <si>
    <t>2022-06-10 10:30:27.760</t>
  </si>
  <si>
    <t>2022-06-10 10:30:27.800</t>
  </si>
  <si>
    <t>2022-06-10 10:30:27.840</t>
  </si>
  <si>
    <t>2022-06-10 10:30:27.880</t>
  </si>
  <si>
    <t>2022-06-10 10:30:27.920</t>
  </si>
  <si>
    <t>2022-06-10 10:30:27.960</t>
  </si>
  <si>
    <t>2022-06-10 10:30:28.000</t>
  </si>
  <si>
    <t>2022-06-10 10:30:28.040</t>
  </si>
  <si>
    <t>2022-06-10 10:30:28.080</t>
  </si>
  <si>
    <t>2022-06-10 10:30:28.120</t>
  </si>
  <si>
    <t>2022-06-10 10:30:28.160</t>
  </si>
  <si>
    <t>2022-06-10 10:30:28.200</t>
  </si>
  <si>
    <t>2022-06-10 10:30:28.240</t>
  </si>
  <si>
    <t>2022-06-10 10:30:28.280</t>
  </si>
  <si>
    <t>2022-06-10 10:30:28.320</t>
  </si>
  <si>
    <t>2022-06-10 10:30:28.360</t>
  </si>
  <si>
    <t>2022-06-10 10:30:28.400</t>
  </si>
  <si>
    <t>2022-06-10 10:30:28.440</t>
  </si>
  <si>
    <t>2022-06-10 10:30:28.480</t>
  </si>
  <si>
    <t>2022-06-10 10:30:28.520</t>
  </si>
  <si>
    <t>2022-06-10 10:30:28.560</t>
  </si>
  <si>
    <t>2022-06-10 10:30:28.600</t>
  </si>
  <si>
    <t>2022-06-10 10:30:28.640</t>
  </si>
  <si>
    <t>2022-06-10 10:30:28.680</t>
  </si>
  <si>
    <t>2022-06-10 10:30:28.720</t>
  </si>
  <si>
    <t>2022-06-10 10:30:28.760</t>
  </si>
  <si>
    <t>2022-06-10 10:30:28.800</t>
  </si>
  <si>
    <t>2022-06-10 10:30:28.840</t>
  </si>
  <si>
    <t>2022-06-10 10:30:28.880</t>
  </si>
  <si>
    <t>2022-06-10 10:30:28.920</t>
  </si>
  <si>
    <t>2022-06-10 10:30:28.960</t>
  </si>
  <si>
    <t>2022-06-10 10:30:29.000</t>
  </si>
  <si>
    <t>2022-06-10 10:30:29.040</t>
  </si>
  <si>
    <t>2022-06-10 10:30:29.080</t>
  </si>
  <si>
    <t>2022-06-10 10:30:29.120</t>
  </si>
  <si>
    <t>2022-06-10 10:30:29.160</t>
  </si>
  <si>
    <t>2022-06-10 10:30:29.200</t>
  </si>
  <si>
    <t>2022-06-10 10:30:29.240</t>
  </si>
  <si>
    <t>2022-06-10 10:30:29.280</t>
  </si>
  <si>
    <t>2022-06-10 10:30:29.320</t>
  </si>
  <si>
    <t>2022-06-10 10:30:29.360</t>
  </si>
  <si>
    <t>2022-06-10 10:30:29.400</t>
  </si>
  <si>
    <t>2022-06-10 10:30:29.440</t>
  </si>
  <si>
    <t>2022-06-10 10:30:29.480</t>
  </si>
  <si>
    <t>2022-06-10 10:30:29.520</t>
  </si>
  <si>
    <t>2022-06-10 10:30:29.560</t>
  </si>
  <si>
    <t>2022-06-10 10:30:29.600</t>
  </si>
  <si>
    <t>2022-06-10 10:30:29.640</t>
  </si>
  <si>
    <t>2022-06-10 10:30:29.680</t>
  </si>
  <si>
    <t>2022-06-10 10:30:29.720</t>
  </si>
  <si>
    <t>2022-06-10 10:30:29.760</t>
  </si>
  <si>
    <t>2022-06-10 10:30:29.800</t>
  </si>
  <si>
    <t>2022-06-10 10:30:29.840</t>
  </si>
  <si>
    <t>2022-06-10 10:30:29.880</t>
  </si>
  <si>
    <t>2022-06-10 10:30:29.920</t>
  </si>
  <si>
    <t>2022-06-10 10:30:29.960</t>
  </si>
  <si>
    <t>2022-06-10 10:30:30.000</t>
  </si>
  <si>
    <t>2022-06-10 10:30:30.040</t>
  </si>
  <si>
    <t>2022-06-10 10:30:30.080</t>
  </si>
  <si>
    <t>2022-06-10 10:30:30.120</t>
  </si>
  <si>
    <t>2022-06-10 10:30:30.160</t>
  </si>
  <si>
    <t>2022-06-10 10:30:30.200</t>
  </si>
  <si>
    <t>2022-06-10 10:30:30.240</t>
  </si>
  <si>
    <t>2022-06-10 10:30:30.280</t>
  </si>
  <si>
    <t>2022-06-10 10:30:30.320</t>
  </si>
  <si>
    <t>2022-06-10 10:30:30.360</t>
  </si>
  <si>
    <t>2022-06-10 10:30:30.400</t>
  </si>
  <si>
    <t>2022-06-10 10:30:30.440</t>
  </si>
  <si>
    <t>2022-06-10 10:30:30.480</t>
  </si>
  <si>
    <t>2022-06-10 10:30:30.520</t>
  </si>
  <si>
    <t>2022-06-10 10:30:30.560</t>
  </si>
  <si>
    <t>2022-06-10 10:30:30.600</t>
  </si>
  <si>
    <t>2022-06-10 10:30:30.640</t>
  </si>
  <si>
    <t>2022-06-10 10:30:30.680</t>
  </si>
  <si>
    <t>2022-06-10 10:30:30.720</t>
  </si>
  <si>
    <t>2022-06-10 10:30:30.760</t>
  </si>
  <si>
    <t>2022-06-10 10:30:30.800</t>
  </si>
  <si>
    <t>2022-06-10 10:30:30.840</t>
  </si>
  <si>
    <t>2022-06-10 10:30:30.880</t>
  </si>
  <si>
    <t>2022-06-10 10:30:30.920</t>
  </si>
  <si>
    <t>2022-06-10 10:30:30.960</t>
  </si>
  <si>
    <t>2022-06-10 10:30:31.000</t>
  </si>
  <si>
    <t>2022-06-10 10:30:31.040</t>
  </si>
  <si>
    <t>2022-06-10 10:30:31.080</t>
  </si>
  <si>
    <t>2022-06-10 10:30:31.120</t>
  </si>
  <si>
    <t>2022-06-10 10:30:31.160</t>
  </si>
  <si>
    <t>2022-06-10 10:30:31.200</t>
  </si>
  <si>
    <t>2022-06-10 10:30:31.240</t>
  </si>
  <si>
    <t>2022-06-10 10:30:31.280</t>
  </si>
  <si>
    <t>2022-06-10 10:30:31.320</t>
  </si>
  <si>
    <t>2022-06-10 10:30:31.360</t>
  </si>
  <si>
    <t>2022-06-10 10:30:31.400</t>
  </si>
  <si>
    <t>2022-06-10 10:30:31.440</t>
  </si>
  <si>
    <t>2022-06-10 10:30:31.480</t>
  </si>
  <si>
    <t>2022-06-10 10:30:31.520</t>
  </si>
  <si>
    <t>2022-06-10 10:30:31.560</t>
  </si>
  <si>
    <t>2022-06-10 10:30:31.600</t>
  </si>
  <si>
    <t>2022-06-10 10:30:31.640</t>
  </si>
  <si>
    <t>2022-06-10 10:30:31.680</t>
  </si>
  <si>
    <t>2022-06-10 10:30:31.720</t>
  </si>
  <si>
    <t>2022-06-10 10:30:31.760</t>
  </si>
  <si>
    <t>2022-06-10 10:30:31.800</t>
  </si>
  <si>
    <t>2022-06-10 10:30:31.840</t>
  </si>
  <si>
    <t>2022-06-10 10:30:31.880</t>
  </si>
  <si>
    <t>2022-06-10 10:30:31.920</t>
  </si>
  <si>
    <t>2022-06-10 10:30:31.960</t>
  </si>
  <si>
    <t>2022-06-10 10:30:32.000</t>
  </si>
  <si>
    <t>2022-06-10 10:30:32.040</t>
  </si>
  <si>
    <t>2022-06-10 10:30:32.080</t>
  </si>
  <si>
    <t>2022-06-10 10:30:32.120</t>
  </si>
  <si>
    <t>2022-06-10 10:30:32.160</t>
  </si>
  <si>
    <t>2022-06-10 10:30:32.200</t>
  </si>
  <si>
    <t>2022-06-10 10:30:32.240</t>
  </si>
  <si>
    <t>2022-06-10 10:30:32.280</t>
  </si>
  <si>
    <t>2022-06-10 10:30:32.320</t>
  </si>
  <si>
    <t>2022-06-10 10:30:32.360</t>
  </si>
  <si>
    <t>2022-06-10 10:30:32.400</t>
  </si>
  <si>
    <t>2022-06-10 10:30:32.440</t>
  </si>
  <si>
    <t>2022-06-10 10:30:32.480</t>
  </si>
  <si>
    <t>2022-06-10 10:30:32.520</t>
  </si>
  <si>
    <t>2022-06-10 10:30:32.560</t>
  </si>
  <si>
    <t>2022-06-10 10:30:32.600</t>
  </si>
  <si>
    <t>2022-06-10 10:30:32.640</t>
  </si>
  <si>
    <t>2022-06-10 10:30:32.680</t>
  </si>
  <si>
    <t>2022-06-10 10:30:32.720</t>
  </si>
  <si>
    <t>2022-06-10 10:30:32.760</t>
  </si>
  <si>
    <t>2022-06-10 10:30:32.800</t>
  </si>
  <si>
    <t>2022-06-10 10:30:32.840</t>
  </si>
  <si>
    <t>2022-06-10 10:30:32.880</t>
  </si>
  <si>
    <t>2022-06-10 10:30:32.920</t>
  </si>
  <si>
    <t>2022-06-10 10:30:32.960</t>
  </si>
  <si>
    <t>2022-06-10 10:30:33.000</t>
  </si>
  <si>
    <t>2022-06-10 10:30:33.040</t>
  </si>
  <si>
    <t>2022-06-10 10:30:33.080</t>
  </si>
  <si>
    <t>2022-06-10 10:30:33.120</t>
  </si>
  <si>
    <t>2022-06-10 10:30:33.160</t>
  </si>
  <si>
    <t>2022-06-10 10:30:33.200</t>
  </si>
  <si>
    <t>2022-06-10 10:30:33.240</t>
  </si>
  <si>
    <t>2022-06-10 10:30:33.280</t>
  </si>
  <si>
    <t>2022-06-10 10:30:33.320</t>
  </si>
  <si>
    <t>2022-06-10 10:30:33.360</t>
  </si>
  <si>
    <t>2022-06-10 10:30:33.400</t>
  </si>
  <si>
    <t>2022-06-10 10:30:33.440</t>
  </si>
  <si>
    <t>2022-06-10 10:30:33.480</t>
  </si>
  <si>
    <t>2022-06-10 10:30:33.520</t>
  </si>
  <si>
    <t>2022-06-10 10:30:33.560</t>
  </si>
  <si>
    <t>2022-06-10 10:30:33.600</t>
  </si>
  <si>
    <t>2022-06-10 10:30:33.640</t>
  </si>
  <si>
    <t>2022-06-10 10:30:33.680</t>
  </si>
  <si>
    <t>2022-06-10 10:30:33.720</t>
  </si>
  <si>
    <t>2022-06-10 10:30:33.760</t>
  </si>
  <si>
    <t>2022-06-10 10:30:33.800</t>
  </si>
  <si>
    <t>2022-06-10 10:30:33.840</t>
  </si>
  <si>
    <t>2022-06-10 10:30:33.880</t>
  </si>
  <si>
    <t>2022-06-10 10:30:33.920</t>
  </si>
  <si>
    <t>2022-06-10 10:30:33.960</t>
  </si>
  <si>
    <t>2022-06-10 10:30:34.000</t>
  </si>
  <si>
    <t>2022-06-10 10:30:34.040</t>
  </si>
  <si>
    <t>2022-06-10 10:30:34.080</t>
  </si>
  <si>
    <t>2022-06-10 10:30:34.120</t>
  </si>
  <si>
    <t>2022-06-10 10:30:34.160</t>
  </si>
  <si>
    <t>2022-06-10 10:30:34.200</t>
  </si>
  <si>
    <t>2022-06-10 10:30:34.240</t>
  </si>
  <si>
    <t>2022-06-10 10:30:34.280</t>
  </si>
  <si>
    <t>2022-06-10 10:30:34.320</t>
  </si>
  <si>
    <t>2022-06-10 10:30:34.360</t>
  </si>
  <si>
    <t>2022-06-10 10:30:34.400</t>
  </si>
  <si>
    <t>2022-06-10 10:30:34.440</t>
  </si>
  <si>
    <t>2022-06-10 10:30:34.480</t>
  </si>
  <si>
    <t>2022-06-10 10:30:34.520</t>
  </si>
  <si>
    <t>2022-06-10 10:30:34.560</t>
  </si>
  <si>
    <t>2022-06-10 10:30:34.600</t>
  </si>
  <si>
    <t>2022-06-10 10:30:34.640</t>
  </si>
  <si>
    <t>2022-06-10 10:30:34.680</t>
  </si>
  <si>
    <t>2022-06-10 10:30:34.720</t>
  </si>
  <si>
    <t>2022-06-10 10:30:34.760</t>
  </si>
  <si>
    <t>2022-06-10 10:30:34.800</t>
  </si>
  <si>
    <t>2022-06-10 10:30:34.840</t>
  </si>
  <si>
    <t>2022-06-10 10:30:34.880</t>
  </si>
  <si>
    <t>2022-06-10 10:30:34.920</t>
  </si>
  <si>
    <t>2022-06-10 10:30:34.960</t>
  </si>
  <si>
    <t>2022-06-10 10:30:35.000</t>
  </si>
  <si>
    <t>2022-06-10 10:30:35.040</t>
  </si>
  <si>
    <t>2022-06-10 10:30:35.080</t>
  </si>
  <si>
    <t>2022-06-10 10:30:35.120</t>
  </si>
  <si>
    <t>2022-06-10 10:30:35.160</t>
  </si>
  <si>
    <t>2022-06-10 10:30:35.200</t>
  </si>
  <si>
    <t>2022-06-10 10:30:35.240</t>
  </si>
  <si>
    <t>2022-06-10 10:30:35.280</t>
  </si>
  <si>
    <t>2022-06-10 10:30:35.320</t>
  </si>
  <si>
    <t>2022-06-10 10:30:35.360</t>
  </si>
  <si>
    <t>2022-06-10 10:30:35.400</t>
  </si>
  <si>
    <t>2022-06-10 10:30:35.440</t>
  </si>
  <si>
    <t>2022-06-10 10:30:35.480</t>
  </si>
  <si>
    <t>2022-06-10 10:30:35.520</t>
  </si>
  <si>
    <t>2022-06-10 10:30:35.560</t>
  </si>
  <si>
    <t>2022-06-10 10:30:35.600</t>
  </si>
  <si>
    <t>2022-06-10 10:30:35.640</t>
  </si>
  <si>
    <t>2022-06-10 10:30:35.680</t>
  </si>
  <si>
    <t>2022-06-10 10:30:35.720</t>
  </si>
  <si>
    <t>2022-06-10 10:30:35.760</t>
  </si>
  <si>
    <t>2022-06-10 10:30:35.800</t>
  </si>
  <si>
    <t>2022-06-10 10:30:35.840</t>
  </si>
  <si>
    <t>2022-06-10 10:30:35.880</t>
  </si>
  <si>
    <t>2022-06-10 10:30:35.920</t>
  </si>
  <si>
    <t>2022-06-10 10:30:35.960</t>
  </si>
  <si>
    <t>2022-06-10 10:30:36.000</t>
  </si>
  <si>
    <t>2022-06-10 10:30:36.040</t>
  </si>
  <si>
    <t>2022-06-10 10:30:36.080</t>
  </si>
  <si>
    <t>2022-06-10 10:30:36.120</t>
  </si>
  <si>
    <t>2022-06-10 10:30:36.160</t>
  </si>
  <si>
    <t>2022-06-10 10:30:36.200</t>
  </si>
  <si>
    <t>2022-06-10 10:30:36.240</t>
  </si>
  <si>
    <t>2022-06-10 10:30:36.280</t>
  </si>
  <si>
    <t>2022-06-10 10:30:36.320</t>
  </si>
  <si>
    <t>2022-06-10 10:30:36.360</t>
  </si>
  <si>
    <t>2022-06-10 10:30:36.400</t>
  </si>
  <si>
    <t>2022-06-10 10:30:36.440</t>
  </si>
  <si>
    <t>2022-06-10 10:30:36.480</t>
  </si>
  <si>
    <t>2022-06-10 10:30:36.520</t>
  </si>
  <si>
    <t>2022-06-10 10:30:36.560</t>
  </si>
  <si>
    <t>2022-06-10 10:30:36.600</t>
  </si>
  <si>
    <t>2022-06-10 10:30:36.640</t>
  </si>
  <si>
    <t>2022-06-10 10:30:36.680</t>
  </si>
  <si>
    <t>2022-06-10 10:30:36.720</t>
  </si>
  <si>
    <t>2022-06-10 10:30:36.760</t>
  </si>
  <si>
    <t>2022-06-10 10:30:36.800</t>
  </si>
  <si>
    <t>2022-06-10 10:30:36.840</t>
  </si>
  <si>
    <t>2022-06-10 10:30:36.880</t>
  </si>
  <si>
    <t>2022-06-10 10:30:36.920</t>
  </si>
  <si>
    <t>2022-06-10 10:30:36.960</t>
  </si>
  <si>
    <t>2022-06-10 10:30:37.000</t>
  </si>
  <si>
    <t>2022-06-10 10:30:37.040</t>
  </si>
  <si>
    <t>2022-06-10 10:30:37.080</t>
  </si>
  <si>
    <t>2022-06-10 10:30:37.120</t>
  </si>
  <si>
    <t>2022-06-10 10:30:37.160</t>
  </si>
  <si>
    <t>2022-06-10 10:30:37.200</t>
  </si>
  <si>
    <t>2022-06-10 10:30:37.240</t>
  </si>
  <si>
    <t>2022-06-10 10:30:37.280</t>
  </si>
  <si>
    <t>2022-06-10 10:30:37.320</t>
  </si>
  <si>
    <t>2022-06-10 10:30:37.360</t>
  </si>
  <si>
    <t>2022-06-10 10:30:37.400</t>
  </si>
  <si>
    <t>2022-06-10 10:30:37.440</t>
  </si>
  <si>
    <t>2022-06-10 10:30:37.480</t>
  </si>
  <si>
    <t>2022-06-10 10:30:37.520</t>
  </si>
  <si>
    <t>2022-06-10 10:30:37.560</t>
  </si>
  <si>
    <t>2022-06-10 10:30:37.600</t>
  </si>
  <si>
    <t>2022-06-10 10:30:37.640</t>
  </si>
  <si>
    <t>2022-06-10 10:30:37.680</t>
  </si>
  <si>
    <t>2022-06-10 10:30:37.720</t>
  </si>
  <si>
    <t>2022-06-10 10:30:37.760</t>
  </si>
  <si>
    <t>2022-06-10 10:30:37.800</t>
  </si>
  <si>
    <t>2022-06-10 10:30:37.840</t>
  </si>
  <si>
    <t>2022-06-10 10:30:37.880</t>
  </si>
  <si>
    <t>2022-06-10 10:30:37.920</t>
  </si>
  <si>
    <t>2022-06-10 10:30:37.960</t>
  </si>
  <si>
    <t>2022-06-10 10:30:38.000</t>
  </si>
  <si>
    <t>2022-06-10 10:30:38.040</t>
  </si>
  <si>
    <t>2022-06-10 10:30:38.080</t>
  </si>
  <si>
    <t>2022-06-10 10:30:38.120</t>
  </si>
  <si>
    <t>2022-06-10 10:30:38.160</t>
  </si>
  <si>
    <t>2022-06-10 10:30:38.200</t>
  </si>
  <si>
    <t>2022-06-10 10:30:38.240</t>
  </si>
  <si>
    <t>2022-06-10 10:30:38.280</t>
  </si>
  <si>
    <t>2022-06-10 10:30:38.320</t>
  </si>
  <si>
    <t>2022-06-10 10:30:38.360</t>
  </si>
  <si>
    <t>2022-06-10 10:30:38.400</t>
  </si>
  <si>
    <t>2022-06-10 10:30:38.440</t>
  </si>
  <si>
    <t>2022-06-10 10:30:38.480</t>
  </si>
  <si>
    <t>2022-06-10 10:30:38.520</t>
  </si>
  <si>
    <t>2022-06-10 10:30:38.560</t>
  </si>
  <si>
    <t>2022-06-10 10:30:38.600</t>
  </si>
  <si>
    <t>2022-06-10 10:30:38.640</t>
  </si>
  <si>
    <t>2022-06-10 10:30:38.680</t>
  </si>
  <si>
    <t>2022-06-10 10:30:38.720</t>
  </si>
  <si>
    <t>2022-06-10 10:30:38.760</t>
  </si>
  <si>
    <t>2022-06-10 10:30:38.800</t>
  </si>
  <si>
    <t>2022-06-10 10:30:38.840</t>
  </si>
  <si>
    <t>2022-06-10 10:30:38.880</t>
  </si>
  <si>
    <t>2022-06-10 10:30:38.920</t>
  </si>
  <si>
    <t>2022-06-10 10:30:38.960</t>
  </si>
  <si>
    <t>2022-06-10 10:30:39.000</t>
  </si>
  <si>
    <t>2022-06-10 10:30:39.040</t>
  </si>
  <si>
    <t>2022-06-10 10:30:39.080</t>
  </si>
  <si>
    <t>2022-06-10 10:30:39.120</t>
  </si>
  <si>
    <t>2022-06-10 10:30:39.160</t>
  </si>
  <si>
    <t>2022-06-10 10:30:39.200</t>
  </si>
  <si>
    <t>2022-06-10 10:30:39.240</t>
  </si>
  <si>
    <t>2022-06-10 10:30:39.280</t>
  </si>
  <si>
    <t>2022-06-10 10:30:39.320</t>
  </si>
  <si>
    <t>2022-06-10 10:30:39.360</t>
  </si>
  <si>
    <t>2022-06-10 10:30:39.400</t>
  </si>
  <si>
    <t>2022-06-10 10:30:39.440</t>
  </si>
  <si>
    <t>2022-06-10 10:30:39.480</t>
  </si>
  <si>
    <t>2022-06-10 10:30:39.520</t>
  </si>
  <si>
    <t>2022-06-10 10:30:39.560</t>
  </si>
  <si>
    <t>2022-06-10 10:30:39.600</t>
  </si>
  <si>
    <t>2022-06-10 10:30:39.640</t>
  </si>
  <si>
    <t>2022-06-10 10:30:39.680</t>
  </si>
  <si>
    <t>2022-06-10 10:30:39.720</t>
  </si>
  <si>
    <t>2022-06-10 10:30:39.760</t>
  </si>
  <si>
    <t>2022-06-10 10:30:39.800</t>
  </si>
  <si>
    <t>2022-06-10 10:30:39.840</t>
  </si>
  <si>
    <t>2022-06-10 10:30:39.880</t>
  </si>
  <si>
    <t>2022-06-10 10:30:39.920</t>
  </si>
  <si>
    <t>2022-06-10 10:30:39.960</t>
  </si>
  <si>
    <t>2022-06-10 10:30:40.000</t>
  </si>
  <si>
    <t>2022-06-10 10:30:40.040</t>
  </si>
  <si>
    <t>2022-06-10 10:30:40.080</t>
  </si>
  <si>
    <t>2022-06-10 10:30:40.120</t>
  </si>
  <si>
    <t>2022-06-10 10:30:40.160</t>
  </si>
  <si>
    <t>2022-06-10 10:30:40.200</t>
  </si>
  <si>
    <t>2022-06-10 10:30:40.240</t>
  </si>
  <si>
    <t>2022-06-10 10:30:40.280</t>
  </si>
  <si>
    <t>2022-06-10 10:30:40.320</t>
  </si>
  <si>
    <t>2022-06-10 10:30:40.360</t>
  </si>
  <si>
    <t>2022-06-10 10:30:40.400</t>
  </si>
  <si>
    <t>2022-06-10 10:30:40.440</t>
  </si>
  <si>
    <t>2022-06-10 10:30:40.480</t>
  </si>
  <si>
    <t>2022-06-10 10:30:40.520</t>
  </si>
  <si>
    <t>2022-06-10 10:30:40.560</t>
  </si>
  <si>
    <t>2022-06-10 10:30:40.600</t>
  </si>
  <si>
    <t>2022-06-10 10:30:40.640</t>
  </si>
  <si>
    <t>2022-06-10 10:30:40.680</t>
  </si>
  <si>
    <t>2022-06-10 10:30:40.720</t>
  </si>
  <si>
    <t>2022-06-10 10:30:40.760</t>
  </si>
  <si>
    <t>2022-06-10 10:30:40.800</t>
  </si>
  <si>
    <t>2022-06-10 10:30:40.840</t>
  </si>
  <si>
    <t>2022-06-10 10:30:40.880</t>
  </si>
  <si>
    <t>2022-06-10 10:30:40.920</t>
  </si>
  <si>
    <t>2022-06-10 10:30:40.960</t>
  </si>
  <si>
    <t>2022-06-10 10:30:41.000</t>
  </si>
  <si>
    <t>2022-06-10 10:30:41.040</t>
  </si>
  <si>
    <t>2022-06-10 10:30:41.080</t>
  </si>
  <si>
    <t>2022-06-10 10:30:41.120</t>
  </si>
  <si>
    <t>2022-06-10 10:30:41.160</t>
  </si>
  <si>
    <t>2022-06-10 10:30:41.200</t>
  </si>
  <si>
    <t>2022-06-10 10:30:41.240</t>
  </si>
  <si>
    <t>2022-06-10 10:30:41.280</t>
  </si>
  <si>
    <t>2022-06-10 10:30:41.320</t>
  </si>
  <si>
    <t>2022-06-10 10:30:41.360</t>
  </si>
  <si>
    <t>2022-06-10 10:30:41.400</t>
  </si>
  <si>
    <t>2022-06-10 10:30:41.440</t>
  </si>
  <si>
    <t>2022-06-10 10:30:41.480</t>
  </si>
  <si>
    <t>2022-06-10 10:30:41.520</t>
  </si>
  <si>
    <t>2022-06-10 10:30:41.560</t>
  </si>
  <si>
    <t>2022-06-10 10:30:41.600</t>
  </si>
  <si>
    <t>2022-06-10 10:30:41.640</t>
  </si>
  <si>
    <t>2022-06-10 10:30:41.680</t>
  </si>
  <si>
    <t>2022-06-10 10:30:41.720</t>
  </si>
  <si>
    <t>2022-06-10 10:30:41.760</t>
  </si>
  <si>
    <t>2022-06-10 10:30:41.800</t>
  </si>
  <si>
    <t>2022-06-10 10:30:41.840</t>
  </si>
  <si>
    <t>2022-06-10 10:30:41.880</t>
  </si>
  <si>
    <t>2022-06-10 10:30:41.920</t>
  </si>
  <si>
    <t>2022-06-10 10:30:41.960</t>
  </si>
  <si>
    <t>2022-06-10 10:30:42.000</t>
  </si>
  <si>
    <t>2022-06-10 10:30:42.040</t>
  </si>
  <si>
    <t>2022-06-10 10:30:42.080</t>
  </si>
  <si>
    <t>2022-06-10 10:30:42.120</t>
  </si>
  <si>
    <t>2022-06-10 10:30:42.160</t>
  </si>
  <si>
    <t>2022-06-10 10:30:42.200</t>
  </si>
  <si>
    <t>2022-06-10 10:30:42.240</t>
  </si>
  <si>
    <t>2022-06-10 10:30:42.280</t>
  </si>
  <si>
    <t>2022-06-10 10:30:42.320</t>
  </si>
  <si>
    <t>2022-06-10 10:30:42.360</t>
  </si>
  <si>
    <t>2022-06-10 10:30:42.400</t>
  </si>
  <si>
    <t>2022-06-10 10:30:42.440</t>
  </si>
  <si>
    <t>2022-06-10 10:30:42.480</t>
  </si>
  <si>
    <t>2022-06-10 10:30:42.520</t>
  </si>
  <si>
    <t>2022-06-10 10:30:42.560</t>
  </si>
  <si>
    <t>2022-06-10 10:30:42.600</t>
  </si>
  <si>
    <t>2022-06-10 10:30:42.640</t>
  </si>
  <si>
    <t>2022-06-10 10:30:42.680</t>
  </si>
  <si>
    <t>2022-06-10 10:30:42.720</t>
  </si>
  <si>
    <t>2022-06-10 10:30:42.760</t>
  </si>
  <si>
    <t>2022-06-10 10:30:42.800</t>
  </si>
  <si>
    <t>2022-06-10 10:30:42.840</t>
  </si>
  <si>
    <t>2022-06-10 10:30:42.880</t>
  </si>
  <si>
    <t>2022-06-10 10:30:42.920</t>
  </si>
  <si>
    <t>2022-06-10 10:30:42.960</t>
  </si>
  <si>
    <t>2022-06-10 10:30:43.000</t>
  </si>
  <si>
    <t>2022-06-10 10:30:43.040</t>
  </si>
  <si>
    <t>2022-06-10 10:30:43.080</t>
  </si>
  <si>
    <t>2022-06-10 10:30:43.120</t>
  </si>
  <si>
    <t>2022-06-10 10:30:43.160</t>
  </si>
  <si>
    <t>2022-06-10 10:30:43.200</t>
  </si>
  <si>
    <t>2022-06-10 10:30:43.240</t>
  </si>
  <si>
    <t>2022-06-10 10:30:43.280</t>
  </si>
  <si>
    <t>2022-06-10 10:30:43.320</t>
  </si>
  <si>
    <t>2022-06-10 10:30:43.360</t>
  </si>
  <si>
    <t>2022-06-10 10:30:43.400</t>
  </si>
  <si>
    <t>2022-06-10 10:30:43.440</t>
  </si>
  <si>
    <t>2022-06-10 10:30:43.480</t>
  </si>
  <si>
    <t>2022-06-10 10:30:43.520</t>
  </si>
  <si>
    <t>2022-06-10 10:30:43.560</t>
  </si>
  <si>
    <t>2022-06-10 10:30:43.600</t>
  </si>
  <si>
    <t>2022-06-10 10:30:43.640</t>
  </si>
  <si>
    <t>2022-06-10 10:30:43.680</t>
  </si>
  <si>
    <t>2022-06-10 10:30:43.720</t>
  </si>
  <si>
    <t>2022-06-10 10:30:43.760</t>
  </si>
  <si>
    <t>2022-06-10 10:30:43.800</t>
  </si>
  <si>
    <t>2022-06-10 10:30:43.840</t>
  </si>
  <si>
    <t>2022-06-10 10:30:43.880</t>
  </si>
  <si>
    <t>2022-06-10 10:30:43.920</t>
  </si>
  <si>
    <t>2022-06-10 10:30:43.960</t>
  </si>
  <si>
    <t>2022-06-10 10:30:44.000</t>
  </si>
  <si>
    <t>2022-06-10 10:30:44.040</t>
  </si>
  <si>
    <t>2022-06-10 10:30:44.080</t>
  </si>
  <si>
    <t>2022-06-10 10:30:44.120</t>
  </si>
  <si>
    <t>2022-06-10 10:30:44.160</t>
  </si>
  <si>
    <t>2022-06-10 10:30:44.200</t>
  </si>
  <si>
    <t>2022-06-10 10:30:44.240</t>
  </si>
  <si>
    <t>2022-06-10 10:30:44.280</t>
  </si>
  <si>
    <t>2022-06-10 10:30:44.320</t>
  </si>
  <si>
    <t>2022-06-10 10:30:44.360</t>
  </si>
  <si>
    <t>2022-06-10 10:30:44.400</t>
  </si>
  <si>
    <t>2022-06-10 10:30:44.440</t>
  </si>
  <si>
    <t>2022-06-10 10:30:44.480</t>
  </si>
  <si>
    <t>2022-06-10 10:30:44.520</t>
  </si>
  <si>
    <t>2022-06-10 10:30:44.560</t>
  </si>
  <si>
    <t>2022-06-10 10:30:44.600</t>
  </si>
  <si>
    <t>2022-06-10 10:30:44.640</t>
  </si>
  <si>
    <t>2022-06-10 10:30:44.680</t>
  </si>
  <si>
    <t>2022-06-10 10:30:44.720</t>
  </si>
  <si>
    <t>2022-06-10 10:30:44.760</t>
  </si>
  <si>
    <t>2022-06-10 10:30:44.800</t>
  </si>
  <si>
    <t>2022-06-10 10:30:44.840</t>
  </si>
  <si>
    <t>2022-06-10 10:30:44.880</t>
  </si>
  <si>
    <t>2022-06-10 10:30:44.920</t>
  </si>
  <si>
    <t>2022-06-10 10:30:44.960</t>
  </si>
  <si>
    <t>2022-06-10 10:30:45.000</t>
  </si>
  <si>
    <t>2022-06-10 10:30:45.040</t>
  </si>
  <si>
    <t>2022-06-10 10:30:45.080</t>
  </si>
  <si>
    <t>2022-06-10 10:30:45.120</t>
  </si>
  <si>
    <t>2022-06-10 10:30:45.160</t>
  </si>
  <si>
    <t>2022-06-10 10:30:45.200</t>
  </si>
  <si>
    <t>2022-06-10 10:30:45.240</t>
  </si>
  <si>
    <t>2022-06-10 10:30:45.280</t>
  </si>
  <si>
    <t>2022-06-10 10:30:45.320</t>
  </si>
  <si>
    <t>2022-06-10 10:30:45.360</t>
  </si>
  <si>
    <t>2022-06-10 10:30:45.400</t>
  </si>
  <si>
    <t>2022-06-10 10:30:45.440</t>
  </si>
  <si>
    <t>2022-06-10 10:30:45.480</t>
  </si>
  <si>
    <t>2022-06-10 10:30:45.520</t>
  </si>
  <si>
    <t>2022-06-10 10:30:45.560</t>
  </si>
  <si>
    <t>2022-06-10 10:30:45.600</t>
  </si>
  <si>
    <t>2022-06-10 10:30:45.640</t>
  </si>
  <si>
    <t>2022-06-10 10:30:45.680</t>
  </si>
  <si>
    <t>2022-06-10 10:30:45.720</t>
  </si>
  <si>
    <t>2022-06-10 10:30:45.760</t>
  </si>
  <si>
    <t>2022-06-10 10:30:45.800</t>
  </si>
  <si>
    <t>2022-06-10 10:30:45.840</t>
  </si>
  <si>
    <t>2022-06-10 10:30:45.880</t>
  </si>
  <si>
    <t>2022-06-10 10:30:45.920</t>
  </si>
  <si>
    <t>2022-06-10 10:30:45.960</t>
  </si>
  <si>
    <t>2022-06-10 10:30:46.000</t>
  </si>
  <si>
    <t>2022-06-10 10:30:46.040</t>
  </si>
  <si>
    <t>2022-06-10 10:30:46.080</t>
  </si>
  <si>
    <t>2022-06-10 10:30:46.120</t>
  </si>
  <si>
    <t>2022-06-10 10:30:46.160</t>
  </si>
  <si>
    <t>2022-06-10 10:30:46.200</t>
  </si>
  <si>
    <t>2022-06-10 10:30:46.240</t>
  </si>
  <si>
    <t>2022-06-10 10:30:46.280</t>
  </si>
  <si>
    <t>2022-06-10 10:30:46.320</t>
  </si>
  <si>
    <t>2022-06-10 10:30:46.360</t>
  </si>
  <si>
    <t>2022-06-10 10:30:46.400</t>
  </si>
  <si>
    <t>2022-06-10 10:30:46.440</t>
  </si>
  <si>
    <t>2022-06-10 10:30:46.480</t>
  </si>
  <si>
    <t>2022-06-10 10:30:46.520</t>
  </si>
  <si>
    <t>2022-06-10 10:30:46.560</t>
  </si>
  <si>
    <t>2022-06-10 10:30:46.600</t>
  </si>
  <si>
    <t>2022-06-10 10:30:46.640</t>
  </si>
  <si>
    <t>2022-06-10 10:30:46.680</t>
  </si>
  <si>
    <t>2022-06-10 10:30:46.720</t>
  </si>
  <si>
    <t>2022-06-10 10:30:46.760</t>
  </si>
  <si>
    <t>2022-06-10 10:30:46.800</t>
  </si>
  <si>
    <t>2022-06-10 10:30:46.840</t>
  </si>
  <si>
    <t>2022-06-10 10:30:46.880</t>
  </si>
  <si>
    <t>2022-06-10 10:30:46.920</t>
  </si>
  <si>
    <t>2022-06-10 10:30:46.960</t>
  </si>
  <si>
    <t>2022-06-10 10:30:47.000</t>
  </si>
  <si>
    <t>2022-06-10 10:30:47.040</t>
  </si>
  <si>
    <t>2022-06-10 10:30:47.080</t>
  </si>
  <si>
    <t>2022-06-10 10:30:47.120</t>
  </si>
  <si>
    <t>2022-06-10 10:30:47.160</t>
  </si>
  <si>
    <t>2022-06-10 10:30:47.200</t>
  </si>
  <si>
    <t>2022-06-10 10:30:47.240</t>
  </si>
  <si>
    <t>2022-06-10 10:30:47.280</t>
  </si>
  <si>
    <t>2022-06-10 10:30:47.320</t>
  </si>
  <si>
    <t>2022-06-10 10:30:47.360</t>
  </si>
  <si>
    <t>2022-06-10 10:30:47.400</t>
  </si>
  <si>
    <t>2022-06-10 10:30:47.440</t>
  </si>
  <si>
    <t>2022-06-10 10:30:47.480</t>
  </si>
  <si>
    <t>2022-06-10 10:30:47.520</t>
  </si>
  <si>
    <t>2022-06-10 10:30:47.560</t>
  </si>
  <si>
    <t>2022-06-10 10:30:47.600</t>
  </si>
  <si>
    <t>2022-06-10 10:30:47.640</t>
  </si>
  <si>
    <t>2022-06-10 10:30:47.680</t>
  </si>
  <si>
    <t>2022-06-10 10:30:47.720</t>
  </si>
  <si>
    <t>2022-06-10 10:30:47.760</t>
  </si>
  <si>
    <t>2022-06-10 10:30:47.800</t>
  </si>
  <si>
    <t>2022-06-10 10:30:47.840</t>
  </si>
  <si>
    <t>2022-06-10 10:30:47.880</t>
  </si>
  <si>
    <t>2022-06-10 10:30:47.920</t>
  </si>
  <si>
    <t>2022-06-10 10:30:47.960</t>
  </si>
  <si>
    <t>2022-06-10 10:30:48.000</t>
  </si>
  <si>
    <t>2022-06-10 10:30:48.040</t>
  </si>
  <si>
    <t>2022-06-10 10:30:48.080</t>
  </si>
  <si>
    <t>2022-06-10 10:30:48.120</t>
  </si>
  <si>
    <t>2022-06-10 10:30:48.160</t>
  </si>
  <si>
    <t>2022-06-10 10:30:48.200</t>
  </si>
  <si>
    <t>2022-06-10 10:30:48.240</t>
  </si>
  <si>
    <t>2022-06-10 10:30:48.280</t>
  </si>
  <si>
    <t>2022-06-10 10:30:48.320</t>
  </si>
  <si>
    <t>2022-06-10 10:30:48.360</t>
  </si>
  <si>
    <t>2022-06-10 10:30:48.400</t>
  </si>
  <si>
    <t>2022-06-10 10:30:48.440</t>
  </si>
  <si>
    <t>2022-06-10 10:30:48.480</t>
  </si>
  <si>
    <t>2022-06-10 10:30:48.520</t>
  </si>
  <si>
    <t>2022-06-10 10:30:48.560</t>
  </si>
  <si>
    <t>2022-06-10 10:30:48.600</t>
  </si>
  <si>
    <t>2022-06-10 10:30:48.640</t>
  </si>
  <si>
    <t>2022-06-10 10:30:48.680</t>
  </si>
  <si>
    <t>2022-06-10 10:30:48.720</t>
  </si>
  <si>
    <t>2022-06-10 10:30:48.760</t>
  </si>
  <si>
    <t>2022-06-10 10:30:48.800</t>
  </si>
  <si>
    <t>2022-06-10 10:30:48.840</t>
  </si>
  <si>
    <t>2022-06-10 10:30:48.880</t>
  </si>
  <si>
    <t>2022-06-10 10:30:48.920</t>
  </si>
  <si>
    <t>2022-06-10 10:30:48.960</t>
  </si>
  <si>
    <t>2022-06-10 10:30:49.000</t>
  </si>
  <si>
    <t>2022-06-10 10:30:49.040</t>
  </si>
  <si>
    <t>2022-06-10 10:30:49.080</t>
  </si>
  <si>
    <t>2022-06-10 10:30:49.120</t>
  </si>
  <si>
    <t>2022-06-10 10:30:49.160</t>
  </si>
  <si>
    <t>2022-06-10 10:30:49.200</t>
  </si>
  <si>
    <t>2022-06-10 10:30:49.240</t>
  </si>
  <si>
    <t>2022-06-10 10:30:49.280</t>
  </si>
  <si>
    <t>2022-06-10 10:30:49.320</t>
  </si>
  <si>
    <t>2022-06-10 10:30:49.360</t>
  </si>
  <si>
    <t>2022-06-10 10:30:49.400</t>
  </si>
  <si>
    <t>2022-06-10 10:30:49.440</t>
  </si>
  <si>
    <t>2022-06-10 10:30:49.480</t>
  </si>
  <si>
    <t>2022-06-10 10:30:49.520</t>
  </si>
  <si>
    <t>2022-06-10 10:30:49.560</t>
  </si>
  <si>
    <t>2022-06-10 10:30:49.600</t>
  </si>
  <si>
    <t>2022-06-10 10:30:49.640</t>
  </si>
  <si>
    <t>2022-06-10 10:30:49.680</t>
  </si>
  <si>
    <t>2022-06-10 10:30:49.720</t>
  </si>
  <si>
    <t>2022-06-10 10:30:49.760</t>
  </si>
  <si>
    <t>2022-06-10 10:30:49.800</t>
  </si>
  <si>
    <t>2022-06-10 10:30:49.840</t>
  </si>
  <si>
    <t>2022-06-10 10:30:49.880</t>
  </si>
  <si>
    <t>2022-06-10 10:30:49.920</t>
  </si>
  <si>
    <t>2022-06-10 10:30:49.960</t>
  </si>
  <si>
    <t>2022-06-10 10:30:50.000</t>
  </si>
  <si>
    <t>2022-06-10 10:30:50.040</t>
  </si>
  <si>
    <t>2022-06-10 10:30:50.080</t>
  </si>
  <si>
    <t>2022-06-10 10:30:50.120</t>
  </si>
  <si>
    <t>2022-06-10 10:30:50.160</t>
  </si>
  <si>
    <t>2022-06-10 10:30:50.200</t>
  </si>
  <si>
    <t>2022-06-10 10:30:50.240</t>
  </si>
  <si>
    <t>2022-06-10 10:30:50.280</t>
  </si>
  <si>
    <t>2022-06-10 10:30:50.320</t>
  </si>
  <si>
    <t>2022-06-10 10:30:50.360</t>
  </si>
  <si>
    <t>2022-06-10 10:30:50.400</t>
  </si>
  <si>
    <t>2022-06-10 10:30:50.440</t>
  </si>
  <si>
    <t>2022-06-10 10:30:50.480</t>
  </si>
  <si>
    <t>2022-06-10 10:30:50.520</t>
  </si>
  <si>
    <t>2022-06-10 10:30:50.560</t>
  </si>
  <si>
    <t>2022-06-10 10:30:50.600</t>
  </si>
  <si>
    <t>2022-06-10 10:30:50.640</t>
  </si>
  <si>
    <t>2022-06-10 10:30:50.680</t>
  </si>
  <si>
    <t>2022-06-10 10:30:50.720</t>
  </si>
  <si>
    <t>2022-06-10 10:30:50.760</t>
  </si>
  <si>
    <t>2022-06-10 10:30:50.800</t>
  </si>
  <si>
    <t>2022-06-10 10:30:50.840</t>
  </si>
  <si>
    <t>2022-06-10 10:30:50.880</t>
  </si>
  <si>
    <t>2022-06-10 10:30:50.920</t>
  </si>
  <si>
    <t>2022-06-10 10:30:50.960</t>
  </si>
  <si>
    <t>2022-06-10 10:30:51.000</t>
  </si>
  <si>
    <t>2022-06-10 10:30:51.040</t>
  </si>
  <si>
    <t>2022-06-10 10:30:51.080</t>
  </si>
  <si>
    <t>2022-06-10 10:30:51.120</t>
  </si>
  <si>
    <t>2022-06-10 10:30:51.160</t>
  </si>
  <si>
    <t>2022-06-10 10:30:51.200</t>
  </si>
  <si>
    <t>2022-06-10 10:30:51.240</t>
  </si>
  <si>
    <t>2022-06-10 10:30:51.280</t>
  </si>
  <si>
    <t>2022-06-10 10:30:51.320</t>
  </si>
  <si>
    <t>2022-06-10 10:30:51.360</t>
  </si>
  <si>
    <t>2022-06-10 10:30:51.400</t>
  </si>
  <si>
    <t>2022-06-10 10:30:51.440</t>
  </si>
  <si>
    <t>2022-06-10 10:30:51.480</t>
  </si>
  <si>
    <t>2022-06-10 10:30:51.520</t>
  </si>
  <si>
    <t>2022-06-10 10:30:51.560</t>
  </si>
  <si>
    <t>2022-06-10 10:30:51.600</t>
  </si>
  <si>
    <t>2022-06-10 10:30:51.640</t>
  </si>
  <si>
    <t>2022-06-10 10:30:51.680</t>
  </si>
  <si>
    <t>2022-06-10 10:30:51.720</t>
  </si>
  <si>
    <t>2022-06-10 10:30:51.760</t>
  </si>
  <si>
    <t>2022-06-10 10:30:51.800</t>
  </si>
  <si>
    <t>2022-06-10 10:30:51.840</t>
  </si>
  <si>
    <t>2022-06-10 10:30:51.880</t>
  </si>
  <si>
    <t>2022-06-10 10:30:51.920</t>
  </si>
  <si>
    <t>2022-06-10 10:30:51.960</t>
  </si>
  <si>
    <t>2022-06-10 10:30:52.000</t>
  </si>
  <si>
    <t>2022-06-10 10:30:52.040</t>
  </si>
  <si>
    <t>2022-06-10 10:30:52.080</t>
  </si>
  <si>
    <t>2022-06-10 10:30:52.120</t>
  </si>
  <si>
    <t>2022-06-10 10:30:52.160</t>
  </si>
  <si>
    <t>2022-06-10 10:30:52.200</t>
  </si>
  <si>
    <t>2022-06-10 10:30:52.240</t>
  </si>
  <si>
    <t>2022-06-10 10:30:52.280</t>
  </si>
  <si>
    <t>2022-06-10 10:30:52.320</t>
  </si>
  <si>
    <t>2022-06-10 10:30:52.360</t>
  </si>
  <si>
    <t>2022-06-10 10:30:52.400</t>
  </si>
  <si>
    <t>2022-06-10 10:30:52.440</t>
  </si>
  <si>
    <t>2022-06-10 10:30:52.480</t>
  </si>
  <si>
    <t>2022-06-10 10:30:52.520</t>
  </si>
  <si>
    <t>2022-06-10 10:30:52.560</t>
  </si>
  <si>
    <t>2022-06-10 10:30:52.600</t>
  </si>
  <si>
    <t>2022-06-10 10:30:52.640</t>
  </si>
  <si>
    <t>2022-06-10 10:30:52.680</t>
  </si>
  <si>
    <t>2022-06-10 10:30:52.720</t>
  </si>
  <si>
    <t>2022-06-10 10:30:52.760</t>
  </si>
  <si>
    <t>2022-06-10 10:30:52.800</t>
  </si>
  <si>
    <t>2022-06-10 10:30:52.840</t>
  </si>
  <si>
    <t>2022-06-10 10:30:52.880</t>
  </si>
  <si>
    <t>2022-06-10 10:30:52.920</t>
  </si>
  <si>
    <t>2022-06-10 10:30:52.960</t>
  </si>
  <si>
    <t>2022-06-10 10:30:53.000</t>
  </si>
  <si>
    <t>2022-06-10 10:30:53.040</t>
  </si>
  <si>
    <t>2022-06-10 10:30:53.080</t>
  </si>
  <si>
    <t>2022-06-10 10:30:53.120</t>
  </si>
  <si>
    <t>2022-06-10 10:30:53.160</t>
  </si>
  <si>
    <t>2022-06-10 10:30:53.200</t>
  </si>
  <si>
    <t>2022-06-10 10:30:53.240</t>
  </si>
  <si>
    <t>2022-06-10 10:30:53.280</t>
  </si>
  <si>
    <t>2022-06-10 10:30:53.320</t>
  </si>
  <si>
    <t>2022-06-10 10:30:53.360</t>
  </si>
  <si>
    <t>2022-06-10 10:30:53.400</t>
  </si>
  <si>
    <t>2022-06-10 10:30:53.440</t>
  </si>
  <si>
    <t>2022-06-10 10:30:53.480</t>
  </si>
  <si>
    <t>2022-06-10 10:30:53.520</t>
  </si>
  <si>
    <t>2022-06-10 10:30:53.560</t>
  </si>
  <si>
    <t>2022-06-10 10:30:53.600</t>
  </si>
  <si>
    <t>2022-06-10 10:30:53.640</t>
  </si>
  <si>
    <t>2022-06-10 10:30:53.680</t>
  </si>
  <si>
    <t>2022-06-10 10:30:53.720</t>
  </si>
  <si>
    <t>2022-06-10 10:30:53.760</t>
  </si>
  <si>
    <t>2022-06-10 10:30:53.800</t>
  </si>
  <si>
    <t>2022-06-10 10:30:53.840</t>
  </si>
  <si>
    <t>2022-06-10 10:30:53.880</t>
  </si>
  <si>
    <t>2022-06-10 10:30:53.920</t>
  </si>
  <si>
    <t>2022-06-10 10:30:53.960</t>
  </si>
  <si>
    <t>2022-06-10 10:30:54.000</t>
  </si>
  <si>
    <t>2022-06-10 10:30:54.040</t>
  </si>
  <si>
    <t>2022-06-10 10:30:54.080</t>
  </si>
  <si>
    <t>2022-06-10 10:30:54.120</t>
  </si>
  <si>
    <t>2022-06-10 10:30:54.160</t>
  </si>
  <si>
    <t>2022-06-10 10:30:54.200</t>
  </si>
  <si>
    <t>2022-06-10 10:30:54.240</t>
  </si>
  <si>
    <t>2022-06-10 10:30:54.280</t>
  </si>
  <si>
    <t>2022-06-10 10:30:54.320</t>
  </si>
  <si>
    <t>2022-06-10 10:30:54.360</t>
  </si>
  <si>
    <t>2022-06-10 10:30:54.400</t>
  </si>
  <si>
    <t>2022-06-10 10:30:54.440</t>
  </si>
  <si>
    <t>2022-06-10 10:30:54.480</t>
  </si>
  <si>
    <t>2022-06-10 10:30:54.520</t>
  </si>
  <si>
    <t>2022-06-10 10:30:54.560</t>
  </si>
  <si>
    <t>2022-06-10 10:30:54.600</t>
  </si>
  <si>
    <t>2022-06-10 10:30:54.640</t>
  </si>
  <si>
    <t>2022-06-10 10:30:54.680</t>
  </si>
  <si>
    <t>2022-06-10 10:30:54.720</t>
  </si>
  <si>
    <t>2022-06-10 10:30:54.760</t>
  </si>
  <si>
    <t>2022-06-10 10:30:54.800</t>
  </si>
  <si>
    <t>2022-06-10 10:30:54.840</t>
  </si>
  <si>
    <t>2022-06-10 10:30:54.880</t>
  </si>
  <si>
    <t>2022-06-10 10:30:54.920</t>
  </si>
  <si>
    <t>2022-06-10 10:30:54.960</t>
  </si>
  <si>
    <t>2022-06-10 10:30:55.000</t>
  </si>
  <si>
    <t>2022-06-10 10:30:55.040</t>
  </si>
  <si>
    <t>2022-06-10 10:30:55.080</t>
  </si>
  <si>
    <t>2022-06-10 10:30:55.120</t>
  </si>
  <si>
    <t>2022-06-10 10:30:55.160</t>
  </si>
  <si>
    <t>2022-06-10 10:30:55.200</t>
  </si>
  <si>
    <t>2022-06-10 10:30:55.240</t>
  </si>
  <si>
    <t>2022-06-10 10:30:55.280</t>
  </si>
  <si>
    <t>2022-06-10 10:30:55.320</t>
  </si>
  <si>
    <t>2022-06-10 10:30:55.360</t>
  </si>
  <si>
    <t>2022-06-10 10:30:55.400</t>
  </si>
  <si>
    <t>2022-06-10 10:30:55.440</t>
  </si>
  <si>
    <t>2022-06-10 10:30:55.480</t>
  </si>
  <si>
    <t>2022-06-10 10:30:55.520</t>
  </si>
  <si>
    <t>2022-06-10 10:30:55.560</t>
  </si>
  <si>
    <t>2022-06-10 10:30:55.600</t>
  </si>
  <si>
    <t>2022-06-10 10:30:55.640</t>
  </si>
  <si>
    <t>2022-06-10 10:30:55.680</t>
  </si>
  <si>
    <t>2022-06-10 10:30:55.720</t>
  </si>
  <si>
    <t>2022-06-10 10:30:55.760</t>
  </si>
  <si>
    <t>2022-06-10 10:30:55.800</t>
  </si>
  <si>
    <t>2022-06-10 10:30:55.840</t>
  </si>
  <si>
    <t>2022-06-10 10:30:55.880</t>
  </si>
  <si>
    <t>2022-06-10 10:30:55.920</t>
  </si>
  <si>
    <t>2022-06-10 10:30:55.960</t>
  </si>
  <si>
    <t>2022-06-10 10:30:56.000</t>
  </si>
  <si>
    <t>2022-06-10 10:30:56.040</t>
  </si>
  <si>
    <t>2022-06-10 10:30:56.080</t>
  </si>
  <si>
    <t>2022-06-10 10:30:56.120</t>
  </si>
  <si>
    <t>2022-06-10 10:30:56.160</t>
  </si>
  <si>
    <t>2022-06-10 10:30:56.200</t>
  </si>
  <si>
    <t>2022-06-10 10:30:56.240</t>
  </si>
  <si>
    <t>2022-06-10 10:30:56.280</t>
  </si>
  <si>
    <t>2022-06-10 10:30:56.320</t>
  </si>
  <si>
    <t>2022-06-10 10:30:56.360</t>
  </si>
  <si>
    <t>2022-06-10 10:30:56.400</t>
  </si>
  <si>
    <t>2022-06-10 10:30:56.440</t>
  </si>
  <si>
    <t>2022-06-10 10:30:56.480</t>
  </si>
  <si>
    <t>2022-06-10 10:30:56.520</t>
  </si>
  <si>
    <t>2022-06-10 10:30:56.560</t>
  </si>
  <si>
    <t>2022-06-10 10:30:56.600</t>
  </si>
  <si>
    <t>2022-06-10 10:30:56.640</t>
  </si>
  <si>
    <t>2022-06-10 10:30:56.680</t>
  </si>
  <si>
    <t>2022-06-10 10:30:56.720</t>
  </si>
  <si>
    <t>2022-06-10 10:30:56.760</t>
  </si>
  <si>
    <t>2022-06-10 10:30:56.800</t>
  </si>
  <si>
    <t>2022-06-10 10:30:56.840</t>
  </si>
  <si>
    <t>2022-06-10 10:30:56.880</t>
  </si>
  <si>
    <t>2022-06-10 10:30:56.920</t>
  </si>
  <si>
    <t>2022-06-10 10:30:56.960</t>
  </si>
  <si>
    <t>2022-06-10 10:30:57.000</t>
  </si>
  <si>
    <t>2022-06-10 10:30:57.040</t>
  </si>
  <si>
    <t>2022-06-10 10:30:57.080</t>
  </si>
  <si>
    <t>2022-06-10 10:30:57.120</t>
  </si>
  <si>
    <t>2022-06-10 10:30:57.160</t>
  </si>
  <si>
    <t>2022-06-10 10:30:57.200</t>
  </si>
  <si>
    <t>2022-06-10 10:30:57.240</t>
  </si>
  <si>
    <t>2022-06-10 10:30:57.280</t>
  </si>
  <si>
    <t>2022-06-10 10:30:57.320</t>
  </si>
  <si>
    <t>2022-06-10 10:30:57.360</t>
  </si>
  <si>
    <t>2022-06-10 10:30:57.400</t>
  </si>
  <si>
    <t>2022-06-10 10:30:57.440</t>
  </si>
  <si>
    <t>2022-06-10 10:30:57.480</t>
  </si>
  <si>
    <t>2022-06-10 10:30:57.520</t>
  </si>
  <si>
    <t>2022-06-10 10:30:57.560</t>
  </si>
  <si>
    <t>2022-06-10 10:30:57.600</t>
  </si>
  <si>
    <t>2022-06-10 10:30:57.640</t>
  </si>
  <si>
    <t>2022-06-10 10:30:57.680</t>
  </si>
  <si>
    <t>2022-06-10 10:30:57.720</t>
  </si>
  <si>
    <t>2022-06-10 10:30:57.760</t>
  </si>
  <si>
    <t>2022-06-10 10:30:57.800</t>
  </si>
  <si>
    <t>2022-06-10 10:30:57.840</t>
  </si>
  <si>
    <t>2022-06-10 10:30:57.880</t>
  </si>
  <si>
    <t>2022-06-10 10:30:57.920</t>
  </si>
  <si>
    <t>2022-06-10 10:30:57.960</t>
  </si>
  <si>
    <t>2022-06-10 10:30:58.000</t>
  </si>
  <si>
    <t>2022-06-10 10:30:58.040</t>
  </si>
  <si>
    <t>2022-06-10 10:30:58.080</t>
  </si>
  <si>
    <t>2022-06-10 10:30:58.120</t>
  </si>
  <si>
    <t>2022-06-10 10:30:58.160</t>
  </si>
  <si>
    <t>2022-06-10 10:30:58.200</t>
  </si>
  <si>
    <t>2022-06-10 10:30:58.240</t>
  </si>
  <si>
    <t>2022-06-10 10:30:58.280</t>
  </si>
  <si>
    <t>2022-06-10 10:30:58.320</t>
  </si>
  <si>
    <t>2022-06-10 10:30:58.360</t>
  </si>
  <si>
    <t>2022-06-10 10:30:58.400</t>
  </si>
  <si>
    <t>2022-06-10 10:30:58.440</t>
  </si>
  <si>
    <t>2022-06-10 10:30:58.480</t>
  </si>
  <si>
    <t>2022-06-10 10:30:58.520</t>
  </si>
  <si>
    <t>2022-06-10 10:30:58.560</t>
  </si>
  <si>
    <t>2022-06-10 10:30:58.600</t>
  </si>
  <si>
    <t>2022-06-10 10:30:58.640</t>
  </si>
  <si>
    <t>2022-06-10 10:30:58.680</t>
  </si>
  <si>
    <t>2022-06-10 10:30:58.720</t>
  </si>
  <si>
    <t>2022-06-10 10:30:58.760</t>
  </si>
  <si>
    <t>2022-06-10 10:30:58.800</t>
  </si>
  <si>
    <t>2022-06-10 10:30:58.840</t>
  </si>
  <si>
    <t>2022-06-10 10:30:58.880</t>
  </si>
  <si>
    <t>2022-06-10 10:30:58.920</t>
  </si>
  <si>
    <t>2022-06-10 10:30:58.960</t>
  </si>
  <si>
    <t>2022-06-10 10:30:59.000</t>
  </si>
  <si>
    <t>2022-06-10 10:30:59.040</t>
  </si>
  <si>
    <t>2022-06-10 10:30:59.080</t>
  </si>
  <si>
    <t>2022-06-10 10:30:59.120</t>
  </si>
  <si>
    <t>2022-06-10 10:30:59.160</t>
  </si>
  <si>
    <t>2022-06-10 10:30:59.200</t>
  </si>
  <si>
    <t>2022-06-10 10:30:59.240</t>
  </si>
  <si>
    <t>2022-06-10 10:30:59.280</t>
  </si>
  <si>
    <t>2022-06-10 10:30:59.320</t>
  </si>
  <si>
    <t>2022-06-10 10:30:59.360</t>
  </si>
  <si>
    <t>2022-06-10 10:30:59.400</t>
  </si>
  <si>
    <t>2022-06-10 10:30:59.440</t>
  </si>
  <si>
    <t>2022-06-10 10:30:59.480</t>
  </si>
  <si>
    <t>2022-06-10 10:30:59.520</t>
  </si>
  <si>
    <t>2022-06-10 10:30:59.560</t>
  </si>
  <si>
    <t>2022-06-10 10:30:59.600</t>
  </si>
  <si>
    <t>2022-06-10 10:30:59.640</t>
  </si>
  <si>
    <t>2022-06-10 10:30:59.680</t>
  </si>
  <si>
    <t>2022-06-10 10:30:59.720</t>
  </si>
  <si>
    <t>2022-06-10 10:30:59.760</t>
  </si>
  <si>
    <t>2022-06-10 10:30:59.800</t>
  </si>
  <si>
    <t>2022-06-10 10:30:59.840</t>
  </si>
  <si>
    <t>2022-06-10 10:30:59.880</t>
  </si>
  <si>
    <t>2022-06-10 10:30:59.920</t>
  </si>
  <si>
    <t>2022-06-10 10:30:59.960</t>
  </si>
  <si>
    <t>2022-06-10 10:31:00.000</t>
  </si>
  <si>
    <t>2022-06-10 10:31:00.040</t>
  </si>
  <si>
    <t>2022-06-10 10:31:00.080</t>
  </si>
  <si>
    <t>2022-06-10 10:31:00.120</t>
  </si>
  <si>
    <t>2022-06-10 10:31:00.160</t>
  </si>
  <si>
    <t>2022-06-10 10:31:00.200</t>
  </si>
  <si>
    <t>2022-06-10 10:31:00.240</t>
  </si>
  <si>
    <t>2022-06-10 10:31:00.280</t>
  </si>
  <si>
    <t>2022-06-10 10:31:00.320</t>
  </si>
  <si>
    <t>2022-06-10 10:31:00.360</t>
  </si>
  <si>
    <t>2022-06-10 10:31:00.400</t>
  </si>
  <si>
    <t>2022-06-10 10:31:00.440</t>
  </si>
  <si>
    <t>2022-06-10 10:31:00.480</t>
  </si>
  <si>
    <t>2022-06-10 10:31:00.520</t>
  </si>
  <si>
    <t>2022-06-10 10:31:00.560</t>
  </si>
  <si>
    <t>2022-06-10 10:31:00.600</t>
  </si>
  <si>
    <t>2022-06-10 10:31:00.640</t>
  </si>
  <si>
    <t>2022-06-10 10:31:00.680</t>
  </si>
  <si>
    <t>2022-06-10 10:31:00.720</t>
  </si>
  <si>
    <t>2022-06-10 10:31:00.760</t>
  </si>
  <si>
    <t>2022-06-10 10:31:00.800</t>
  </si>
  <si>
    <t>2022-06-10 10:31:00.840</t>
  </si>
  <si>
    <t>2022-06-10 10:31:00.880</t>
  </si>
  <si>
    <t>2022-06-10 10:31:00.920</t>
  </si>
  <si>
    <t>2022-06-10 10:31:00.960</t>
  </si>
  <si>
    <t>2022-06-10 10:31:01.000</t>
  </si>
  <si>
    <t>2022-06-10 10:31:01.040</t>
  </si>
  <si>
    <t>2022-06-10 10:31:01.080</t>
  </si>
  <si>
    <t>2022-06-10 10:31:01.120</t>
  </si>
  <si>
    <t>2022-06-10 10:31:01.160</t>
  </si>
  <si>
    <t>2022-06-10 10:31:01.200</t>
  </si>
  <si>
    <t>2022-06-10 10:31:01.240</t>
  </si>
  <si>
    <t>2022-06-10 10:31:01.280</t>
  </si>
  <si>
    <t>2022-06-10 10:31:01.320</t>
  </si>
  <si>
    <t>2022-06-10 10:31:01.360</t>
  </si>
  <si>
    <t>2022-06-10 10:31:01.400</t>
  </si>
  <si>
    <t>2022-06-10 10:31:01.440</t>
  </si>
  <si>
    <t>2022-06-10 10:31:01.480</t>
  </si>
  <si>
    <t>2022-06-10 10:31:01.520</t>
  </si>
  <si>
    <t>2022-06-10 10:31:01.560</t>
  </si>
  <si>
    <t>2022-06-10 10:31:01.600</t>
  </si>
  <si>
    <t>2022-06-10 10:31:01.640</t>
  </si>
  <si>
    <t>2022-06-10 10:31:01.680</t>
  </si>
  <si>
    <t>2022-06-10 10:31:01.720</t>
  </si>
  <si>
    <t>2022-06-10 10:31:01.760</t>
  </si>
  <si>
    <t>2022-06-10 10:31:01.800</t>
  </si>
  <si>
    <t>2022-06-10 10:31:01.840</t>
  </si>
  <si>
    <t>2022-06-10 10:31:01.880</t>
  </si>
  <si>
    <t>2022-06-10 10:31:01.920</t>
  </si>
  <si>
    <t>2022-06-10 10:31:01.960</t>
  </si>
  <si>
    <t>2022-06-10 10:31:02.000</t>
  </si>
  <si>
    <t>2022-06-10 10:31:02.040</t>
  </si>
  <si>
    <t>2022-06-10 10:31:02.080</t>
  </si>
  <si>
    <t>2022-06-10 10:31:02.120</t>
  </si>
  <si>
    <t>2022-06-10 10:31:02.160</t>
  </si>
  <si>
    <t>2022-06-10 10:31:02.200</t>
  </si>
  <si>
    <t>2022-06-10 10:31:02.240</t>
  </si>
  <si>
    <t>2022-06-10 10:31:02.280</t>
  </si>
  <si>
    <t>2022-06-10 10:31:02.320</t>
  </si>
  <si>
    <t>2022-06-10 10:31:02.360</t>
  </si>
  <si>
    <t>2022-06-10 10:31:02.400</t>
  </si>
  <si>
    <t>2022-06-10 10:31:02.440</t>
  </si>
  <si>
    <t>2022-06-10 10:31:02.480</t>
  </si>
  <si>
    <t>2022-06-10 10:31:02.520</t>
  </si>
  <si>
    <t>2022-06-10 10:31:02.560</t>
  </si>
  <si>
    <t>2022-06-10 10:31:02.600</t>
  </si>
  <si>
    <t>2022-06-10 10:31:02.640</t>
  </si>
  <si>
    <t>2022-06-10 10:31:02.680</t>
  </si>
  <si>
    <t>2022-06-10 10:31:02.720</t>
  </si>
  <si>
    <t>2022-06-10 10:31:02.760</t>
  </si>
  <si>
    <t>2022-06-10 10:31:02.800</t>
  </si>
  <si>
    <t>2022-06-10 10:31:02.840</t>
  </si>
  <si>
    <t>2022-06-10 10:31:02.880</t>
  </si>
  <si>
    <t>2022-06-10 10:31:02.920</t>
  </si>
  <si>
    <t>2022-06-10 10:31:02.960</t>
  </si>
  <si>
    <t>2022-06-10 10:31:03.000</t>
  </si>
  <si>
    <t>2022-06-10 10:31:03.040</t>
  </si>
  <si>
    <t>2022-06-10 10:31:03.080</t>
  </si>
  <si>
    <t>2022-06-10 10:31:03.120</t>
  </si>
  <si>
    <t>2022-06-10 10:31:03.160</t>
  </si>
  <si>
    <t>2022-06-10 10:31:03.200</t>
  </si>
  <si>
    <t>2022-06-10 10:31:03.240</t>
  </si>
  <si>
    <t>2022-06-10 10:31:03.280</t>
  </si>
  <si>
    <t>2022-06-10 10:31:03.320</t>
  </si>
  <si>
    <t>2022-06-10 10:31:03.360</t>
  </si>
  <si>
    <t>2022-06-10 10:31:03.400</t>
  </si>
  <si>
    <t>2022-06-10 10:31:03.440</t>
  </si>
  <si>
    <t>2022-06-10 10:31:03.480</t>
  </si>
  <si>
    <t>2022-06-10 10:31:03.520</t>
  </si>
  <si>
    <t>2022-06-10 10:31:03.560</t>
  </si>
  <si>
    <t>2022-06-10 10:31:03.600</t>
  </si>
  <si>
    <t>2022-06-10 10:31:03.640</t>
  </si>
  <si>
    <t>2022-06-10 10:31:03.680</t>
  </si>
  <si>
    <t>2022-06-10 10:31:03.720</t>
  </si>
  <si>
    <t>2022-06-10 10:31:03.760</t>
  </si>
  <si>
    <t>2022-06-10 10:31:03.800</t>
  </si>
  <si>
    <t>2022-06-10 10:31:03.840</t>
  </si>
  <si>
    <t>2022-06-10 10:31:03.880</t>
  </si>
  <si>
    <t>2022-06-10 10:31:03.920</t>
  </si>
  <si>
    <t>2022-06-10 10:31:03.960</t>
  </si>
  <si>
    <t>2022-06-10 10:31:04.000</t>
  </si>
  <si>
    <t>2022-06-10 10:31:04.040</t>
  </si>
  <si>
    <t>2022-06-10 10:31:04.080</t>
  </si>
  <si>
    <t>2022-06-10 10:31:04.120</t>
  </si>
  <si>
    <t>2022-06-10 10:31:04.160</t>
  </si>
  <si>
    <t>2022-06-10 10:31:04.200</t>
  </si>
  <si>
    <t>2022-06-10 10:31:04.240</t>
  </si>
  <si>
    <t>2022-06-10 10:31:04.280</t>
  </si>
  <si>
    <t>2022-06-10 10:31:04.320</t>
  </si>
  <si>
    <t>2022-06-10 10:31:04.360</t>
  </si>
  <si>
    <t>2022-06-10 10:31:04.400</t>
  </si>
  <si>
    <t>2022-06-10 10:31:04.440</t>
  </si>
  <si>
    <t>2022-06-10 10:31:04.480</t>
  </si>
  <si>
    <t>2022-06-10 10:31:04.520</t>
  </si>
  <si>
    <t>2022-06-10 10:31:04.560</t>
  </si>
  <si>
    <t>2022-06-10 10:31:04.600</t>
  </si>
  <si>
    <t>2022-06-10 10:31:04.640</t>
  </si>
  <si>
    <t>2022-06-10 10:31:04.680</t>
  </si>
  <si>
    <t>2022-06-10 10:31:04.720</t>
  </si>
  <si>
    <t>2022-06-10 10:31:04.760</t>
  </si>
  <si>
    <t>2022-06-10 10:31:04.800</t>
  </si>
  <si>
    <t>2022-06-10 10:31:04.840</t>
  </si>
  <si>
    <t>2022-06-10 10:31:04.880</t>
  </si>
  <si>
    <t>2022-06-10 10:31:04.920</t>
  </si>
  <si>
    <t>2022-06-10 10:31:04.960</t>
  </si>
  <si>
    <t>2022-06-10 10:31:05.000</t>
  </si>
  <si>
    <t>2022-06-10 10:31:05.040</t>
  </si>
  <si>
    <t>2022-06-10 10:31:05.080</t>
  </si>
  <si>
    <t>2022-06-10 10:31:05.120</t>
  </si>
  <si>
    <t>2022-06-10 10:31:05.160</t>
  </si>
  <si>
    <t>2022-06-10 10:31:05.200</t>
  </si>
  <si>
    <t>2022-06-10 10:31:05.240</t>
  </si>
  <si>
    <t>2022-06-10 10:31:05.280</t>
  </si>
  <si>
    <t>2022-06-10 10:31:05.320</t>
  </si>
  <si>
    <t>2022-06-10 10:31:05.360</t>
  </si>
  <si>
    <t>2022-06-10 10:31:05.400</t>
  </si>
  <si>
    <t>2022-06-10 10:31:05.440</t>
  </si>
  <si>
    <t>2022-06-10 10:31:05.480</t>
  </si>
  <si>
    <t>2022-06-10 10:31:05.520</t>
  </si>
  <si>
    <t>2022-06-10 10:31:05.560</t>
  </si>
  <si>
    <t>2022-06-10 10:31:05.600</t>
  </si>
  <si>
    <t>2022-06-10 10:31:05.640</t>
  </si>
  <si>
    <t>2022-06-10 10:31:05.680</t>
  </si>
  <si>
    <t>2022-06-10 10:31:05.720</t>
  </si>
  <si>
    <t>2022-06-10 10:31:05.760</t>
  </si>
  <si>
    <t>2022-06-10 10:31:05.800</t>
  </si>
  <si>
    <t>2022-06-10 10:31:05.840</t>
  </si>
  <si>
    <t>2022-06-10 10:31:05.880</t>
  </si>
  <si>
    <t>2022-06-10 10:31:05.920</t>
  </si>
  <si>
    <t>2022-06-10 10:31:05.960</t>
  </si>
  <si>
    <t>2022-06-10 10:31:06.000</t>
  </si>
  <si>
    <t>2022-06-10 10:31:06.040</t>
  </si>
  <si>
    <t>2022-06-10 10:31:06.080</t>
  </si>
  <si>
    <t>2022-06-10 10:31:06.120</t>
  </si>
  <si>
    <t>2022-06-10 10:31:06.160</t>
  </si>
  <si>
    <t>2022-06-10 10:31:06.200</t>
  </si>
  <si>
    <t>2022-06-10 10:31:06.240</t>
  </si>
  <si>
    <t>2022-06-10 10:31:06.280</t>
  </si>
  <si>
    <t>2022-06-10 10:31:06.320</t>
  </si>
  <si>
    <t>2022-06-10 10:31:06.360</t>
  </si>
  <si>
    <t>2022-06-10 10:31:06.400</t>
  </si>
  <si>
    <t>2022-06-10 10:31:06.440</t>
  </si>
  <si>
    <t>2022-06-10 10:31:06.480</t>
  </si>
  <si>
    <t>2022-06-10 10:31:06.520</t>
  </si>
  <si>
    <t>2022-06-10 10:31:06.560</t>
  </si>
  <si>
    <t>2022-06-10 10:31:06.600</t>
  </si>
  <si>
    <t>2022-06-10 10:31:06.640</t>
  </si>
  <si>
    <t>2022-06-10 10:31:06.680</t>
  </si>
  <si>
    <t>2022-06-10 10:31:06.720</t>
  </si>
  <si>
    <t>2022-06-10 10:31:06.760</t>
  </si>
  <si>
    <t>2022-06-10 10:31:06.800</t>
  </si>
  <si>
    <t>2022-06-10 10:31:06.840</t>
  </si>
  <si>
    <t>2022-06-10 10:31:06.880</t>
  </si>
  <si>
    <t>2022-06-10 10:31:06.920</t>
  </si>
  <si>
    <t>2022-06-10 10:31:06.960</t>
  </si>
  <si>
    <t>2022-06-10 10:31:07.000</t>
  </si>
  <si>
    <t>2022-06-10 10:31:07.040</t>
  </si>
  <si>
    <t>2022-06-10 10:31:07.080</t>
  </si>
  <si>
    <t>2022-06-10 10:31:07.120</t>
  </si>
  <si>
    <t>2022-06-10 10:31:07.160</t>
  </si>
  <si>
    <t>2022-06-10 10:31:07.200</t>
  </si>
  <si>
    <t>2022-06-10 10:31:07.240</t>
  </si>
  <si>
    <t>2022-06-10 10:31:07.280</t>
  </si>
  <si>
    <t>2022-06-10 10:31:07.320</t>
  </si>
  <si>
    <t>2022-06-10 10:31:07.360</t>
  </si>
  <si>
    <t>2022-06-10 10:31:07.400</t>
  </si>
  <si>
    <t>2022-06-10 10:31:07.440</t>
  </si>
  <si>
    <t>2022-06-10 10:31:07.480</t>
  </si>
  <si>
    <t>2022-06-10 10:31:07.520</t>
  </si>
  <si>
    <t>2022-06-10 10:31:07.560</t>
  </si>
  <si>
    <t>2022-06-10 10:31:07.600</t>
  </si>
  <si>
    <t>2022-06-10 10:31:07.640</t>
  </si>
  <si>
    <t>2022-06-10 10:31:07.680</t>
  </si>
  <si>
    <t>2022-06-10 10:31:07.720</t>
  </si>
  <si>
    <t>2022-06-10 10:31:07.760</t>
  </si>
  <si>
    <t>2022-06-10 10:31:07.800</t>
  </si>
  <si>
    <t>2022-06-10 10:31:07.840</t>
  </si>
  <si>
    <t>2022-06-10 10:31:07.880</t>
  </si>
  <si>
    <t>2022-06-10 10:31:07.920</t>
  </si>
  <si>
    <t>2022-06-10 10:31:07.960</t>
  </si>
  <si>
    <t>2022-06-10 10:31:08.000</t>
  </si>
  <si>
    <t>2022-06-10 10:31:08.040</t>
  </si>
  <si>
    <t>2022-06-10 10:31:08.080</t>
  </si>
  <si>
    <t>2022-06-10 10:31:08.120</t>
  </si>
  <si>
    <t>2022-06-10 10:31:08.160</t>
  </si>
  <si>
    <t>2022-06-10 10:31:08.200</t>
  </si>
  <si>
    <t>2022-06-10 10:31:08.240</t>
  </si>
  <si>
    <t>2022-06-10 10:31:08.280</t>
  </si>
  <si>
    <t>2022-06-10 10:31:08.320</t>
  </si>
  <si>
    <t>2022-06-10 10:31:08.360</t>
  </si>
  <si>
    <t>2022-06-10 10:31:08.400</t>
  </si>
  <si>
    <t>2022-06-10 10:31:08.440</t>
  </si>
  <si>
    <t>2022-06-10 10:31:08.480</t>
  </si>
  <si>
    <t>2022-06-10 10:31:08.520</t>
  </si>
  <si>
    <t>2022-06-10 10:31:08.560</t>
  </si>
  <si>
    <t>2022-06-10 10:31:08.600</t>
  </si>
  <si>
    <t>2022-06-10 10:31:08.640</t>
  </si>
  <si>
    <t>2022-06-10 10:31:08.680</t>
  </si>
  <si>
    <t>2022-06-10 10:31:08.720</t>
  </si>
  <si>
    <t>2022-06-10 10:31:08.760</t>
  </si>
  <si>
    <t>2022-06-10 10:31:08.800</t>
  </si>
  <si>
    <t>2022-06-10 10:31:08.840</t>
  </si>
  <si>
    <t>2022-06-10 10:31:08.880</t>
  </si>
  <si>
    <t>2022-06-10 10:31:08.920</t>
  </si>
  <si>
    <t>2022-06-10 10:31:08.960</t>
  </si>
  <si>
    <t>2022-06-10 10:31:09.000</t>
  </si>
  <si>
    <t>2022-06-10 10:31:09.040</t>
  </si>
  <si>
    <t>2022-06-10 10:31:09.080</t>
  </si>
  <si>
    <t>2022-06-10 10:31:09.120</t>
  </si>
  <si>
    <t>2022-06-10 10:31:09.160</t>
  </si>
  <si>
    <t>2022-06-10 10:31:09.200</t>
  </si>
  <si>
    <t>2022-06-10 10:31:09.240</t>
  </si>
  <si>
    <t>2022-06-10 10:31:09.280</t>
  </si>
  <si>
    <t>2022-06-10 10:31:09.320</t>
  </si>
  <si>
    <t>2022-06-10 10:31:09.360</t>
  </si>
  <si>
    <t>2022-06-10 10:31:09.400</t>
  </si>
  <si>
    <t>2022-06-10 10:31:09.440</t>
  </si>
  <si>
    <t>2022-06-10 10:31:09.480</t>
  </si>
  <si>
    <t>2022-06-10 10:31:09.520</t>
  </si>
  <si>
    <t>2022-06-10 10:31:09.560</t>
  </si>
  <si>
    <t>2022-06-10 10:31:09.600</t>
  </si>
  <si>
    <t>2022-06-10 10:31:09.640</t>
  </si>
  <si>
    <t>2022-06-10 10:31:09.680</t>
  </si>
  <si>
    <t>2022-06-10 10:31:09.720</t>
  </si>
  <si>
    <t>2022-06-10 10:31:09.760</t>
  </si>
  <si>
    <t>2022-06-10 10:31:09.800</t>
  </si>
  <si>
    <t>2022-06-10 10:31:09.840</t>
  </si>
  <si>
    <t>2022-06-10 10:31:09.880</t>
  </si>
  <si>
    <t>2022-06-10 10:31:09.920</t>
  </si>
  <si>
    <t>2022-06-10 10:31:09.960</t>
  </si>
  <si>
    <t>2022-06-10 10:31:10.000</t>
  </si>
  <si>
    <t>2022-06-10 10:31:10.040</t>
  </si>
  <si>
    <t>2022-06-10 10:31:10.080</t>
  </si>
  <si>
    <t>2022-06-10 10:31:10.120</t>
  </si>
  <si>
    <t>2022-06-10 10:31:10.160</t>
  </si>
  <si>
    <t>2022-06-10 10:31:10.200</t>
  </si>
  <si>
    <t>2022-06-10 10:31:10.240</t>
  </si>
  <si>
    <t>2022-06-10 10:31:10.280</t>
  </si>
  <si>
    <t>2022-06-10 10:31:10.320</t>
  </si>
  <si>
    <t>2022-06-10 10:31:10.360</t>
  </si>
  <si>
    <t>2022-06-10 10:31:10.400</t>
  </si>
  <si>
    <t>2022-06-10 10:31:10.440</t>
  </si>
  <si>
    <t>2022-06-10 10:31:10.480</t>
  </si>
  <si>
    <t>2022-06-10 10:31:10.520</t>
  </si>
  <si>
    <t>2022-06-10 10:31:10.560</t>
  </si>
  <si>
    <t>2022-06-10 10:31:10.600</t>
  </si>
  <si>
    <t>2022-06-10 10:31:10.640</t>
  </si>
  <si>
    <t>2022-06-10 10:31:10.680</t>
  </si>
  <si>
    <t>2022-06-10 10:31:10.720</t>
  </si>
  <si>
    <t>2022-06-10 10:31:10.760</t>
  </si>
  <si>
    <t>2022-06-10 10:31:10.800</t>
  </si>
  <si>
    <t>2022-06-10 10:31:10.840</t>
  </si>
  <si>
    <t>2022-06-10 10:31:10.880</t>
  </si>
  <si>
    <t>2022-06-10 10:31:10.920</t>
  </si>
  <si>
    <t>2022-06-10 10:31:10.960</t>
  </si>
  <si>
    <t>2022-06-10 10:31:11.000</t>
  </si>
  <si>
    <t>2022-06-10 10:31:11.040</t>
  </si>
  <si>
    <t>2022-06-10 10:31:11.080</t>
  </si>
  <si>
    <t>2022-06-10 10:31:11.120</t>
  </si>
  <si>
    <t>2022-06-10 10:31:11.160</t>
  </si>
  <si>
    <t>2022-06-10 10:31:11.200</t>
  </si>
  <si>
    <t>2022-06-10 10:31:11.240</t>
  </si>
  <si>
    <t>2022-06-10 10:31:11.280</t>
  </si>
  <si>
    <t>2022-06-10 10:31:11.320</t>
  </si>
  <si>
    <t>2022-06-10 10:31:11.360</t>
  </si>
  <si>
    <t>2022-06-10 10:31:11.400</t>
  </si>
  <si>
    <t>2022-06-10 10:31:11.440</t>
  </si>
  <si>
    <t>2022-06-10 10:31:11.480</t>
  </si>
  <si>
    <t>2022-06-10 10:31:11.520</t>
  </si>
  <si>
    <t>2022-06-10 10:31:11.560</t>
  </si>
  <si>
    <t>2022-06-10 10:31:11.600</t>
  </si>
  <si>
    <t>2022-06-10 10:31:11.640</t>
  </si>
  <si>
    <t>2022-06-10 10:31:11.680</t>
  </si>
  <si>
    <t>2022-06-10 10:31:11.720</t>
  </si>
  <si>
    <t>2022-06-10 10:31:11.760</t>
  </si>
  <si>
    <t>2022-06-10 10:31:11.800</t>
  </si>
  <si>
    <t>2022-06-10 10:31:11.840</t>
  </si>
  <si>
    <t>2022-06-10 10:31:11.880</t>
  </si>
  <si>
    <t>2022-06-10 10:31:11.920</t>
  </si>
  <si>
    <t>2022-06-10 10:31:11.960</t>
  </si>
  <si>
    <t>2022-06-10 10:31:12.000</t>
  </si>
  <si>
    <t>2022-06-10 10:31:12.040</t>
  </si>
  <si>
    <t>2022-06-10 10:31:12.080</t>
  </si>
  <si>
    <t>2022-06-10 10:31:12.120</t>
  </si>
  <si>
    <t>2022-06-10 10:31:12.160</t>
  </si>
  <si>
    <t>2022-06-10 10:31:12.200</t>
  </si>
  <si>
    <t>2022-06-10 10:31:12.240</t>
  </si>
  <si>
    <t>2022-06-10 10:31:12.280</t>
  </si>
  <si>
    <t>2022-06-10 10:31:12.320</t>
  </si>
  <si>
    <t>2022-06-10 10:31:12.360</t>
  </si>
  <si>
    <t>2022-06-10 10:31:12.400</t>
  </si>
  <si>
    <t>2022-06-10 10:31:12.440</t>
  </si>
  <si>
    <t>2022-06-10 10:31:12.480</t>
  </si>
  <si>
    <t>2022-06-10 10:31:12.520</t>
  </si>
  <si>
    <t>2022-06-10 10:31:12.560</t>
  </si>
  <si>
    <t>2022-06-10 10:31:12.600</t>
  </si>
  <si>
    <t>2022-06-10 10:31:12.640</t>
  </si>
  <si>
    <t>2022-06-10 10:31:12.680</t>
  </si>
  <si>
    <t>2022-06-10 10:31:12.720</t>
  </si>
  <si>
    <t>2022-06-10 10:31:12.760</t>
  </si>
  <si>
    <t>2022-06-10 10:31:12.800</t>
  </si>
  <si>
    <t>2022-06-10 10:31:12.840</t>
  </si>
  <si>
    <t>2022-06-10 10:31:12.880</t>
  </si>
  <si>
    <t>2022-06-10 10:31:12.920</t>
  </si>
  <si>
    <t>2022-06-10 10:31:12.960</t>
  </si>
  <si>
    <t>2022-06-10 10:31:13.000</t>
  </si>
  <si>
    <t>2022-06-10 10:31:13.040</t>
  </si>
  <si>
    <t>2022-06-10 10:31:13.080</t>
  </si>
  <si>
    <t>2022-06-10 10:31:13.120</t>
  </si>
  <si>
    <t>2022-06-10 10:31:13.160</t>
  </si>
  <si>
    <t>2022-06-10 10:31:13.200</t>
  </si>
  <si>
    <t>2022-06-10 10:31:13.240</t>
  </si>
  <si>
    <t>2022-06-10 10:31:13.280</t>
  </si>
  <si>
    <t>2022-06-10 10:31:13.320</t>
  </si>
  <si>
    <t>2022-06-10 10:31:13.360</t>
  </si>
  <si>
    <t>2022-06-10 10:31:13.400</t>
  </si>
  <si>
    <t>2022-06-10 10:31:13.440</t>
  </si>
  <si>
    <t>2022-06-10 10:31:13.480</t>
  </si>
  <si>
    <t>2022-06-10 10:31:13.520</t>
  </si>
  <si>
    <t>2022-06-10 10:31:13.560</t>
  </si>
  <si>
    <t>2022-06-10 10:31:13.600</t>
  </si>
  <si>
    <t>2022-06-10 10:31:13.640</t>
  </si>
  <si>
    <t>2022-06-10 10:31:13.680</t>
  </si>
  <si>
    <t>2022-06-10 10:31:13.720</t>
  </si>
  <si>
    <t>2022-06-10 10:31:13.760</t>
  </si>
  <si>
    <t>2022-06-10 10:31:13.800</t>
  </si>
  <si>
    <t>2022-06-10 10:31:13.840</t>
  </si>
  <si>
    <t>2022-06-10 10:31:13.880</t>
  </si>
  <si>
    <t>2022-06-10 10:31:13.920</t>
  </si>
  <si>
    <t>2022-06-10 10:31:13.960</t>
  </si>
  <si>
    <t>2022-06-10 10:31:14.000</t>
  </si>
  <si>
    <t>2022-06-10 10:31:14.040</t>
  </si>
  <si>
    <t>2022-06-10 10:31:14.080</t>
  </si>
  <si>
    <t>2022-06-10 10:31:14.120</t>
  </si>
  <si>
    <t>2022-06-10 10:31:14.160</t>
  </si>
  <si>
    <t>2022-06-10 10:31:14.200</t>
  </si>
  <si>
    <t>2022-06-10 10:31:14.240</t>
  </si>
  <si>
    <t>2022-06-10 10:31:14.280</t>
  </si>
  <si>
    <t>2022-06-10 10:31:14.320</t>
  </si>
  <si>
    <t>2022-06-10 10:31:14.360</t>
  </si>
  <si>
    <t>2022-06-10 10:31:14.400</t>
  </si>
  <si>
    <t>2022-06-10 10:31:14.440</t>
  </si>
  <si>
    <t>2022-06-10 10:31:14.480</t>
  </si>
  <si>
    <t>2022-06-10 10:31:14.520</t>
  </si>
  <si>
    <t>2022-06-10 10:31:14.560</t>
  </si>
  <si>
    <t>2022-06-10 10:31:14.600</t>
  </si>
  <si>
    <t>2022-06-10 10:31:14.640</t>
  </si>
  <si>
    <t>2022-06-10 10:31:14.680</t>
  </si>
  <si>
    <t>2022-06-10 10:31:14.720</t>
  </si>
  <si>
    <t>2022-06-10 10:31:14.760</t>
  </si>
  <si>
    <t>2022-06-10 10:31:14.800</t>
  </si>
  <si>
    <t>2022-06-10 10:31:14.840</t>
  </si>
  <si>
    <t>2022-06-10 10:31:14.880</t>
  </si>
  <si>
    <t>2022-06-10 10:31:14.920</t>
  </si>
  <si>
    <t>2022-06-10 10:31:14.960</t>
  </si>
  <si>
    <t>2022-06-10 10:31:15.000</t>
  </si>
  <si>
    <t>2022-06-10 10:31:15.040</t>
  </si>
  <si>
    <t>2022-06-10 10:31:15.080</t>
  </si>
  <si>
    <t>2022-06-10 10:31:15.120</t>
  </si>
  <si>
    <t>2022-06-10 10:31:15.160</t>
  </si>
  <si>
    <t>2022-06-10 10:31:15.200</t>
  </si>
  <si>
    <t>2022-06-10 10:31:15.240</t>
  </si>
  <si>
    <t>2022-06-10 10:31:15.280</t>
  </si>
  <si>
    <t>2022-06-10 10:31:15.320</t>
  </si>
  <si>
    <t>2022-06-10 10:31:15.360</t>
  </si>
  <si>
    <t>2022-06-10 10:31:15.400</t>
  </si>
  <si>
    <t>2022-06-10 10:31:15.440</t>
  </si>
  <si>
    <t>2022-06-10 10:31:15.480</t>
  </si>
  <si>
    <t>2022-06-10 10:31:15.520</t>
  </si>
  <si>
    <t>2022-06-10 10:31:15.560</t>
  </si>
  <si>
    <t>2022-06-10 10:31:15.600</t>
  </si>
  <si>
    <t>2022-06-10 10:31:15.640</t>
  </si>
  <si>
    <t>2022-06-10 10:31:15.680</t>
  </si>
  <si>
    <t>2022-06-10 10:31:15.720</t>
  </si>
  <si>
    <t>2022-06-10 10:31:15.760</t>
  </si>
  <si>
    <t>2022-06-10 10:31:15.800</t>
  </si>
  <si>
    <t>2022-06-10 10:31:15.840</t>
  </si>
  <si>
    <t>2022-06-10 10:31:15.880</t>
  </si>
  <si>
    <t>2022-06-10 10:31:15.920</t>
  </si>
  <si>
    <t>2022-06-10 10:31:15.960</t>
  </si>
  <si>
    <t>2022-06-10 10:31:16.000</t>
  </si>
  <si>
    <t>2022-06-10 10:31:16.040</t>
  </si>
  <si>
    <t>2022-06-10 10:31:16.080</t>
  </si>
  <si>
    <t>2022-06-10 10:31:16.120</t>
  </si>
  <si>
    <t>2022-06-10 10:31:16.160</t>
  </si>
  <si>
    <t>2022-06-10 10:31:16.200</t>
  </si>
  <si>
    <t>2022-06-10 10:31:16.240</t>
  </si>
  <si>
    <t>2022-06-10 10:31:16.280</t>
  </si>
  <si>
    <t>2022-06-10 10:31:16.320</t>
  </si>
  <si>
    <t>2022-06-10 10:31:16.360</t>
  </si>
  <si>
    <t>2022-06-10 10:31:16.400</t>
  </si>
  <si>
    <t>2022-06-10 10:31:16.440</t>
  </si>
  <si>
    <t>2022-06-10 10:31:16.480</t>
  </si>
  <si>
    <t>2022-06-10 10:31:16.520</t>
  </si>
  <si>
    <t>2022-06-10 10:31:16.560</t>
  </si>
  <si>
    <t>2022-06-10 10:31:16.600</t>
  </si>
  <si>
    <t>2022-06-10 10:31:16.640</t>
  </si>
  <si>
    <t>2022-06-10 10:31:16.680</t>
  </si>
  <si>
    <t>2022-06-10 10:31:16.720</t>
  </si>
  <si>
    <t>2022-06-10 10:31:16.760</t>
  </si>
  <si>
    <t>2022-06-10 10:31:16.800</t>
  </si>
  <si>
    <t>2022-06-10 10:31:16.840</t>
  </si>
  <si>
    <t>2022-06-10 10:31:16.880</t>
  </si>
  <si>
    <t>2022-06-10 10:31:16.920</t>
  </si>
  <si>
    <t>2022-06-10 10:31:16.960</t>
  </si>
  <si>
    <t>2022-06-10 10:31:17.000</t>
  </si>
  <si>
    <t>2022-06-10 10:31:17.040</t>
  </si>
  <si>
    <t>2022-06-10 10:31:17.080</t>
  </si>
  <si>
    <t>2022-06-10 10:31:17.120</t>
  </si>
  <si>
    <t>2022-06-10 10:31:17.160</t>
  </si>
  <si>
    <t>2022-06-10 10:31:17.200</t>
  </si>
  <si>
    <t>2022-06-10 10:31:17.240</t>
  </si>
  <si>
    <t>2022-06-10 10:31:17.280</t>
  </si>
  <si>
    <t>2022-06-10 10:31:17.320</t>
  </si>
  <si>
    <t>2022-06-10 10:31:17.360</t>
  </si>
  <si>
    <t>2022-06-10 10:31:17.400</t>
  </si>
  <si>
    <t>2022-06-10 10:31:17.440</t>
  </si>
  <si>
    <t>2022-06-10 10:31:17.480</t>
  </si>
  <si>
    <t>2022-06-10 10:31:17.520</t>
  </si>
  <si>
    <t>2022-06-10 10:31:17.560</t>
  </si>
  <si>
    <t>2022-06-10 10:31:17.600</t>
  </si>
  <si>
    <t>2022-06-10 10:31:17.640</t>
  </si>
  <si>
    <t>2022-06-10 10:31:17.680</t>
  </si>
  <si>
    <t>2022-06-10 10:31:17.720</t>
  </si>
  <si>
    <t>2022-06-10 10:31:17.760</t>
  </si>
  <si>
    <t>2022-06-10 10:31:17.800</t>
  </si>
  <si>
    <t>2022-06-10 10:31:17.840</t>
  </si>
  <si>
    <t>2022-06-10 10:31:17.880</t>
  </si>
  <si>
    <t>2022-06-10 10:31:17.920</t>
  </si>
  <si>
    <t>2022-06-10 10:31:17.960</t>
  </si>
  <si>
    <t>2022-06-10 10:31:18.000</t>
  </si>
  <si>
    <t>2022-06-10 10:31:18.040</t>
  </si>
  <si>
    <t>2022-06-10 10:31:18.080</t>
  </si>
  <si>
    <t>2022-06-10 10:31:18.120</t>
  </si>
  <si>
    <t>2022-06-10 10:31:18.160</t>
  </si>
  <si>
    <t>2022-06-10 10:31:18.200</t>
  </si>
  <si>
    <t>2022-06-10 10:31:18.240</t>
  </si>
  <si>
    <t>2022-06-10 10:31:18.280</t>
  </si>
  <si>
    <t>2022-06-10 10:31:18.320</t>
  </si>
  <si>
    <t>2022-06-10 10:31:18.360</t>
  </si>
  <si>
    <t>2022-06-10 10:31:18.400</t>
  </si>
  <si>
    <t>2022-06-10 10:31:18.440</t>
  </si>
  <si>
    <t>2022-06-10 10:31:18.480</t>
  </si>
  <si>
    <t>2022-06-10 10:31:18.520</t>
  </si>
  <si>
    <t>2022-06-10 10:31:18.560</t>
  </si>
  <si>
    <t>2022-06-10 10:31:18.600</t>
  </si>
  <si>
    <t>2022-06-10 10:31:18.640</t>
  </si>
  <si>
    <t>2022-06-10 10:31:18.680</t>
  </si>
  <si>
    <t>2022-06-10 10:31:18.720</t>
  </si>
  <si>
    <t>2022-06-10 10:31:18.760</t>
  </si>
  <si>
    <t>2022-06-10 10:31:18.800</t>
  </si>
  <si>
    <t>2022-06-10 10:31:18.840</t>
  </si>
  <si>
    <t>2022-06-10 10:31:18.880</t>
  </si>
  <si>
    <t>2022-06-10 10:31:18.920</t>
  </si>
  <si>
    <t>2022-06-10 10:31:18.960</t>
  </si>
  <si>
    <t>2022-06-10 10:31:19.000</t>
  </si>
  <si>
    <t>2022-06-10 10:31:19.040</t>
  </si>
  <si>
    <t>2022-06-10 10:31:19.080</t>
  </si>
  <si>
    <t>2022-06-10 10:31:19.120</t>
  </si>
  <si>
    <t>2022-06-10 10:31:19.160</t>
  </si>
  <si>
    <t>2022-06-10 10:31:19.200</t>
  </si>
  <si>
    <t>2022-06-10 10:31:19.240</t>
  </si>
  <si>
    <t>2022-06-10 10:31:19.280</t>
  </si>
  <si>
    <t>2022-06-10 10:31:19.320</t>
  </si>
  <si>
    <t>2022-06-10 10:31:19.360</t>
  </si>
  <si>
    <t>2022-06-10 10:31:19.400</t>
  </si>
  <si>
    <t>2022-06-10 10:31:19.440</t>
  </si>
  <si>
    <t>2022-06-10 10:31:19.480</t>
  </si>
  <si>
    <t>2022-06-10 10:31:19.520</t>
  </si>
  <si>
    <t>2022-06-10 10:31:19.560</t>
  </si>
  <si>
    <t>2022-06-10 10:31:19.600</t>
  </si>
  <si>
    <t>2022-06-10 10:31:19.640</t>
  </si>
  <si>
    <t>2022-06-10 10:31:19.680</t>
  </si>
  <si>
    <t>2022-06-10 10:31:19.720</t>
  </si>
  <si>
    <t>2022-06-10 10:31:19.760</t>
  </si>
  <si>
    <t>2022-06-10 10:31:19.800</t>
  </si>
  <si>
    <t>2022-06-10 10:31:19.840</t>
  </si>
  <si>
    <t>2022-06-10 10:31:19.880</t>
  </si>
  <si>
    <t>2022-06-10 10:31:19.920</t>
  </si>
  <si>
    <t>2022-06-10 10:31:19.960</t>
  </si>
  <si>
    <t>2022-06-10 10:31:20.000</t>
  </si>
  <si>
    <t>2022-06-10 10:31:20.040</t>
  </si>
  <si>
    <t>2022-06-10 10:31:20.080</t>
  </si>
  <si>
    <t>2022-06-10 10:31:20.120</t>
  </si>
  <si>
    <t>2022-06-10 10:31:20.160</t>
  </si>
  <si>
    <t>2022-06-10 10:31:20.200</t>
  </si>
  <si>
    <t>2022-06-10 10:31:20.240</t>
  </si>
  <si>
    <t>2022-06-10 10:31:20.280</t>
  </si>
  <si>
    <t>2022-06-10 10:31:20.320</t>
  </si>
  <si>
    <t>2022-06-10 10:31:20.360</t>
  </si>
  <si>
    <t>2022-06-10 10:31:20.400</t>
  </si>
  <si>
    <t>2022-06-10 10:31:20.440</t>
  </si>
  <si>
    <t>2022-06-10 10:31:20.480</t>
  </si>
  <si>
    <t>2022-06-10 10:31:20.520</t>
  </si>
  <si>
    <t>2022-06-10 10:31:20.560</t>
  </si>
  <si>
    <t>2022-06-10 10:31:20.600</t>
  </si>
  <si>
    <t>2022-06-10 10:31:20.640</t>
  </si>
  <si>
    <t>2022-06-10 10:31:20.680</t>
  </si>
  <si>
    <t>2022-06-10 10:31:20.720</t>
  </si>
  <si>
    <t>2022-06-10 10:31:20.760</t>
  </si>
  <si>
    <t>2022-06-10 10:31:20.800</t>
  </si>
  <si>
    <t>2022-06-10 10:31:20.840</t>
  </si>
  <si>
    <t>2022-06-10 10:31:20.880</t>
  </si>
  <si>
    <t>2022-06-10 10:31:20.920</t>
  </si>
  <si>
    <t>2022-06-10 10:31:20.960</t>
  </si>
  <si>
    <t>2022-06-10 10:31:21.000</t>
  </si>
  <si>
    <t>2022-06-10 10:31:21.040</t>
  </si>
  <si>
    <t>2022-06-10 10:31:21.080</t>
  </si>
  <si>
    <t>2022-06-10 10:31:21.120</t>
  </si>
  <si>
    <t>2022-06-10 10:31:21.160</t>
  </si>
  <si>
    <t>2022-06-10 10:31:21.200</t>
  </si>
  <si>
    <t>2022-06-10 10:31:21.240</t>
  </si>
  <si>
    <t>2022-06-10 10:31:21.280</t>
  </si>
  <si>
    <t>2022-06-10 10:31:21.320</t>
  </si>
  <si>
    <t>2022-06-10 10:31:21.360</t>
  </si>
  <si>
    <t>2022-06-10 10:31:21.400</t>
  </si>
  <si>
    <t>2022-06-10 10:31:21.440</t>
  </si>
  <si>
    <t>2022-06-10 10:31:21.480</t>
  </si>
  <si>
    <t>2022-06-10 10:31:21.520</t>
  </si>
  <si>
    <t>2022-06-10 10:31:21.560</t>
  </si>
  <si>
    <t>2022-06-10 10:31:21.600</t>
  </si>
  <si>
    <t>2022-06-10 10:31:21.640</t>
  </si>
  <si>
    <t>2022-06-10 10:31:21.680</t>
  </si>
  <si>
    <t>2022-06-10 10:31:21.720</t>
  </si>
  <si>
    <t>2022-06-10 10:31:21.760</t>
  </si>
  <si>
    <t>2022-06-10 10:31:21.800</t>
  </si>
  <si>
    <t>2022-06-10 10:31:21.840</t>
  </si>
  <si>
    <t>2022-06-10 10:31:21.880</t>
  </si>
  <si>
    <t>2022-06-10 10:31:21.920</t>
  </si>
  <si>
    <t>2022-06-10 10:31:21.960</t>
  </si>
  <si>
    <t>2022-06-10 10:31:22.000</t>
  </si>
  <si>
    <t>2022-06-10 10:31:22.040</t>
  </si>
  <si>
    <t>2022-06-10 10:31:22.080</t>
  </si>
  <si>
    <t>2022-06-10 10:31:22.120</t>
  </si>
  <si>
    <t>2022-06-10 10:31:22.160</t>
  </si>
  <si>
    <t>2022-06-10 10:31:22.200</t>
  </si>
  <si>
    <t>2022-06-10 10:31:22.240</t>
  </si>
  <si>
    <t>2022-06-10 10:31:22.280</t>
  </si>
  <si>
    <t>2022-06-10 10:31:22.320</t>
  </si>
  <si>
    <t>2022-06-10 10:31:22.360</t>
  </si>
  <si>
    <t>2022-06-10 10:31:22.400</t>
  </si>
  <si>
    <t>2022-06-10 10:31:22.440</t>
  </si>
  <si>
    <t>2022-06-10 10:31:22.480</t>
  </si>
  <si>
    <t>2022-06-10 10:31:22.520</t>
  </si>
  <si>
    <t>2022-06-10 10:31:22.560</t>
  </si>
  <si>
    <t>2022-06-10 10:31:22.600</t>
  </si>
  <si>
    <t>2022-06-10 10:31:22.640</t>
  </si>
  <si>
    <t>2022-06-10 10:31:22.680</t>
  </si>
  <si>
    <t>2022-06-10 10:31:22.720</t>
  </si>
  <si>
    <t>2022-06-10 10:31:22.760</t>
  </si>
  <si>
    <t>2022-06-10 10:31:22.800</t>
  </si>
  <si>
    <t>2022-06-10 10:31:22.840</t>
  </si>
  <si>
    <t>2022-06-10 10:31:22.880</t>
  </si>
  <si>
    <t>2022-06-10 10:31:22.920</t>
  </si>
  <si>
    <t>2022-06-10 10:31:22.960</t>
  </si>
  <si>
    <t>2022-06-10 10:31:23.000</t>
  </si>
  <si>
    <t>2022-06-10 10:31:23.040</t>
  </si>
  <si>
    <t>2022-06-10 10:31:23.080</t>
  </si>
  <si>
    <t>2022-06-10 10:31:23.120</t>
  </si>
  <si>
    <t>2022-06-10 10:31:23.160</t>
  </si>
  <si>
    <t>2022-06-10 10:31:23.200</t>
  </si>
  <si>
    <t>2022-06-10 10:31:23.240</t>
  </si>
  <si>
    <t>2022-06-10 10:31:23.280</t>
  </si>
  <si>
    <t>2022-06-10 10:31:23.320</t>
  </si>
  <si>
    <t>2022-06-10 10:31:23.360</t>
  </si>
  <si>
    <t>2022-06-10 10:31:23.400</t>
  </si>
  <si>
    <t>2022-06-10 10:31:23.440</t>
  </si>
  <si>
    <t>2022-06-10 10:31:23.480</t>
  </si>
  <si>
    <t>2022-06-10 10:31:23.520</t>
  </si>
  <si>
    <t>2022-06-10 10:31:23.560</t>
  </si>
  <si>
    <t>2022-06-10 10:31:23.600</t>
  </si>
  <si>
    <t>2022-06-10 10:31:23.640</t>
  </si>
  <si>
    <t>2022-06-10 10:31:23.680</t>
  </si>
  <si>
    <t>2022-06-10 10:31:23.720</t>
  </si>
  <si>
    <t>2022-06-10 10:31:23.760</t>
  </si>
  <si>
    <t>2022-06-10 10:31:23.800</t>
  </si>
  <si>
    <t>2022-06-10 10:31:23.840</t>
  </si>
  <si>
    <t>2022-06-10 10:31:23.880</t>
  </si>
  <si>
    <t>2022-06-10 10:31:23.920</t>
  </si>
  <si>
    <t>2022-06-10 10:31:23.960</t>
  </si>
  <si>
    <t>2022-06-10 10:31:24.000</t>
  </si>
  <si>
    <t>2022-06-10 10:31:24.040</t>
  </si>
  <si>
    <t>2022-06-10 10:31:24.080</t>
  </si>
  <si>
    <t>2022-06-10 10:31:24.120</t>
  </si>
  <si>
    <t>2022-06-10 10:31:24.160</t>
  </si>
  <si>
    <t>2022-06-10 10:31:24.200</t>
  </si>
  <si>
    <t>2022-06-10 10:31:24.240</t>
  </si>
  <si>
    <t>2022-06-10 10:31:24.280</t>
  </si>
  <si>
    <t>2022-06-10 10:31:24.320</t>
  </si>
  <si>
    <t>2022-06-10 10:31:24.360</t>
  </si>
  <si>
    <t>2022-06-10 10:31:24.400</t>
  </si>
  <si>
    <t>2022-06-10 10:31:24.440</t>
  </si>
  <si>
    <t>2022-06-10 10:31:24.480</t>
  </si>
  <si>
    <t>2022-06-10 10:31:24.520</t>
  </si>
  <si>
    <t>2022-06-10 10:31:24.560</t>
  </si>
  <si>
    <t>2022-06-10 10:31:24.600</t>
  </si>
  <si>
    <t>2022-06-10 10:31:24.640</t>
  </si>
  <si>
    <t>2022-06-10 10:31:24.680</t>
  </si>
  <si>
    <t>2022-06-10 10:31:24.720</t>
  </si>
  <si>
    <t>2022-06-10 10:31:24.760</t>
  </si>
  <si>
    <t>2022-06-10 10:31:24.800</t>
  </si>
  <si>
    <t>2022-06-10 10:31:24.840</t>
  </si>
  <si>
    <t>2022-06-10 10:31:24.880</t>
  </si>
  <si>
    <t>2022-06-10 10:31:24.920</t>
  </si>
  <si>
    <t>2022-06-10 10:31:24.960</t>
  </si>
  <si>
    <t>2022-06-10 10:31:25.000</t>
  </si>
  <si>
    <t>2022-06-10 10:31:25.040</t>
  </si>
  <si>
    <t>2022-06-10 10:31:25.080</t>
  </si>
  <si>
    <t>2022-06-10 10:31:25.120</t>
  </si>
  <si>
    <t>2022-06-10 10:31:25.160</t>
  </si>
  <si>
    <t>2022-06-10 10:31:25.200</t>
  </si>
  <si>
    <t>2022-06-10 10:31:25.240</t>
  </si>
  <si>
    <t>2022-06-10 10:31:25.280</t>
  </si>
  <si>
    <t>2022-06-10 10:31:25.320</t>
  </si>
  <si>
    <t>2022-06-10 10:31:25.360</t>
  </si>
  <si>
    <t>2022-06-10 10:31:25.400</t>
  </si>
  <si>
    <t>2022-06-10 10:31:25.440</t>
  </si>
  <si>
    <t>2022-06-10 10:31:25.480</t>
  </si>
  <si>
    <t>2022-06-10 10:31:25.520</t>
  </si>
  <si>
    <t>2022-06-10 10:31:25.560</t>
  </si>
  <si>
    <t>2022-06-10 10:31:25.600</t>
  </si>
  <si>
    <t>2022-06-10 10:31:25.640</t>
  </si>
  <si>
    <t>2022-06-10 10:31:25.680</t>
  </si>
  <si>
    <t>2022-06-10 10:31:25.720</t>
  </si>
  <si>
    <t>2022-06-10 10:31:25.760</t>
  </si>
  <si>
    <t>2022-06-10 10:31:25.800</t>
  </si>
  <si>
    <t>2022-06-10 10:31:25.840</t>
  </si>
  <si>
    <t>2022-06-10 10:31:25.880</t>
  </si>
  <si>
    <t>2022-06-10 10:31:25.920</t>
  </si>
  <si>
    <t>2022-06-10 10:31:25.960</t>
  </si>
  <si>
    <t>2022-06-10 10:31:26.000</t>
  </si>
  <si>
    <t>2022-06-10 10:31:26.040</t>
  </si>
  <si>
    <t>2022-06-10 10:31:26.080</t>
  </si>
  <si>
    <t>2022-06-10 10:31:26.120</t>
  </si>
  <si>
    <t>2022-06-10 10:31:26.160</t>
  </si>
  <si>
    <t>2022-06-10 10:31:26.200</t>
  </si>
  <si>
    <t>2022-06-10 10:31:26.240</t>
  </si>
  <si>
    <t>2022-06-10 10:31:26.280</t>
  </si>
  <si>
    <t>2022-06-10 10:31:26.320</t>
  </si>
  <si>
    <t>2022-06-10 10:31:26.360</t>
  </si>
  <si>
    <t>2022-06-10 10:31:26.400</t>
  </si>
  <si>
    <t>2022-06-10 10:31:26.440</t>
  </si>
  <si>
    <t>2022-06-10 10:31:26.480</t>
  </si>
  <si>
    <t>2022-06-10 10:31:26.520</t>
  </si>
  <si>
    <t>2022-06-10 10:31:26.560</t>
  </si>
  <si>
    <t>2022-06-10 10:31:26.600</t>
  </si>
  <si>
    <t>2022-06-10 10:31:26.640</t>
  </si>
  <si>
    <t>2022-06-10 10:31:26.680</t>
  </si>
  <si>
    <t>2022-06-10 10:31:26.720</t>
  </si>
  <si>
    <t>2022-06-10 10:31:26.760</t>
  </si>
  <si>
    <t>2022-06-10 10:31:26.800</t>
  </si>
  <si>
    <t>2022-06-10 10:31:26.840</t>
  </si>
  <si>
    <t>2022-06-10 10:31:26.880</t>
  </si>
  <si>
    <t>2022-06-10 10:31:26.920</t>
  </si>
  <si>
    <t>2022-06-10 10:31:26.960</t>
  </si>
  <si>
    <t>2022-06-10 10:31:27.000</t>
  </si>
  <si>
    <t>2022-06-10 10:31:27.040</t>
  </si>
  <si>
    <t>2022-06-10 10:31:27.080</t>
  </si>
  <si>
    <t>2022-06-10 10:31:27.120</t>
  </si>
  <si>
    <t>2022-06-10 10:31:27.160</t>
  </si>
  <si>
    <t>2022-06-10 10:31:27.200</t>
  </si>
  <si>
    <t>2022-06-10 10:31:27.240</t>
  </si>
  <si>
    <t>2022-06-10 10:31:27.280</t>
  </si>
  <si>
    <t>2022-06-10 10:31:27.320</t>
  </si>
  <si>
    <t>2022-06-10 10:31:27.360</t>
  </si>
  <si>
    <t>2022-06-10 10:31:27.400</t>
  </si>
  <si>
    <t>2022-06-10 10:31:27.440</t>
  </si>
  <si>
    <t>2022-06-10 10:31:27.480</t>
  </si>
  <si>
    <t>2022-06-10 10:31:27.520</t>
  </si>
  <si>
    <t>2022-06-10 10:31:27.560</t>
  </si>
  <si>
    <t>2022-06-10 10:31:27.600</t>
  </si>
  <si>
    <t>2022-06-10 10:31:27.640</t>
  </si>
  <si>
    <t>2022-06-10 10:31:27.680</t>
  </si>
  <si>
    <t>2022-06-10 10:31:27.720</t>
  </si>
  <si>
    <t>2022-06-10 10:31:27.760</t>
  </si>
  <si>
    <t>2022-06-10 10:31:27.800</t>
  </si>
  <si>
    <t>2022-06-10 10:31:27.840</t>
  </si>
  <si>
    <t>2022-06-10 10:31:27.880</t>
  </si>
  <si>
    <t>2022-06-10 10:31:27.920</t>
  </si>
  <si>
    <t>2022-06-10 10:31:27.960</t>
  </si>
  <si>
    <t>2022-06-10 10:31:28.000</t>
  </si>
  <si>
    <t>2022-06-10 10:31:28.040</t>
  </si>
  <si>
    <t>2022-06-10 10:31:28.080</t>
  </si>
  <si>
    <t>2022-06-10 10:31:28.120</t>
  </si>
  <si>
    <t>2022-06-10 10:31:28.160</t>
  </si>
  <si>
    <t>2022-06-10 10:31:28.200</t>
  </si>
  <si>
    <t>2022-06-10 10:31:28.240</t>
  </si>
  <si>
    <t>2022-06-10 10:31:28.280</t>
  </si>
  <si>
    <t>2022-06-10 10:31:28.320</t>
  </si>
  <si>
    <t>2022-06-10 10:31:28.360</t>
  </si>
  <si>
    <t>2022-06-10 10:31:28.400</t>
  </si>
  <si>
    <t>2022-06-10 10:31:28.440</t>
  </si>
  <si>
    <t>2022-06-10 10:31:28.480</t>
  </si>
  <si>
    <t>2022-06-10 10:31:28.520</t>
  </si>
  <si>
    <t>2022-06-10 10:31:28.560</t>
  </si>
  <si>
    <t>2022-06-10 10:31:28.600</t>
  </si>
  <si>
    <t>2022-06-10 10:31:28.640</t>
  </si>
  <si>
    <t>2022-06-10 10:31:28.680</t>
  </si>
  <si>
    <t>2022-06-10 10:31:28.720</t>
  </si>
  <si>
    <t>2022-06-10 10:31:28.760</t>
  </si>
  <si>
    <t>2022-06-10 10:31:28.800</t>
  </si>
  <si>
    <t>2022-06-10 10:31:28.840</t>
  </si>
  <si>
    <t>2022-06-10 10:31:28.880</t>
  </si>
  <si>
    <t>2022-06-10 10:31:28.920</t>
  </si>
  <si>
    <t>2022-06-10 10:31:28.960</t>
  </si>
  <si>
    <t>2022-06-10 10:31:29.000</t>
  </si>
  <si>
    <t>2022-06-10 10:31:29.040</t>
  </si>
  <si>
    <t>2022-06-10 10:31:29.080</t>
  </si>
  <si>
    <t>2022-06-10 10:31:29.120</t>
  </si>
  <si>
    <t>2022-06-10 10:31:29.160</t>
  </si>
  <si>
    <t>2022-06-10 10:31:29.200</t>
  </si>
  <si>
    <t>2022-06-10 10:31:29.240</t>
  </si>
  <si>
    <t>2022-06-10 10:31:29.280</t>
  </si>
  <si>
    <t>2022-06-10 10:31:29.320</t>
  </si>
  <si>
    <t>2022-06-10 10:31:29.360</t>
  </si>
  <si>
    <t>2022-06-10 10:31:29.400</t>
  </si>
  <si>
    <t>2022-06-10 10:31:29.440</t>
  </si>
  <si>
    <t>2022-06-10 10:31:29.480</t>
  </si>
  <si>
    <t>2022-06-10 10:31:29.520</t>
  </si>
  <si>
    <t>2022-06-10 10:31:29.560</t>
  </si>
  <si>
    <t>2022-06-10 10:31:29.600</t>
  </si>
  <si>
    <t>2022-06-10 10:31:29.640</t>
  </si>
  <si>
    <t>2022-06-10 10:31:29.680</t>
  </si>
  <si>
    <t>2022-06-10 10:31:29.720</t>
  </si>
  <si>
    <t>2022-06-10 10:31:29.760</t>
  </si>
  <si>
    <t>2022-06-10 10:31:29.800</t>
  </si>
  <si>
    <t>2022-06-10 10:31:29.840</t>
  </si>
  <si>
    <t>2022-06-10 10:31:29.880</t>
  </si>
  <si>
    <t>2022-06-10 10:31:29.920</t>
  </si>
  <si>
    <t>2022-06-10 10:31:29.960</t>
  </si>
  <si>
    <t>2022-06-10 10:31:30.000</t>
  </si>
  <si>
    <t>2022-06-10 10:31:30.040</t>
  </si>
  <si>
    <t>2022-06-10 10:31:30.080</t>
  </si>
  <si>
    <t>2022-06-10 10:31:30.120</t>
  </si>
  <si>
    <t>2022-06-10 10:31:30.160</t>
  </si>
  <si>
    <t>2022-06-10 10:31:30.200</t>
  </si>
  <si>
    <t>2022-06-10 10:31:30.240</t>
  </si>
  <si>
    <t>2022-06-10 10:31:30.280</t>
  </si>
  <si>
    <t>2022-06-10 10:31:30.320</t>
  </si>
  <si>
    <t>2022-06-10 10:31:30.360</t>
  </si>
  <si>
    <t>2022-06-10 10:31:30.400</t>
  </si>
  <si>
    <t>2022-06-10 10:31:30.440</t>
  </si>
  <si>
    <t>2022-06-10 10:31:30.480</t>
  </si>
  <si>
    <t>2022-06-10 10:31:30.520</t>
  </si>
  <si>
    <t>2022-06-10 10:31:30.560</t>
  </si>
  <si>
    <t>2022-06-10 10:31:30.600</t>
  </si>
  <si>
    <t>2022-06-10 10:31:30.640</t>
  </si>
  <si>
    <t>2022-06-10 10:31:30.680</t>
  </si>
  <si>
    <t>2022-06-10 10:31:30.720</t>
  </si>
  <si>
    <t>2022-06-10 10:31:30.760</t>
  </si>
  <si>
    <t>2022-06-10 10:31:30.800</t>
  </si>
  <si>
    <t>2022-06-10 10:31:30.840</t>
  </si>
  <si>
    <t>2022-06-10 10:31:30.880</t>
  </si>
  <si>
    <t>2022-06-10 10:31:30.920</t>
  </si>
  <si>
    <t>2022-06-10 10:31:30.960</t>
  </si>
  <si>
    <t>2022-06-10 10:31:31.000</t>
  </si>
  <si>
    <t>2022-06-10 10:31:31.040</t>
  </si>
  <si>
    <t>2022-06-10 10:31:31.080</t>
  </si>
  <si>
    <t>2022-06-10 10:31:31.120</t>
  </si>
  <si>
    <t>2022-06-10 10:31:31.160</t>
  </si>
  <si>
    <t>2022-06-10 10:31:31.200</t>
  </si>
  <si>
    <t>2022-06-10 10:31:31.240</t>
  </si>
  <si>
    <t>2022-06-10 10:31:31.280</t>
  </si>
  <si>
    <t>2022-06-10 10:31:31.320</t>
  </si>
  <si>
    <t>2022-06-10 10:31:31.360</t>
  </si>
  <si>
    <t>2022-06-10 10:31:31.400</t>
  </si>
  <si>
    <t>2022-06-10 10:31:31.440</t>
  </si>
  <si>
    <t>2022-06-10 10:31:31.480</t>
  </si>
  <si>
    <t>2022-06-10 10:31:31.520</t>
  </si>
  <si>
    <t>2022-06-10 10:31:31.560</t>
  </si>
  <si>
    <t>2022-06-10 10:31:31.600</t>
  </si>
  <si>
    <t>2022-06-10 10:31:31.640</t>
  </si>
  <si>
    <t>2022-06-10 10:31:31.680</t>
  </si>
  <si>
    <t>2022-06-10 10:31:31.720</t>
  </si>
  <si>
    <t>2022-06-10 10:31:31.760</t>
  </si>
  <si>
    <t>2022-06-10 10:31:31.800</t>
  </si>
  <si>
    <t>2022-06-10 10:31:31.840</t>
  </si>
  <si>
    <t>2022-06-10 10:31:31.880</t>
  </si>
  <si>
    <t>2022-06-10 10:31:31.920</t>
  </si>
  <si>
    <t>2022-06-10 10:31:31.960</t>
  </si>
  <si>
    <t>2022-06-10 10:31:32.000</t>
  </si>
  <si>
    <t>2022-06-10 10:31:32.040</t>
  </si>
  <si>
    <t>2022-06-10 10:31:32.080</t>
  </si>
  <si>
    <t>2022-06-10 10:31:32.120</t>
  </si>
  <si>
    <t>2022-06-10 10:31:32.160</t>
  </si>
  <si>
    <t>2022-06-10 10:31:32.200</t>
  </si>
  <si>
    <t>2022-06-10 10:31:32.240</t>
  </si>
  <si>
    <t>2022-06-10 10:31:32.280</t>
  </si>
  <si>
    <t>2022-06-10 10:31:32.320</t>
  </si>
  <si>
    <t>2022-06-10 10:31:32.360</t>
  </si>
  <si>
    <t>2022-06-10 10:31:32.400</t>
  </si>
  <si>
    <t>2022-06-10 10:31:32.440</t>
  </si>
  <si>
    <t>2022-06-10 10:31:32.480</t>
  </si>
  <si>
    <t>2022-06-10 10:31:32.520</t>
  </si>
  <si>
    <t>2022-06-10 10:31:32.560</t>
  </si>
  <si>
    <t>2022-06-10 10:31:32.600</t>
  </si>
  <si>
    <t>2022-06-10 10:31:32.640</t>
  </si>
  <si>
    <t>2022-06-10 10:31:32.680</t>
  </si>
  <si>
    <t>2022-06-10 10:31:32.720</t>
  </si>
  <si>
    <t>2022-06-10 10:31:32.760</t>
  </si>
  <si>
    <t>2022-06-10 10:31:32.800</t>
  </si>
  <si>
    <t>2022-06-10 10:31:32.840</t>
  </si>
  <si>
    <t>2022-06-10 10:31:32.880</t>
  </si>
  <si>
    <t>2022-06-10 10:31:32.920</t>
  </si>
  <si>
    <t>2022-06-10 10:31:32.960</t>
  </si>
  <si>
    <t>2022-06-10 10:31:33.000</t>
  </si>
  <si>
    <t>2022-06-10 10:31:33.040</t>
  </si>
  <si>
    <t>2022-06-10 10:31:33.080</t>
  </si>
  <si>
    <t>2022-06-10 10:31:33.120</t>
  </si>
  <si>
    <t>2022-06-10 10:31:33.160</t>
  </si>
  <si>
    <t>2022-06-10 10:31:33.200</t>
  </si>
  <si>
    <t>2022-06-10 10:31:33.240</t>
  </si>
  <si>
    <t>2022-06-10 10:31:33.280</t>
  </si>
  <si>
    <t>2022-06-10 10:31:33.320</t>
  </si>
  <si>
    <t>2022-06-10 10:31:33.360</t>
  </si>
  <si>
    <t>2022-06-10 10:31:33.400</t>
  </si>
  <si>
    <t>2022-06-10 10:31:33.440</t>
  </si>
  <si>
    <t>2022-06-10 10:31:33.480</t>
  </si>
  <si>
    <t>2022-06-10 10:31:33.520</t>
  </si>
  <si>
    <t>2022-06-10 10:31:33.560</t>
  </si>
  <si>
    <t>2022-06-10 10:31:33.600</t>
  </si>
  <si>
    <t>2022-06-10 10:31:33.640</t>
  </si>
  <si>
    <t>2022-06-10 10:31:33.680</t>
  </si>
  <si>
    <t>2022-06-10 10:31:33.720</t>
  </si>
  <si>
    <t>2022-06-10 10:31:33.760</t>
  </si>
  <si>
    <t>2022-06-10 10:31:33.800</t>
  </si>
  <si>
    <t>2022-06-10 10:31:33.840</t>
  </si>
  <si>
    <t>2022-06-10 10:31:33.880</t>
  </si>
  <si>
    <t>2022-06-10 10:31:33.920</t>
  </si>
  <si>
    <t>2022-06-10 10:31:33.960</t>
  </si>
  <si>
    <t>2022-06-10 10:31:34.000</t>
  </si>
  <si>
    <t>2022-06-10 10:31:34.040</t>
  </si>
  <si>
    <t>2022-06-10 10:31:34.080</t>
  </si>
  <si>
    <t>2022-06-10 10:31:34.120</t>
  </si>
  <si>
    <t>2022-06-10 10:31:34.160</t>
  </si>
  <si>
    <t>2022-06-10 10:31:34.200</t>
  </si>
  <si>
    <t>2022-06-10 10:31:34.240</t>
  </si>
  <si>
    <t>2022-06-10 10:31:34.280</t>
  </si>
  <si>
    <t>2022-06-10 10:31:34.320</t>
  </si>
  <si>
    <t>2022-06-10 10:31:34.360</t>
  </si>
  <si>
    <t>2022-06-10 10:31:34.400</t>
  </si>
  <si>
    <t>2022-06-10 10:31:34.440</t>
  </si>
  <si>
    <t>2022-06-10 10:31:34.480</t>
  </si>
  <si>
    <t>2022-06-10 10:31:34.520</t>
  </si>
  <si>
    <t>2022-06-10 10:31:34.560</t>
  </si>
  <si>
    <t>2022-06-10 10:31:34.600</t>
  </si>
  <si>
    <t>2022-06-10 10:31:34.640</t>
  </si>
  <si>
    <t>2022-06-10 10:31:34.680</t>
  </si>
  <si>
    <t>2022-06-10 10:31:34.720</t>
  </si>
  <si>
    <t>2022-06-10 10:31:34.760</t>
  </si>
  <si>
    <t>2022-06-10 10:31:34.800</t>
  </si>
  <si>
    <t>2022-06-10 10:31:34.840</t>
  </si>
  <si>
    <t>2022-06-10 10:31:34.880</t>
  </si>
  <si>
    <t>2022-06-10 10:31:34.920</t>
  </si>
  <si>
    <t>2022-06-10 10:31:34.960</t>
  </si>
  <si>
    <t>2022-06-10 10:31:35.000</t>
  </si>
  <si>
    <t>2022-06-10 10:31:35.040</t>
  </si>
  <si>
    <t>2022-06-10 10:31:35.080</t>
  </si>
  <si>
    <t>2022-06-10 10:31:35.120</t>
  </si>
  <si>
    <t>2022-06-10 10:31:35.160</t>
  </si>
  <si>
    <t>2022-06-10 10:31:35.200</t>
  </si>
  <si>
    <t>2022-06-10 10:31:35.240</t>
  </si>
  <si>
    <t>2022-06-10 10:31:35.280</t>
  </si>
  <si>
    <t>2022-06-10 10:31:35.320</t>
  </si>
  <si>
    <t>2022-06-10 10:31:35.360</t>
  </si>
  <si>
    <t>2022-06-10 10:31:35.400</t>
  </si>
  <si>
    <t>2022-06-10 10:31:35.440</t>
  </si>
  <si>
    <t>2022-06-10 10:31:35.480</t>
  </si>
  <si>
    <t>2022-06-10 10:31:35.520</t>
  </si>
  <si>
    <t>2022-06-10 10:31:35.560</t>
  </si>
  <si>
    <t>2022-06-10 10:31:35.600</t>
  </si>
  <si>
    <t>2022-06-10 10:31:35.640</t>
  </si>
  <si>
    <t>2022-06-10 10:31:35.680</t>
  </si>
  <si>
    <t>2022-06-10 10:31:35.720</t>
  </si>
  <si>
    <t>2022-06-10 10:31:35.760</t>
  </si>
  <si>
    <t>2022-06-10 10:31:35.800</t>
  </si>
  <si>
    <t>2022-06-10 10:31:35.840</t>
  </si>
  <si>
    <t>2022-06-10 10:31:35.880</t>
  </si>
  <si>
    <t>2022-06-10 10:31:35.920</t>
  </si>
  <si>
    <t>2022-06-10 10:31:35.960</t>
  </si>
  <si>
    <t>2022-06-10 10:31:36.000</t>
  </si>
  <si>
    <t>2022-06-10 10:31:36.040</t>
  </si>
  <si>
    <t>2022-06-10 10:31:36.080</t>
  </si>
  <si>
    <t>2022-06-10 10:31:36.120</t>
  </si>
  <si>
    <t>2022-06-10 10:31:36.160</t>
  </si>
  <si>
    <t>2022-06-10 10:31:36.200</t>
  </si>
  <si>
    <t>2022-06-10 10:31:36.240</t>
  </si>
  <si>
    <t>2022-06-10 10:31:36.280</t>
  </si>
  <si>
    <t>2022-06-10 10:31:36.320</t>
  </si>
  <si>
    <t>2022-06-10 10:31:36.360</t>
  </si>
  <si>
    <t>2022-06-10 10:31:36.400</t>
  </si>
  <si>
    <t>2022-06-10 10:31:36.440</t>
  </si>
  <si>
    <t>2022-06-10 10:31:36.480</t>
  </si>
  <si>
    <t>2022-06-10 10:31:36.520</t>
  </si>
  <si>
    <t>2022-06-10 10:31:36.560</t>
  </si>
  <si>
    <t>2022-06-10 10:31:36.600</t>
  </si>
  <si>
    <t>2022-06-10 10:31:36.640</t>
  </si>
  <si>
    <t>2022-06-10 10:31:36.680</t>
  </si>
  <si>
    <t>2022-06-10 10:31:36.720</t>
  </si>
  <si>
    <t>2022-06-10 10:31:36.760</t>
  </si>
  <si>
    <t>2022-06-10 10:31:36.800</t>
  </si>
  <si>
    <t>2022-06-10 10:31:36.840</t>
  </si>
  <si>
    <t>2022-06-10 10:31:36.880</t>
  </si>
  <si>
    <t>2022-06-10 10:31:36.920</t>
  </si>
  <si>
    <t>2022-06-10 10:31:36.960</t>
  </si>
  <si>
    <t>2022-06-10 10:31:37.000</t>
  </si>
  <si>
    <t>2022-06-10 10:31:37.040</t>
  </si>
  <si>
    <t>2022-06-10 10:31:37.080</t>
  </si>
  <si>
    <t>2022-06-10 10:31:37.120</t>
  </si>
  <si>
    <t>2022-06-10 10:31:37.160</t>
  </si>
  <si>
    <t>2022-06-10 10:31:37.200</t>
  </si>
  <si>
    <t>2022-06-10 10:31:37.240</t>
  </si>
  <si>
    <t>2022-06-10 10:31:37.280</t>
  </si>
  <si>
    <t>2022-06-10 10:31:37.320</t>
  </si>
  <si>
    <t>2022-06-10 10:31:37.360</t>
  </si>
  <si>
    <t>2022-06-10 10:31:37.400</t>
  </si>
  <si>
    <t>2022-06-10 10:31:37.440</t>
  </si>
  <si>
    <t>2022-06-10 10:31:37.480</t>
  </si>
  <si>
    <t>2022-06-10 10:31:37.520</t>
  </si>
  <si>
    <t>2022-06-10 10:31:37.560</t>
  </si>
  <si>
    <t>2022-06-10 10:31:37.600</t>
  </si>
  <si>
    <t>2022-06-10 10:31:37.640</t>
  </si>
  <si>
    <t>2022-06-10 10:31:37.680</t>
  </si>
  <si>
    <t>2022-06-10 10:31:37.720</t>
  </si>
  <si>
    <t>2022-06-10 10:31:37.760</t>
  </si>
  <si>
    <t>2022-06-10 10:31:37.800</t>
  </si>
  <si>
    <t>2022-06-10 10:31:37.840</t>
  </si>
  <si>
    <t>2022-06-10 10:31:37.880</t>
  </si>
  <si>
    <t>2022-06-10 10:31:37.920</t>
  </si>
  <si>
    <t>2022-06-10 10:31:37.960</t>
  </si>
  <si>
    <t>2022-06-10 10:31:38.000</t>
  </si>
  <si>
    <t>2022-06-10 10:31:38.040</t>
  </si>
  <si>
    <t>2022-06-10 10:31:38.080</t>
  </si>
  <si>
    <t>2022-06-10 10:31:38.120</t>
  </si>
  <si>
    <t>2022-06-10 10:31:38.160</t>
  </si>
  <si>
    <t>2022-06-10 10:31:38.200</t>
  </si>
  <si>
    <t>2022-06-10 10:31:38.240</t>
  </si>
  <si>
    <t>2022-06-10 10:31:38.280</t>
  </si>
  <si>
    <t>2022-06-10 10:31:38.320</t>
  </si>
  <si>
    <t>2022-06-10 10:31:38.360</t>
  </si>
  <si>
    <t>2022-06-10 10:31:38.400</t>
  </si>
  <si>
    <t>2022-06-10 10:31:38.440</t>
  </si>
  <si>
    <t>2022-06-10 10:31:38.480</t>
  </si>
  <si>
    <t>2022-06-10 10:31:38.520</t>
  </si>
  <si>
    <t>2022-06-10 10:31:38.560</t>
  </si>
  <si>
    <t>2022-06-10 10:31:38.600</t>
  </si>
  <si>
    <t>2022-06-10 10:31:38.640</t>
  </si>
  <si>
    <t>2022-06-10 10:31:38.680</t>
  </si>
  <si>
    <t>2022-06-10 10:31:38.720</t>
  </si>
  <si>
    <t>2022-06-10 10:31:38.760</t>
  </si>
  <si>
    <t>2022-06-10 10:31:38.800</t>
  </si>
  <si>
    <t>2022-06-10 10:31:38.840</t>
  </si>
  <si>
    <t>2022-06-10 10:31:38.880</t>
  </si>
  <si>
    <t>2022-06-10 10:31:38.920</t>
  </si>
  <si>
    <t>2022-06-10 10:31:38.960</t>
  </si>
  <si>
    <t>2022-06-10 10:31:39.000</t>
  </si>
  <si>
    <t>2022-06-10 10:31:39.040</t>
  </si>
  <si>
    <t>2022-06-10 10:31:39.080</t>
  </si>
  <si>
    <t>2022-06-10 10:31:39.120</t>
  </si>
  <si>
    <t>2022-06-10 10:31:39.160</t>
  </si>
  <si>
    <t>2022-06-10 10:31:39.200</t>
  </si>
  <si>
    <t>2022-06-10 10:31:39.240</t>
  </si>
  <si>
    <t>2022-06-10 10:31:39.280</t>
  </si>
  <si>
    <t>2022-06-10 10:31:39.320</t>
  </si>
  <si>
    <t>2022-06-10 10:31:39.360</t>
  </si>
  <si>
    <t>2022-06-10 10:31:39.400</t>
  </si>
  <si>
    <t>2022-06-10 10:31:39.440</t>
  </si>
  <si>
    <t>2022-06-10 10:31:39.480</t>
  </si>
  <si>
    <t>2022-06-10 10:31:39.520</t>
  </si>
  <si>
    <t>2022-06-10 10:31:39.560</t>
  </si>
  <si>
    <t>2022-06-10 10:31:39.600</t>
  </si>
  <si>
    <t>2022-06-10 10:31:39.640</t>
  </si>
  <si>
    <t>2022-06-10 10:31:39.680</t>
  </si>
  <si>
    <t>2022-06-10 10:31:39.720</t>
  </si>
  <si>
    <t>2022-06-10 10:31:39.760</t>
  </si>
  <si>
    <t>2022-06-10 10:31:39.800</t>
  </si>
  <si>
    <t>2022-06-10 10:31:39.840</t>
  </si>
  <si>
    <t>2022-06-10 10:31:39.880</t>
  </si>
  <si>
    <t>2022-06-10 10:31:39.920</t>
  </si>
  <si>
    <t>2022-06-10 10:31:39.960</t>
  </si>
  <si>
    <t>2022-06-10 10:31:40.000</t>
  </si>
  <si>
    <t>2022-06-10 10:31:40.040</t>
  </si>
  <si>
    <t>2022-06-10 10:31:40.080</t>
  </si>
  <si>
    <t>2022-06-10 10:31:40.120</t>
  </si>
  <si>
    <t>2022-06-10 10:31:40.160</t>
  </si>
  <si>
    <t>2022-06-10 10:31:40.200</t>
  </si>
  <si>
    <t>2022-06-10 10:31:40.240</t>
  </si>
  <si>
    <t>2022-06-10 10:31:40.280</t>
  </si>
  <si>
    <t>2022-06-10 10:31:40.320</t>
  </si>
  <si>
    <t>2022-06-10 10:31:40.360</t>
  </si>
  <si>
    <t>2022-06-10 10:31:40.400</t>
  </si>
  <si>
    <t>2022-06-10 10:31:40.440</t>
  </si>
  <si>
    <t>2022-06-10 10:31:40.480</t>
  </si>
  <si>
    <t>2022-06-10 10:31:40.520</t>
  </si>
  <si>
    <t>2022-06-10 10:31:40.560</t>
  </si>
  <si>
    <t>2022-06-10 10:31:40.600</t>
  </si>
  <si>
    <t>2022-06-10 10:31:40.640</t>
  </si>
  <si>
    <t>2022-06-10 10:31:40.680</t>
  </si>
  <si>
    <t>2022-06-10 10:31:40.720</t>
  </si>
  <si>
    <t>2022-06-10 10:31:40.760</t>
  </si>
  <si>
    <t>2022-06-10 10:31:40.800</t>
  </si>
  <si>
    <t>2022-06-10 10:31:40.840</t>
  </si>
  <si>
    <t>2022-06-10 10:31:40.880</t>
  </si>
  <si>
    <t>2022-06-10 10:31:40.920</t>
  </si>
  <si>
    <t>2022-06-10 10:31:40.960</t>
  </si>
  <si>
    <t>2022-06-10 10:31:41.000</t>
  </si>
  <si>
    <t>2022-06-10 10:31:41.040</t>
  </si>
  <si>
    <t>2022-06-10 10:31:41.080</t>
  </si>
  <si>
    <t>2022-06-10 10:31:41.120</t>
  </si>
  <si>
    <t>2022-06-10 10:31:41.160</t>
  </si>
  <si>
    <t>2022-06-10 10:31:41.200</t>
  </si>
  <si>
    <t>2022-06-10 10:31:41.240</t>
  </si>
  <si>
    <t>2022-06-10 10:31:41.280</t>
  </si>
  <si>
    <t>2022-06-10 10:31:41.320</t>
  </si>
  <si>
    <t>2022-06-10 10:31:41.360</t>
  </si>
  <si>
    <t>2022-06-10 10:31:41.400</t>
  </si>
  <si>
    <t>2022-06-10 10:31:41.440</t>
  </si>
  <si>
    <t>2022-06-10 10:31:41.480</t>
  </si>
  <si>
    <t>2022-06-10 10:31:41.520</t>
  </si>
  <si>
    <t>2022-06-10 10:31:41.560</t>
  </si>
  <si>
    <t>2022-06-10 10:31:41.600</t>
  </si>
  <si>
    <t>2022-06-10 10:31:41.640</t>
  </si>
  <si>
    <t>2022-06-10 10:31:41.680</t>
  </si>
  <si>
    <t>2022-06-10 10:31:41.720</t>
  </si>
  <si>
    <t>2022-06-10 10:31:41.760</t>
  </si>
  <si>
    <t>2022-06-10 10:31:41.800</t>
  </si>
  <si>
    <t>2022-06-10 10:31:41.840</t>
  </si>
  <si>
    <t>2022-06-10 10:31:41.880</t>
  </si>
  <si>
    <t>2022-06-10 10:31:41.920</t>
  </si>
  <si>
    <t>2022-06-10 10:31:41.960</t>
  </si>
  <si>
    <t>2022-06-10 10:31:42.000</t>
  </si>
  <si>
    <t>2022-06-10 10:31:42.040</t>
  </si>
  <si>
    <t>2022-06-10 10:31:42.080</t>
  </si>
  <si>
    <t>2022-06-10 10:31:42.120</t>
  </si>
  <si>
    <t>2022-06-10 10:31:42.160</t>
  </si>
  <si>
    <t>2022-06-10 10:31:42.200</t>
  </si>
  <si>
    <t>2022-06-10 10:31:42.240</t>
  </si>
  <si>
    <t>2022-06-10 10:31:42.280</t>
  </si>
  <si>
    <t>2022-06-10 10:31:42.320</t>
  </si>
  <si>
    <t>2022-06-10 10:31:42.360</t>
  </si>
  <si>
    <t>2022-06-10 10:31:42.400</t>
  </si>
  <si>
    <t>2022-06-10 10:31:42.440</t>
  </si>
  <si>
    <t>2022-06-10 10:31:42.480</t>
  </si>
  <si>
    <t>2022-06-10 10:31:42.520</t>
  </si>
  <si>
    <t>2022-06-10 10:31:42.560</t>
  </si>
  <si>
    <t>2022-06-10 10:31:42.600</t>
  </si>
  <si>
    <t>2022-06-10 10:31:42.640</t>
  </si>
  <si>
    <t>2022-06-10 10:31:42.680</t>
  </si>
  <si>
    <t>2022-06-10 10:31:42.720</t>
  </si>
  <si>
    <t>2022-06-10 10:31:42.760</t>
  </si>
  <si>
    <t>2022-06-10 10:31:42.800</t>
  </si>
  <si>
    <t>2022-06-10 10:31:42.840</t>
  </si>
  <si>
    <t>2022-06-10 10:31:42.880</t>
  </si>
  <si>
    <t>2022-06-10 10:31:42.920</t>
  </si>
  <si>
    <t>2022-06-10 10:31:42.960</t>
  </si>
  <si>
    <t>2022-06-10 10:31:43.000</t>
  </si>
  <si>
    <t>2022-06-10 10:31:43.040</t>
  </si>
  <si>
    <t>2022-06-10 10:31:43.080</t>
  </si>
  <si>
    <t>2022-06-10 10:31:43.120</t>
  </si>
  <si>
    <t>2022-06-10 10:31:43.160</t>
  </si>
  <si>
    <t>2022-06-10 10:31:43.200</t>
  </si>
  <si>
    <t>2022-06-10 10:31:43.240</t>
  </si>
  <si>
    <t>2022-06-10 10:31:43.280</t>
  </si>
  <si>
    <t>2022-06-10 10:31:43.320</t>
  </si>
  <si>
    <t>2022-06-10 10:31:43.360</t>
  </si>
  <si>
    <t>2022-06-10 10:31:43.400</t>
  </si>
  <si>
    <t>2022-06-10 10:31:43.440</t>
  </si>
  <si>
    <t>2022-06-10 10:31:43.480</t>
  </si>
  <si>
    <t>2022-06-10 10:31:43.520</t>
  </si>
  <si>
    <t>2022-06-10 10:31:43.560</t>
  </si>
  <si>
    <t>2022-06-10 10:31:43.600</t>
  </si>
  <si>
    <t>2022-06-10 10:31:43.640</t>
  </si>
  <si>
    <t>2022-06-10 10:31:43.680</t>
  </si>
  <si>
    <t>2022-06-10 10:31:43.720</t>
  </si>
  <si>
    <t>2022-06-10 10:31:43.760</t>
  </si>
  <si>
    <t>2022-06-10 10:31:43.800</t>
  </si>
  <si>
    <t>2022-06-10 10:31:43.840</t>
  </si>
  <si>
    <t>2022-06-10 10:31:43.880</t>
  </si>
  <si>
    <t>2022-06-10 10:31:43.920</t>
  </si>
  <si>
    <t>2022-06-10 10:31:43.960</t>
  </si>
  <si>
    <t>2022-06-10 10:31:44.000</t>
  </si>
  <si>
    <t>2022-06-10 10:31:44.040</t>
  </si>
  <si>
    <t>2022-06-10 10:31:44.080</t>
  </si>
  <si>
    <t>2022-06-10 10:31:44.120</t>
  </si>
  <si>
    <t>2022-06-10 10:31:44.160</t>
  </si>
  <si>
    <t>2022-06-10 10:31:44.200</t>
  </si>
  <si>
    <t>2022-06-10 10:31:44.240</t>
  </si>
  <si>
    <t>2022-06-10 10:31:44.280</t>
  </si>
  <si>
    <t>2022-06-10 10:31:44.320</t>
  </si>
  <si>
    <t>2022-06-10 10:31:44.360</t>
  </si>
  <si>
    <t>2022-06-10 10:31:44.400</t>
  </si>
  <si>
    <t>2022-06-10 10:31:44.440</t>
  </si>
  <si>
    <t>2022-06-10 10:31:44.480</t>
  </si>
  <si>
    <t>2022-06-10 10:31:44.520</t>
  </si>
  <si>
    <t>2022-06-10 10:31:44.560</t>
  </si>
  <si>
    <t>2022-06-10 10:31:44.600</t>
  </si>
  <si>
    <t>2022-06-10 10:31:44.640</t>
  </si>
  <si>
    <t>2022-06-10 10:31:44.680</t>
  </si>
  <si>
    <t>2022-06-10 10:31:44.720</t>
  </si>
  <si>
    <t>2022-06-10 10:31:44.760</t>
  </si>
  <si>
    <t>2022-06-10 10:31:44.800</t>
  </si>
  <si>
    <t>2022-06-10 10:31:44.840</t>
  </si>
  <si>
    <t>2022-06-10 10:31:44.880</t>
  </si>
  <si>
    <t>2022-06-10 10:31:44.920</t>
  </si>
  <si>
    <t>2022-06-10 10:31:44.960</t>
  </si>
  <si>
    <t>2022-06-10 10:31:45.000</t>
  </si>
  <si>
    <t>2022-06-10 10:31:45.040</t>
  </si>
  <si>
    <t>2022-06-10 10:31:45.080</t>
  </si>
  <si>
    <t>2022-06-10 10:31:45.120</t>
  </si>
  <si>
    <t>2022-06-10 10:31:45.160</t>
  </si>
  <si>
    <t>2022-06-10 10:31:45.200</t>
  </si>
  <si>
    <t>2022-06-10 10:31:45.240</t>
  </si>
  <si>
    <t>2022-06-10 10:31:45.280</t>
  </si>
  <si>
    <t>2022-06-10 10:31:45.320</t>
  </si>
  <si>
    <t>2022-06-10 10:31:45.360</t>
  </si>
  <si>
    <t>2022-06-10 10:31:45.400</t>
  </si>
  <si>
    <t>2022-06-10 10:31:45.440</t>
  </si>
  <si>
    <t>2022-06-10 10:31:45.480</t>
  </si>
  <si>
    <t>2022-06-10 10:31:45.520</t>
  </si>
  <si>
    <t>2022-06-10 10:31:45.560</t>
  </si>
  <si>
    <t>2022-06-10 10:31:45.600</t>
  </si>
  <si>
    <t>2022-06-10 10:31:45.640</t>
  </si>
  <si>
    <t>2022-06-10 10:31:45.680</t>
  </si>
  <si>
    <t>2022-06-10 10:31:45.720</t>
  </si>
  <si>
    <t>2022-06-10 10:31:45.760</t>
  </si>
  <si>
    <t>2022-06-10 10:31:45.800</t>
  </si>
  <si>
    <t>2022-06-10 10:31:45.840</t>
  </si>
  <si>
    <t>2022-06-10 10:31:45.880</t>
  </si>
  <si>
    <t>2022-06-10 10:31:45.920</t>
  </si>
  <si>
    <t>2022-06-10 10:31:45.960</t>
  </si>
  <si>
    <t>2022-06-10 10:31:46.000</t>
  </si>
  <si>
    <t>2022-06-10 10:31:46.040</t>
  </si>
  <si>
    <t>2022-06-10 10:31:46.080</t>
  </si>
  <si>
    <t>2022-06-10 10:31:46.120</t>
  </si>
  <si>
    <t>2022-06-10 10:31:46.160</t>
  </si>
  <si>
    <t>2022-06-10 10:31:46.200</t>
  </si>
  <si>
    <t>2022-06-10 10:31:46.240</t>
  </si>
  <si>
    <t>2022-06-10 10:31:46.280</t>
  </si>
  <si>
    <t>2022-06-10 10:31:46.320</t>
  </si>
  <si>
    <t>2022-06-10 10:31:46.360</t>
  </si>
  <si>
    <t>2022-06-10 10:31:46.400</t>
  </si>
  <si>
    <t>2022-06-10 10:31:46.440</t>
  </si>
  <si>
    <t>2022-06-10 10:31:46.480</t>
  </si>
  <si>
    <t>2022-06-10 10:31:46.520</t>
  </si>
  <si>
    <t>2022-06-10 10:31:46.560</t>
  </si>
  <si>
    <t>2022-06-10 10:31:46.600</t>
  </si>
  <si>
    <t>2022-06-10 10:31:46.640</t>
  </si>
  <si>
    <t>2022-06-10 10:31:46.680</t>
  </si>
  <si>
    <t>2022-06-10 10:31:46.720</t>
  </si>
  <si>
    <t>2022-06-10 10:31:46.760</t>
  </si>
  <si>
    <t>2022-06-10 10:31:46.800</t>
  </si>
  <si>
    <t>2022-06-10 10:31:46.840</t>
  </si>
  <si>
    <t>2022-06-10 10:31:46.880</t>
  </si>
  <si>
    <t>2022-06-10 10:31:46.920</t>
  </si>
  <si>
    <t>2022-06-10 10:31:46.960</t>
  </si>
  <si>
    <t>2022-06-10 10:31:47.000</t>
  </si>
  <si>
    <t>2022-06-10 10:31:47.040</t>
  </si>
  <si>
    <t>2022-06-10 10:31:47.080</t>
  </si>
  <si>
    <t>2022-06-10 10:31:47.120</t>
  </si>
  <si>
    <t>2022-06-10 10:31:47.160</t>
  </si>
  <si>
    <t>2022-06-10 10:31:47.200</t>
  </si>
  <si>
    <t>2022-06-10 10:31:47.240</t>
  </si>
  <si>
    <t>2022-06-10 10:31:47.280</t>
  </si>
  <si>
    <t>2022-06-10 10:31:47.320</t>
  </si>
  <si>
    <t>2022-06-10 10:31:47.360</t>
  </si>
  <si>
    <t>2022-06-10 10:31:47.400</t>
  </si>
  <si>
    <t>2022-06-10 10:31:47.440</t>
  </si>
  <si>
    <t>2022-06-10 10:31:47.480</t>
  </si>
  <si>
    <t>2022-06-10 10:31:47.520</t>
  </si>
  <si>
    <t>2022-06-10 10:31:47.560</t>
  </si>
  <si>
    <t>2022-06-10 10:31:47.600</t>
  </si>
  <si>
    <t>2022-06-10 10:31:47.640</t>
  </si>
  <si>
    <t>2022-06-10 10:31:47.680</t>
  </si>
  <si>
    <t>2022-06-10 10:31:47.720</t>
  </si>
  <si>
    <t>2022-06-10 10:31:47.760</t>
  </si>
  <si>
    <t>2022-06-10 10:31:47.800</t>
  </si>
  <si>
    <t>2022-06-10 10:31:47.840</t>
  </si>
  <si>
    <t>2022-06-10 10:31:47.880</t>
  </si>
  <si>
    <t>2022-06-10 10:31:47.920</t>
  </si>
  <si>
    <t>2022-06-10 10:31:47.960</t>
  </si>
  <si>
    <t>2022-06-10 10:31:48.000</t>
  </si>
  <si>
    <t>2022-06-10 10:31:48.040</t>
  </si>
  <si>
    <t>2022-06-10 10:31:48.080</t>
  </si>
  <si>
    <t>2022-06-10 10:31:48.120</t>
  </si>
  <si>
    <t>2022-06-10 10:31:48.160</t>
  </si>
  <si>
    <t>2022-06-10 10:31:48.200</t>
  </si>
  <si>
    <t>2022-06-10 10:31:48.240</t>
  </si>
  <si>
    <t>2022-06-10 10:31:48.280</t>
  </si>
  <si>
    <t>2022-06-10 10:31:48.320</t>
  </si>
  <si>
    <t>2022-06-10 10:31:48.360</t>
  </si>
  <si>
    <t>2022-06-10 10:31:48.400</t>
  </si>
  <si>
    <t>2022-06-10 10:31:48.440</t>
  </si>
  <si>
    <t>2022-06-10 10:31:48.480</t>
  </si>
  <si>
    <t>2022-06-10 10:31:48.520</t>
  </si>
  <si>
    <t>2022-06-10 10:31:48.560</t>
  </si>
  <si>
    <t>2022-06-10 10:31:48.600</t>
  </si>
  <si>
    <t>2022-06-10 10:31:48.640</t>
  </si>
  <si>
    <t>2022-06-10 10:31:48.680</t>
  </si>
  <si>
    <t>2022-06-10 10:31:48.720</t>
  </si>
  <si>
    <t>2022-06-10 10:31:48.760</t>
  </si>
  <si>
    <t>2022-06-10 10:31:48.800</t>
  </si>
  <si>
    <t>2022-06-10 10:31:48.840</t>
  </si>
  <si>
    <t>2022-06-10 10:31:48.880</t>
  </si>
  <si>
    <t>2022-06-10 10:31:48.920</t>
  </si>
  <si>
    <t>2022-06-10 10:31:48.960</t>
  </si>
  <si>
    <t>2022-06-10 10:31:49.000</t>
  </si>
  <si>
    <t>2022-06-10 10:31:49.040</t>
  </si>
  <si>
    <t>2022-06-10 10:31:49.080</t>
  </si>
  <si>
    <t>2022-06-10 10:31:49.120</t>
  </si>
  <si>
    <t>2022-06-10 10:31:49.160</t>
  </si>
  <si>
    <t>2022-06-10 10:31:49.200</t>
  </si>
  <si>
    <t>2022-06-10 10:31:49.240</t>
  </si>
  <si>
    <t>2022-06-10 10:31:49.280</t>
  </si>
  <si>
    <t>2022-06-10 10:31:49.320</t>
  </si>
  <si>
    <t>2022-06-10 10:31:49.360</t>
  </si>
  <si>
    <t>2022-06-10 10:31:49.400</t>
  </si>
  <si>
    <t>2022-06-10 10:31:49.440</t>
  </si>
  <si>
    <t>2022-06-10 10:31:49.480</t>
  </si>
  <si>
    <t>2022-06-10 10:31:49.520</t>
  </si>
  <si>
    <t>2022-06-10 10:31:49.560</t>
  </si>
  <si>
    <t>2022-06-10 10:31:49.600</t>
  </si>
  <si>
    <t>2022-06-10 10:31:49.640</t>
  </si>
  <si>
    <t>2022-06-10 10:31:49.680</t>
  </si>
  <si>
    <t>2022-06-10 10:31:49.720</t>
  </si>
  <si>
    <t>2022-06-10 10:31:49.760</t>
  </si>
  <si>
    <t>2022-06-10 10:31:49.800</t>
  </si>
  <si>
    <t>2022-06-10 10:31:49.840</t>
  </si>
  <si>
    <t>2022-06-10 10:31:49.880</t>
  </si>
  <si>
    <t>2022-06-10 10:31:49.920</t>
  </si>
  <si>
    <t>2022-06-10 10:31:49.960</t>
  </si>
  <si>
    <t>2022-06-10 10:31:50.000</t>
  </si>
  <si>
    <t>2022-06-10 10:31:50.040</t>
  </si>
  <si>
    <t>2022-06-10 10:31:50.080</t>
  </si>
  <si>
    <t>2022-06-10 10:31:50.120</t>
  </si>
  <si>
    <t>2022-06-10 10:31:50.160</t>
  </si>
  <si>
    <t>2022-06-10 10:31:50.200</t>
  </si>
  <si>
    <t>2022-06-10 10:31:50.240</t>
  </si>
  <si>
    <t>2022-06-10 10:31:50.280</t>
  </si>
  <si>
    <t>2022-06-10 10:31:50.320</t>
  </si>
  <si>
    <t>2022-06-10 10:31:50.360</t>
  </si>
  <si>
    <t>2022-06-10 10:31:50.400</t>
  </si>
  <si>
    <t>2022-06-10 10:31:50.440</t>
  </si>
  <si>
    <t>2022-06-10 10:31:50.480</t>
  </si>
  <si>
    <t>2022-06-10 10:31:50.520</t>
  </si>
  <si>
    <t>2022-06-10 10:31:50.560</t>
  </si>
  <si>
    <t>2022-06-10 10:31:50.600</t>
  </si>
  <si>
    <t>2022-06-10 10:31:50.640</t>
  </si>
  <si>
    <t>2022-06-10 10:31:50.680</t>
  </si>
  <si>
    <t>2022-06-10 10:31:50.720</t>
  </si>
  <si>
    <t>2022-06-10 10:31:50.760</t>
  </si>
  <si>
    <t>2022-06-10 10:31:50.800</t>
  </si>
  <si>
    <t>2022-06-10 10:31:50.840</t>
  </si>
  <si>
    <t>2022-06-10 10:31:50.880</t>
  </si>
  <si>
    <t>2022-06-10 10:31:50.920</t>
  </si>
  <si>
    <t>2022-06-10 10:31:50.960</t>
  </si>
  <si>
    <t>2022-06-10 10:31:51.000</t>
  </si>
  <si>
    <t>2022-06-10 10:31:51.040</t>
  </si>
  <si>
    <t>2022-06-10 10:31:51.080</t>
  </si>
  <si>
    <t>2022-06-10 10:31:51.120</t>
  </si>
  <si>
    <t>2022-06-10 10:31:51.160</t>
  </si>
  <si>
    <t>2022-06-10 10:31:51.200</t>
  </si>
  <si>
    <t>2022-06-10 10:31:51.240</t>
  </si>
  <si>
    <t>2022-06-10 10:31:51.280</t>
  </si>
  <si>
    <t>2022-06-10 10:31:51.320</t>
  </si>
  <si>
    <t>2022-06-10 10:31:51.360</t>
  </si>
  <si>
    <t>2022-06-10 10:31:51.400</t>
  </si>
  <si>
    <t>2022-06-10 10:31:51.440</t>
  </si>
  <si>
    <t>2022-06-10 10:31:51.480</t>
  </si>
  <si>
    <t>2022-06-10 10:31:51.520</t>
  </si>
  <si>
    <t>2022-06-10 10:31:51.560</t>
  </si>
  <si>
    <t>2022-06-10 10:31:51.600</t>
  </si>
  <si>
    <t>2022-06-10 10:31:51.640</t>
  </si>
  <si>
    <t>2022-06-10 10:31:51.680</t>
  </si>
  <si>
    <t>2022-06-10 10:31:51.720</t>
  </si>
  <si>
    <t>2022-06-10 10:31:51.760</t>
  </si>
  <si>
    <t>2022-06-10 10:31:51.800</t>
  </si>
  <si>
    <t>2022-06-10 10:31:51.840</t>
  </si>
  <si>
    <t>2022-06-10 10:31:51.880</t>
  </si>
  <si>
    <t>2022-06-10 10:31:51.920</t>
  </si>
  <si>
    <t>2022-06-10 10:31:51.960</t>
  </si>
  <si>
    <t>2022-06-10 10:31:52.000</t>
  </si>
  <si>
    <t>2022-06-10 10:31:52.040</t>
  </si>
  <si>
    <t>2022-06-10 10:31:52.080</t>
  </si>
  <si>
    <t>2022-06-10 10:31:52.120</t>
  </si>
  <si>
    <t>2022-06-10 10:31:52.160</t>
  </si>
  <si>
    <t>2022-06-10 10:31:52.200</t>
  </si>
  <si>
    <t>2022-06-10 10:31:52.240</t>
  </si>
  <si>
    <t>2022-06-10 10:31:52.280</t>
  </si>
  <si>
    <t>2022-06-10 10:31:52.320</t>
  </si>
  <si>
    <t>2022-06-10 10:31:52.360</t>
  </si>
  <si>
    <t>2022-06-10 10:31:52.400</t>
  </si>
  <si>
    <t>2022-06-10 10:31:52.440</t>
  </si>
  <si>
    <t>2022-06-10 10:31:52.480</t>
  </si>
  <si>
    <t>2022-06-10 10:31:52.520</t>
  </si>
  <si>
    <t>2022-06-10 10:31:52.560</t>
  </si>
  <si>
    <t>2022-06-10 10:31:52.600</t>
  </si>
  <si>
    <t>2022-06-10 10:31:52.640</t>
  </si>
  <si>
    <t>2022-06-10 10:31:52.680</t>
  </si>
  <si>
    <t>2022-06-10 10:31:52.720</t>
  </si>
  <si>
    <t>2022-06-10 10:31:52.760</t>
  </si>
  <si>
    <t>2022-06-10 10:31:52.800</t>
  </si>
  <si>
    <t>2022-06-10 10:31:52.840</t>
  </si>
  <si>
    <t>2022-06-10 10:31:52.880</t>
  </si>
  <si>
    <t>2022-06-10 10:31:52.920</t>
  </si>
  <si>
    <t>2022-06-10 10:31:52.960</t>
  </si>
  <si>
    <t>2022-06-10 10:31:53.000</t>
  </si>
  <si>
    <t>2022-06-10 10:31:53.040</t>
  </si>
  <si>
    <t>2022-06-10 10:31:53.080</t>
  </si>
  <si>
    <t>2022-06-10 10:31:53.120</t>
  </si>
  <si>
    <t>2022-06-10 10:31:53.160</t>
  </si>
  <si>
    <t>2022-06-10 10:31:53.200</t>
  </si>
  <si>
    <t>2022-06-10 10:31:53.240</t>
  </si>
  <si>
    <t>2022-06-10 10:31:53.280</t>
  </si>
  <si>
    <t>2022-06-10 10:31:53.320</t>
  </si>
  <si>
    <t>2022-06-10 10:31:53.360</t>
  </si>
  <si>
    <t>2022-06-10 10:31:53.400</t>
  </si>
  <si>
    <t>2022-06-10 10:31:53.440</t>
  </si>
  <si>
    <t>2022-06-10 10:31:53.480</t>
  </si>
  <si>
    <t>2022-06-10 10:31:53.520</t>
  </si>
  <si>
    <t>2022-06-10 10:31:53.560</t>
  </si>
  <si>
    <t>2022-06-10 10:31:53.600</t>
  </si>
  <si>
    <t>2022-06-10 10:31:53.640</t>
  </si>
  <si>
    <t>2022-06-10 10:31:53.680</t>
  </si>
  <si>
    <t>2022-06-10 10:31:53.720</t>
  </si>
  <si>
    <t>2022-06-10 10:31:53.760</t>
  </si>
  <si>
    <t>2022-06-10 10:31:53.800</t>
  </si>
  <si>
    <t>2022-06-10 10:31:53.840</t>
  </si>
  <si>
    <t>2022-06-10 10:31:53.880</t>
  </si>
  <si>
    <t>2022-06-10 10:31:53.920</t>
  </si>
  <si>
    <t>2022-06-10 10:31:53.960</t>
  </si>
  <si>
    <t>2022-06-10 10:31:54.000</t>
  </si>
  <si>
    <t>2022-06-10 10:31:54.040</t>
  </si>
  <si>
    <t>2022-06-10 10:31:54.080</t>
  </si>
  <si>
    <t>2022-06-10 10:31:54.120</t>
  </si>
  <si>
    <t>2022-06-10 10:31:54.160</t>
  </si>
  <si>
    <t>2022-06-10 10:31:54.200</t>
  </si>
  <si>
    <t>2022-06-10 10:31:54.240</t>
  </si>
  <si>
    <t>2022-06-10 10:31:54.280</t>
  </si>
  <si>
    <t>2022-06-10 10:31:54.320</t>
  </si>
  <si>
    <t>2022-06-10 10:31:54.360</t>
  </si>
  <si>
    <t>2022-06-10 10:31:54.400</t>
  </si>
  <si>
    <t>2022-06-10 10:31:54.440</t>
  </si>
  <si>
    <t>2022-06-10 10:31:54.480</t>
  </si>
  <si>
    <t>2022-06-10 10:31:54.520</t>
  </si>
  <si>
    <t>2022-06-10 10:31:54.560</t>
  </si>
  <si>
    <t>2022-06-10 10:31:54.600</t>
  </si>
  <si>
    <t>2022-06-10 10:31:54.640</t>
  </si>
  <si>
    <t>2022-06-10 10:31:54.680</t>
  </si>
  <si>
    <t>2022-06-10 10:31:54.720</t>
  </si>
  <si>
    <t>2022-06-10 10:31:54.760</t>
  </si>
  <si>
    <t>2022-06-10 10:31:54.800</t>
  </si>
  <si>
    <t>2022-06-10 10:31:54.840</t>
  </si>
  <si>
    <t>2022-06-10 10:31:54.880</t>
  </si>
  <si>
    <t>2022-06-10 10:31:54.920</t>
  </si>
  <si>
    <t>2022-06-10 10:31:54.960</t>
  </si>
  <si>
    <t>2022-06-10 10:31:55.000</t>
  </si>
  <si>
    <t>2022-06-10 10:31:55.040</t>
  </si>
  <si>
    <t>2022-06-10 10:31:55.080</t>
  </si>
  <si>
    <t>2022-06-10 10:31:55.120</t>
  </si>
  <si>
    <t>2022-06-10 10:31:55.160</t>
  </si>
  <si>
    <t>2022-06-10 10:31:55.200</t>
  </si>
  <si>
    <t>2022-06-10 10:31:55.240</t>
  </si>
  <si>
    <t>2022-06-10 10:31:55.280</t>
  </si>
  <si>
    <t>2022-06-10 10:31:55.320</t>
  </si>
  <si>
    <t>2022-06-10 10:31:55.360</t>
  </si>
  <si>
    <t>2022-06-10 10:31:55.400</t>
  </si>
  <si>
    <t>2022-06-10 10:31:55.440</t>
  </si>
  <si>
    <t>2022-06-10 10:31:55.480</t>
  </si>
  <si>
    <t>2022-06-10 10:31:55.520</t>
  </si>
  <si>
    <t>2022-06-10 10:31:55.560</t>
  </si>
  <si>
    <t>2022-06-10 10:31:55.600</t>
  </si>
  <si>
    <t>2022-06-10 10:31:55.640</t>
  </si>
  <si>
    <t>2022-06-10 10:31:55.680</t>
  </si>
  <si>
    <t>2022-06-10 10:31:55.720</t>
  </si>
  <si>
    <t>2022-06-10 10:31:55.760</t>
  </si>
  <si>
    <t>2022-06-10 10:31:55.800</t>
  </si>
  <si>
    <t>2022-06-10 10:31:55.840</t>
  </si>
  <si>
    <t>2022-06-10 10:31:55.880</t>
  </si>
  <si>
    <t>2022-06-10 10:31:55.920</t>
  </si>
  <si>
    <t>2022-06-10 10:31:55.960</t>
  </si>
  <si>
    <t>2022-06-10 10:31:56.000</t>
  </si>
  <si>
    <t>2022-06-10 10:31:56.040</t>
  </si>
  <si>
    <t>2022-06-10 10:31:56.080</t>
  </si>
  <si>
    <t>2022-06-10 10:31:56.120</t>
  </si>
  <si>
    <t>2022-06-10 10:31:56.160</t>
  </si>
  <si>
    <t>2022-06-10 10:31:56.200</t>
  </si>
  <si>
    <t>2022-06-10 10:31:56.240</t>
  </si>
  <si>
    <t>2022-06-10 10:31:56.280</t>
  </si>
  <si>
    <t>2022-06-10 10:31:56.320</t>
  </si>
  <si>
    <t>2022-06-10 10:31:56.360</t>
  </si>
  <si>
    <t>2022-06-10 10:31:56.400</t>
  </si>
  <si>
    <t>2022-06-10 10:31:56.440</t>
  </si>
  <si>
    <t>2022-06-10 10:31:56.480</t>
  </si>
  <si>
    <t>2022-06-10 10:31:56.520</t>
  </si>
  <si>
    <t>2022-06-10 10:31:56.560</t>
  </si>
  <si>
    <t>2022-06-10 10:31:56.600</t>
  </si>
  <si>
    <t>2022-06-10 10:31:56.640</t>
  </si>
  <si>
    <t>2022-06-10 10:31:56.680</t>
  </si>
  <si>
    <t>2022-06-10 10:31:56.720</t>
  </si>
  <si>
    <t>2022-06-10 10:31:56.760</t>
  </si>
  <si>
    <t>2022-06-10 10:31:56.800</t>
  </si>
  <si>
    <t>2022-06-10 10:31:56.840</t>
  </si>
  <si>
    <t>2022-06-10 10:31:56.880</t>
  </si>
  <si>
    <t>2022-06-10 10:31:56.920</t>
  </si>
  <si>
    <t>2022-06-10 10:31:56.960</t>
  </si>
  <si>
    <t>2022-06-10 10:31:57.000</t>
  </si>
  <si>
    <t>2022-06-10 10:31:57.040</t>
  </si>
  <si>
    <t>2022-06-10 10:31:57.080</t>
  </si>
  <si>
    <t>2022-06-10 10:31:57.120</t>
  </si>
  <si>
    <t>2022-06-10 10:31:57.160</t>
  </si>
  <si>
    <t>2022-06-10 10:31:57.200</t>
  </si>
  <si>
    <t>2022-06-10 10:31:57.240</t>
  </si>
  <si>
    <t>2022-06-10 10:31:57.280</t>
  </si>
  <si>
    <t>2022-06-10 10:31:57.320</t>
  </si>
  <si>
    <t>2022-06-10 10:31:57.360</t>
  </si>
  <si>
    <t>2022-06-10 10:31:57.400</t>
  </si>
  <si>
    <t>2022-06-10 10:31:57.440</t>
  </si>
  <si>
    <t>2022-06-10 10:31:57.480</t>
  </si>
  <si>
    <t>2022-06-10 10:31:57.520</t>
  </si>
  <si>
    <t>2022-06-10 10:31:57.560</t>
  </si>
  <si>
    <t>2022-06-10 10:31:57.600</t>
  </si>
  <si>
    <t>2022-06-10 10:31:57.640</t>
  </si>
  <si>
    <t>2022-06-10 10:31:57.680</t>
  </si>
  <si>
    <t>2022-06-10 10:31:57.720</t>
  </si>
  <si>
    <t>2022-06-10 10:31:57.760</t>
  </si>
  <si>
    <t>2022-06-10 10:31:57.800</t>
  </si>
  <si>
    <t>2022-06-10 10:31:57.840</t>
  </si>
  <si>
    <t>2022-06-10 10:31:57.880</t>
  </si>
  <si>
    <t>2022-06-10 10:31:57.920</t>
  </si>
  <si>
    <t>2022-06-10 10:31:57.960</t>
  </si>
  <si>
    <t>2022-06-10 10:31:58.000</t>
  </si>
  <si>
    <t>2022-06-10 10:31:58.040</t>
  </si>
  <si>
    <t>2022-06-10 10:31:58.080</t>
  </si>
  <si>
    <t>2022-06-10 10:31:58.120</t>
  </si>
  <si>
    <t>2022-06-10 10:31:58.160</t>
  </si>
  <si>
    <t>2022-06-10 10:31:58.200</t>
  </si>
  <si>
    <t>2022-06-10 10:31:58.240</t>
  </si>
  <si>
    <t>2022-06-10 10:31:58.280</t>
  </si>
  <si>
    <t>2022-06-10 10:31:58.320</t>
  </si>
  <si>
    <t>2022-06-10 10:31:58.360</t>
  </si>
  <si>
    <t>2022-06-10 10:31:58.400</t>
  </si>
  <si>
    <t>2022-06-10 10:31:58.440</t>
  </si>
  <si>
    <t>2022-06-10 10:31:58.480</t>
  </si>
  <si>
    <t>2022-06-10 10:31:58.520</t>
  </si>
  <si>
    <t>2022-06-10 10:31:58.560</t>
  </si>
  <si>
    <t>2022-06-10 10:31:58.600</t>
  </si>
  <si>
    <t>2022-06-10 10:31:58.640</t>
  </si>
  <si>
    <t>2022-06-10 10:31:58.680</t>
  </si>
  <si>
    <t>2022-06-10 10:31:58.720</t>
  </si>
  <si>
    <t>2022-06-10 10:31:58.760</t>
  </si>
  <si>
    <t>2022-06-10 10:31:58.800</t>
  </si>
  <si>
    <t>2022-06-10 10:31:58.840</t>
  </si>
  <si>
    <t>2022-06-10 10:31:58.880</t>
  </si>
  <si>
    <t>2022-06-10 10:31:58.920</t>
  </si>
  <si>
    <t>2022-06-10 10:31:58.960</t>
  </si>
  <si>
    <t>2022-06-10 10:31:59.000</t>
  </si>
  <si>
    <t>2022-06-10 10:31:59.040</t>
  </si>
  <si>
    <t>2022-06-10 10:31:59.080</t>
  </si>
  <si>
    <t>2022-06-10 10:31:59.120</t>
  </si>
  <si>
    <t>2022-06-10 10:31:59.160</t>
  </si>
  <si>
    <t>2022-06-10 10:31:59.200</t>
  </si>
  <si>
    <t>2022-06-10 10:31:59.240</t>
  </si>
  <si>
    <t>2022-06-10 10:31:59.280</t>
  </si>
  <si>
    <t>2022-06-10 10:31:59.320</t>
  </si>
  <si>
    <t>2022-06-10 10:31:59.360</t>
  </si>
  <si>
    <t>2022-06-10 10:31:59.400</t>
  </si>
  <si>
    <t>2022-06-10 10:31:59.440</t>
  </si>
  <si>
    <t>2022-06-10 10:31:59.480</t>
  </si>
  <si>
    <t>2022-06-10 10:31:59.520</t>
  </si>
  <si>
    <t>2022-06-10 10:31:59.560</t>
  </si>
  <si>
    <t>2022-06-10 10:31:59.600</t>
  </si>
  <si>
    <t>2022-06-10 10:31:59.640</t>
  </si>
  <si>
    <t>2022-06-10 10:31:59.680</t>
  </si>
  <si>
    <t>2022-06-10 10:31:59.720</t>
  </si>
  <si>
    <t>2022-06-10 10:31:59.760</t>
  </si>
  <si>
    <t>2022-06-10 10:31:59.800</t>
  </si>
  <si>
    <t>2022-06-10 10:31:59.840</t>
  </si>
  <si>
    <t>2022-06-10 10:31:59.880</t>
  </si>
  <si>
    <t>2022-06-10 10:31:59.920</t>
  </si>
  <si>
    <t>2022-06-10 10:31:59.960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</si>
</sst>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4.90234375" customWidth="true"/>
    <col min="2" max="2" width="24.90234375" customWidth="true"/>
    <col min="3" max="3" width="13.9453125" customWidth="true"/>
    <col min="4" max="4" width="11.953125" customWidth="true"/>
    <col min="5" max="5" width="12.94921875" customWidth="true"/>
    <col min="6" max="6" width="4.98828125" customWidth="true"/>
    <col min="7" max="7" width="14.94140625" customWidth="true"/>
    <col min="8" max="8" width="2.0" customWidth="true"/>
    <col min="9" max="9" width="11.953125" customWidth="true"/>
    <col min="10" max="10" width="2.99609375" customWidth="true"/>
    <col min="11" max="11" width="12.94921875" customWidth="true"/>
    <col min="12" max="12" width="2.99609375" customWidth="true"/>
    <col min="13" max="13" width="12.94921875" customWidth="true"/>
    <col min="14" max="14" width="2.99609375" customWidth="true"/>
    <col min="15" max="15" width="12.94921875" customWidth="true"/>
    <col min="16" max="16" width="2.99609375" customWidth="true"/>
    <col min="17" max="17" width="12.94921875" customWidth="true"/>
    <col min="18" max="18" width="2.99609375" customWidth="true"/>
    <col min="19" max="19" width="12.94921875" customWidth="true"/>
    <col min="20" max="20" width="2.99609375" customWidth="true"/>
    <col min="21" max="21" width="12.94921875" customWidth="true"/>
    <col min="22" max="22" width="2.99609375" customWidth="true"/>
    <col min="23" max="23" width="12.94921875" customWidth="true"/>
    <col min="24" max="24" width="2.99609375" customWidth="true"/>
    <col min="25" max="25" width="12.94921875" customWidth="true"/>
    <col min="26" max="26" width="2.99609375" customWidth="true"/>
    <col min="27" max="27" width="12.94921875" customWidth="true"/>
    <col min="28" max="28" width="2.99609375" customWidth="true"/>
    <col min="29" max="29" width="12.94921875" customWidth="true"/>
    <col min="30" max="30" width="2.99609375" customWidth="true"/>
    <col min="31" max="31" width="12.94921875" customWidth="true"/>
    <col min="32" max="32" width="2.99609375" customWidth="true"/>
    <col min="33" max="33" width="12.94921875" customWidth="true"/>
    <col min="34" max="34" width="2.99609375" customWidth="true"/>
    <col min="35" max="35" width="12.94921875" customWidth="true"/>
    <col min="36" max="36" width="2.99609375" customWidth="true"/>
    <col min="37" max="37" width="12.94921875" customWidth="true"/>
    <col min="38" max="38" width="2.99609375" customWidth="true"/>
    <col min="39" max="39" width="12.94921875" customWidth="true"/>
    <col min="40" max="40" width="2.99609375" customWidth="true"/>
    <col min="41" max="41" width="12.94921875" customWidth="true"/>
    <col min="42" max="42" width="2.0" customWidth="true"/>
    <col min="43" max="43" width="11.953125" customWidth="true"/>
    <col min="44" max="44" width="3.9921875" customWidth="true"/>
    <col min="45" max="45" width="13.945312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s">
        <v>10</v>
      </c>
      <c r="B2" t="s">
        <v>11</v>
      </c>
      <c r="C2">
        <f>117663609375/10^6</f>
      </c>
      <c r="D2">
        <f>0</f>
      </c>
      <c r="E2">
        <f>721866089/10^6</f>
      </c>
      <c r="F2">
        <f>0</f>
      </c>
      <c r="G2">
        <f>249960236/10^6</f>
      </c>
      <c r="H2">
        <f>0</f>
      </c>
      <c r="I2">
        <f>-35684864/10^6</f>
      </c>
      <c r="J2">
        <f>0</f>
      </c>
    </row>
    <row r="3">
      <c r="A3" t="s">
        <v>12</v>
      </c>
      <c r="B3" t="s">
        <v>11</v>
      </c>
      <c r="C3">
        <f>118222890625/10^6</f>
      </c>
      <c r="D3">
        <f>0</f>
      </c>
      <c r="E3">
        <f>719543762/10^6</f>
      </c>
      <c r="F3">
        <f>0</f>
      </c>
      <c r="G3">
        <f>250211487/10^6</f>
      </c>
      <c r="H3">
        <f>0</f>
      </c>
      <c r="I3">
        <f>-35334724/10^6</f>
      </c>
      <c r="J3">
        <f>0</f>
      </c>
    </row>
    <row r="4">
      <c r="A4" t="s">
        <v>13</v>
      </c>
      <c r="B4" t="s">
        <v>11</v>
      </c>
      <c r="C4">
        <f>11884015625/10^5</f>
      </c>
      <c r="D4">
        <f>0</f>
      </c>
      <c r="E4">
        <f>716759399/10^6</f>
      </c>
      <c r="F4">
        <f>0</f>
      </c>
      <c r="G4">
        <f>250696457/10^6</f>
      </c>
      <c r="H4">
        <f>0</f>
      </c>
      <c r="I4">
        <f>-34736233/10^6</f>
      </c>
      <c r="J4">
        <f>0</f>
      </c>
    </row>
    <row r="5">
      <c r="A5" t="s">
        <v>14</v>
      </c>
      <c r="B5" t="s">
        <v>11</v>
      </c>
      <c r="C5">
        <f>119489289063/10^6</f>
      </c>
      <c r="D5">
        <f>0</f>
      </c>
      <c r="E5">
        <f>713751465/10^6</f>
      </c>
      <c r="F5">
        <f>0</f>
      </c>
      <c r="G5">
        <f>251262314/10^6</f>
      </c>
      <c r="H5">
        <f>0</f>
      </c>
      <c r="I5">
        <f>-3411721/10^5</f>
      </c>
      <c r="J5">
        <f>0</f>
      </c>
    </row>
    <row r="6">
      <c r="A6" t="s">
        <v>15</v>
      </c>
      <c r="B6" t="s">
        <v>11</v>
      </c>
      <c r="C6">
        <f>120130929688/10^6</f>
      </c>
      <c r="D6">
        <f>0</f>
      </c>
      <c r="E6">
        <f>710474548/10^6</f>
      </c>
      <c r="F6">
        <f>0</f>
      </c>
      <c r="G6">
        <f>251557434/10^6</f>
      </c>
      <c r="H6">
        <f>0</f>
      </c>
      <c r="I6">
        <f>-33546459/10^6</f>
      </c>
      <c r="J6">
        <f>0</f>
      </c>
    </row>
    <row r="7">
      <c r="A7" t="s">
        <v>16</v>
      </c>
      <c r="B7" t="s">
        <v>11</v>
      </c>
      <c r="C7">
        <f>120761421875/10^6</f>
      </c>
      <c r="D7">
        <f>0</f>
      </c>
      <c r="E7">
        <f>707167297/10^6</f>
      </c>
      <c r="F7">
        <f>0</f>
      </c>
      <c r="G7">
        <f>251835175/10^6</f>
      </c>
      <c r="H7">
        <f>0</f>
      </c>
      <c r="I7">
        <f>-32697678/10^6</f>
      </c>
      <c r="J7">
        <f>0</f>
      </c>
    </row>
    <row r="8">
      <c r="A8" t="s">
        <v>17</v>
      </c>
      <c r="B8" t="s">
        <v>11</v>
      </c>
      <c r="C8">
        <f>1213749375/10^4</f>
      </c>
      <c r="D8">
        <f>0</f>
      </c>
      <c r="E8">
        <f>704128479/10^6</f>
      </c>
      <c r="F8">
        <f>0</f>
      </c>
      <c r="G8">
        <f>25208107/10^5</f>
      </c>
      <c r="H8">
        <f>0</f>
      </c>
      <c r="I8">
        <f>-32035847/10^6</f>
      </c>
      <c r="J8">
        <f>0</f>
      </c>
    </row>
    <row r="9">
      <c r="A9" t="s">
        <v>18</v>
      </c>
      <c r="B9" t="s">
        <v>11</v>
      </c>
      <c r="C9">
        <f>121921898438/10^6</f>
      </c>
      <c r="D9">
        <f>0</f>
      </c>
      <c r="E9">
        <f>701072571/10^6</f>
      </c>
      <c r="F9">
        <f>0</f>
      </c>
      <c r="G9">
        <f>252279327/10^6</f>
      </c>
      <c r="H9">
        <f>0</f>
      </c>
      <c r="I9">
        <f>-31486706/10^6</f>
      </c>
      <c r="J9">
        <f>0</f>
      </c>
    </row>
    <row r="10">
      <c r="A10" t="s">
        <v>19</v>
      </c>
      <c r="B10" t="s">
        <v>11</v>
      </c>
      <c r="C10">
        <f>122374976563/10^6</f>
      </c>
      <c r="D10">
        <f>0</f>
      </c>
      <c r="E10">
        <f>698196106/10^6</f>
      </c>
      <c r="F10">
        <f>0</f>
      </c>
      <c r="G10">
        <f>252532028/10^6</f>
      </c>
      <c r="H10">
        <f>0</f>
      </c>
      <c r="I10">
        <f>-30857012/10^6</f>
      </c>
      <c r="J10">
        <f>0</f>
      </c>
    </row>
    <row r="11">
      <c r="A11" t="s">
        <v>20</v>
      </c>
      <c r="B11" t="s">
        <v>11</v>
      </c>
      <c r="C11">
        <f>12274309375/10^5</f>
      </c>
      <c r="D11">
        <f>0</f>
      </c>
      <c r="E11">
        <f>695985718/10^6</f>
      </c>
      <c r="F11">
        <f>0</f>
      </c>
      <c r="G11">
        <f>252548096/10^6</f>
      </c>
      <c r="H11">
        <f>0</f>
      </c>
      <c r="I11">
        <f>-30472494/10^6</f>
      </c>
      <c r="J11">
        <f>0</f>
      </c>
    </row>
    <row r="12">
      <c r="A12" t="s">
        <v>21</v>
      </c>
      <c r="B12" t="s">
        <v>11</v>
      </c>
      <c r="C12">
        <f>123018328125/10^6</f>
      </c>
      <c r="D12">
        <f>0</f>
      </c>
      <c r="E12">
        <f>694153503/10^6</f>
      </c>
      <c r="F12">
        <f>0</f>
      </c>
      <c r="G12">
        <f>252392532/10^6</f>
      </c>
      <c r="H12">
        <f>0</f>
      </c>
      <c r="I12">
        <f>-30070141/10^6</f>
      </c>
      <c r="J12">
        <f>0</f>
      </c>
    </row>
    <row r="13">
      <c r="A13" t="s">
        <v>22</v>
      </c>
      <c r="B13" t="s">
        <v>11</v>
      </c>
      <c r="C13">
        <f>123176726563/10^6</f>
      </c>
      <c r="D13">
        <f>0</f>
      </c>
      <c r="E13">
        <f>692611328/10^6</f>
      </c>
      <c r="F13">
        <f>0</f>
      </c>
      <c r="G13">
        <f>252303009/10^6</f>
      </c>
      <c r="H13">
        <f>0</f>
      </c>
      <c r="I13">
        <f>-29746578/10^6</f>
      </c>
      <c r="J13">
        <f>0</f>
      </c>
    </row>
    <row r="14">
      <c r="A14" t="s">
        <v>23</v>
      </c>
      <c r="B14" t="s">
        <v>11</v>
      </c>
      <c r="C14">
        <f>123217140625/10^6</f>
      </c>
      <c r="D14">
        <f>0</f>
      </c>
      <c r="E14">
        <f>691739502/10^6</f>
      </c>
      <c r="F14">
        <f>0</f>
      </c>
      <c r="G14">
        <f>252150894/10^6</f>
      </c>
      <c r="H14">
        <f>0</f>
      </c>
      <c r="I14">
        <f>-29696495/10^6</f>
      </c>
      <c r="J14">
        <f>0</f>
      </c>
    </row>
    <row r="15">
      <c r="A15" t="s">
        <v>24</v>
      </c>
      <c r="B15" t="s">
        <v>11</v>
      </c>
      <c r="C15">
        <f>123183804688/10^6</f>
      </c>
      <c r="D15">
        <f>0</f>
      </c>
      <c r="E15">
        <f>691315125/10^6</f>
      </c>
      <c r="F15">
        <f>0</f>
      </c>
      <c r="G15">
        <f>251975891/10^6</f>
      </c>
      <c r="H15">
        <f>0</f>
      </c>
      <c r="I15">
        <f>-29632858/10^6</f>
      </c>
      <c r="J15">
        <f>0</f>
      </c>
    </row>
    <row r="16">
      <c r="A16" t="s">
        <v>25</v>
      </c>
      <c r="B16" t="s">
        <v>11</v>
      </c>
      <c r="C16">
        <f>123131351563/10^6</f>
      </c>
      <c r="D16">
        <f>0</f>
      </c>
      <c r="E16">
        <f>69105719/10^5</f>
      </c>
      <c r="F16">
        <f>0</f>
      </c>
      <c r="G16">
        <f>25182486/10^5</f>
      </c>
      <c r="H16">
        <f>0</f>
      </c>
      <c r="I16">
        <f>-29646376/10^6</f>
      </c>
      <c r="J16">
        <f>0</f>
      </c>
    </row>
    <row r="17">
      <c r="A17" t="s">
        <v>26</v>
      </c>
      <c r="B17" t="s">
        <v>11</v>
      </c>
      <c r="C17">
        <f>123065585938/10^6</f>
      </c>
      <c r="D17">
        <f>0</f>
      </c>
      <c r="E17">
        <f>69106012/10^5</f>
      </c>
      <c r="F17">
        <f>0</f>
      </c>
      <c r="G17">
        <f>251600021/10^6</f>
      </c>
      <c r="H17">
        <f>0</f>
      </c>
      <c r="I17">
        <f>-29775646/10^6</f>
      </c>
      <c r="J17">
        <f>0</f>
      </c>
    </row>
    <row r="18">
      <c r="A18" t="s">
        <v>27</v>
      </c>
      <c r="B18" t="s">
        <v>11</v>
      </c>
      <c r="C18">
        <f>122988929688/10^6</f>
      </c>
      <c r="D18">
        <f>0</f>
      </c>
      <c r="E18">
        <f>691147278/10^6</f>
      </c>
      <c r="F18">
        <f>0</f>
      </c>
      <c r="G18">
        <f>251422943/10^6</f>
      </c>
      <c r="H18">
        <f>0</f>
      </c>
      <c r="I18">
        <f>-29868963/10^6</f>
      </c>
      <c r="J18">
        <f>0</f>
      </c>
    </row>
    <row r="19">
      <c r="A19" t="s">
        <v>28</v>
      </c>
      <c r="B19" t="s">
        <v>11</v>
      </c>
      <c r="C19">
        <f>122905273438/10^6</f>
      </c>
      <c r="D19">
        <f>0</f>
      </c>
      <c r="E19">
        <f>691279419/10^6</f>
      </c>
      <c r="F19">
        <f>0</f>
      </c>
      <c r="G19">
        <f>251298386/10^6</f>
      </c>
      <c r="H19">
        <f>0</f>
      </c>
      <c r="I19">
        <f>-3000514/10^5</f>
      </c>
      <c r="J19">
        <f>0</f>
      </c>
    </row>
    <row r="20">
      <c r="A20" t="s">
        <v>29</v>
      </c>
      <c r="B20" t="s">
        <v>11</v>
      </c>
      <c r="C20">
        <f>122777070313/10^6</f>
      </c>
      <c r="D20">
        <f>0</f>
      </c>
      <c r="E20">
        <f>691700317/10^6</f>
      </c>
      <c r="F20">
        <f>0</f>
      </c>
      <c r="G20">
        <f>251166687/10^6</f>
      </c>
      <c r="H20">
        <f>0</f>
      </c>
      <c r="I20">
        <f>-30150759/10^6</f>
      </c>
      <c r="J20">
        <f>0</f>
      </c>
    </row>
    <row r="21">
      <c r="A21" t="s">
        <v>30</v>
      </c>
      <c r="B21" t="s">
        <v>11</v>
      </c>
      <c r="C21">
        <f>122606046875/10^6</f>
      </c>
      <c r="D21">
        <f>0</f>
      </c>
      <c r="E21">
        <f>69244812/10^5</f>
      </c>
      <c r="F21">
        <f>0</f>
      </c>
      <c r="G21">
        <f>251049698/10^6</f>
      </c>
      <c r="H21">
        <f>0</f>
      </c>
      <c r="I21">
        <f>-3031761/10^5</f>
      </c>
      <c r="J21">
        <f>0</f>
      </c>
    </row>
    <row r="22">
      <c r="A22" t="s">
        <v>31</v>
      </c>
      <c r="B22" t="s">
        <v>11</v>
      </c>
      <c r="C22">
        <f>12243328125/10^5</f>
      </c>
      <c r="D22">
        <f>0</f>
      </c>
      <c r="E22">
        <f>693449402/10^6</f>
      </c>
      <c r="F22">
        <f>0</f>
      </c>
      <c r="G22">
        <f>250877548/10^6</f>
      </c>
      <c r="H22">
        <f>0</f>
      </c>
      <c r="I22">
        <f>-30558878/10^6</f>
      </c>
      <c r="J22">
        <f>0</f>
      </c>
    </row>
    <row r="23">
      <c r="A23" t="s">
        <v>32</v>
      </c>
      <c r="B23" t="s">
        <v>11</v>
      </c>
      <c r="C23">
        <f>1222573125/10^4</f>
      </c>
      <c r="D23">
        <f>0</f>
      </c>
      <c r="E23">
        <f>694506592/10^6</f>
      </c>
      <c r="F23">
        <f>0</f>
      </c>
      <c r="G23">
        <f>250750061/10^6</f>
      </c>
      <c r="H23">
        <f>0</f>
      </c>
      <c r="I23">
        <f>-30760176/10^6</f>
      </c>
      <c r="J23">
        <f>0</f>
      </c>
    </row>
    <row r="24">
      <c r="A24" t="s">
        <v>33</v>
      </c>
      <c r="B24" t="s">
        <v>11</v>
      </c>
      <c r="C24">
        <f>12206575/10^2</f>
      </c>
      <c r="D24">
        <f>0</f>
      </c>
      <c r="E24">
        <f>695425476/10^6</f>
      </c>
      <c r="F24">
        <f>0</f>
      </c>
      <c r="G24">
        <f>250747253/10^6</f>
      </c>
      <c r="H24">
        <f>0</f>
      </c>
      <c r="I24">
        <f>-31039719/10^6</f>
      </c>
      <c r="J24">
        <f>0</f>
      </c>
    </row>
    <row r="25">
      <c r="A25" t="s">
        <v>34</v>
      </c>
      <c r="B25" t="s">
        <v>11</v>
      </c>
      <c r="C25">
        <f>1218665/10^1</f>
      </c>
      <c r="D25">
        <f>0</f>
      </c>
      <c r="E25">
        <f>69627948/10^5</f>
      </c>
      <c r="F25">
        <f>0</f>
      </c>
      <c r="G25">
        <f>250755417/10^6</f>
      </c>
      <c r="H25">
        <f>0</f>
      </c>
      <c r="I25">
        <f>-31354799/10^6</f>
      </c>
      <c r="J25">
        <f>0</f>
      </c>
    </row>
    <row r="26">
      <c r="A26" t="s">
        <v>35</v>
      </c>
      <c r="B26" t="s">
        <v>11</v>
      </c>
      <c r="C26">
        <f>121680148438/10^6</f>
      </c>
      <c r="D26">
        <f>0</f>
      </c>
      <c r="E26">
        <f>697267029/10^6</f>
      </c>
      <c r="F26">
        <f>0</f>
      </c>
      <c r="G26">
        <f>250705582/10^6</f>
      </c>
      <c r="H26">
        <f>0</f>
      </c>
      <c r="I26">
        <f>-31574396/10^6</f>
      </c>
      <c r="J26">
        <f>0</f>
      </c>
    </row>
    <row r="27">
      <c r="A27" t="s">
        <v>36</v>
      </c>
      <c r="B27" t="s">
        <v>11</v>
      </c>
      <c r="C27">
        <f>121512945313/10^6</f>
      </c>
      <c r="D27">
        <f>0</f>
      </c>
      <c r="E27">
        <f>698320618/10^6</f>
      </c>
      <c r="F27">
        <f>0</f>
      </c>
      <c r="G27">
        <f>250627457/10^6</f>
      </c>
      <c r="H27">
        <f>0</f>
      </c>
      <c r="I27">
        <f>-31831244/10^6</f>
      </c>
      <c r="J27">
        <f>0</f>
      </c>
    </row>
    <row r="28">
      <c r="A28" t="s">
        <v>37</v>
      </c>
      <c r="B28" t="s">
        <v>11</v>
      </c>
      <c r="C28">
        <f>121335828125/10^6</f>
      </c>
      <c r="D28">
        <f>0</f>
      </c>
      <c r="E28">
        <f>699264465/10^6</f>
      </c>
      <c r="F28">
        <f>0</f>
      </c>
      <c r="G28">
        <f>250559128/10^6</f>
      </c>
      <c r="H28">
        <f>0</f>
      </c>
      <c r="I28">
        <f>-32059097/10^6</f>
      </c>
      <c r="J28">
        <f>0</f>
      </c>
    </row>
    <row r="29">
      <c r="A29" t="s">
        <v>38</v>
      </c>
      <c r="B29" t="s">
        <v>11</v>
      </c>
      <c r="C29">
        <f>121140101563/10^6</f>
      </c>
      <c r="D29">
        <f>0</f>
      </c>
      <c r="E29">
        <f>700206299/10^6</f>
      </c>
      <c r="F29">
        <f>0</f>
      </c>
      <c r="G29">
        <f>250478027/10^6</f>
      </c>
      <c r="H29">
        <f>0</f>
      </c>
      <c r="I29">
        <f>-32251534/10^6</f>
      </c>
      <c r="J29">
        <f>0</f>
      </c>
    </row>
    <row r="30">
      <c r="A30" t="s">
        <v>39</v>
      </c>
      <c r="B30" t="s">
        <v>11</v>
      </c>
      <c r="C30">
        <f>120929335938/10^6</f>
      </c>
      <c r="D30">
        <f>0</f>
      </c>
      <c r="E30">
        <f>701233948/10^6</f>
      </c>
      <c r="F30">
        <f>0</f>
      </c>
      <c r="G30">
        <f>250418961/10^6</f>
      </c>
      <c r="H30">
        <f>0</f>
      </c>
      <c r="I30">
        <f>-32438824/10^6</f>
      </c>
      <c r="J30">
        <f>0</f>
      </c>
    </row>
    <row r="31">
      <c r="A31" t="s">
        <v>40</v>
      </c>
      <c r="B31" t="s">
        <v>11</v>
      </c>
      <c r="C31">
        <f>120696320313/10^6</f>
      </c>
      <c r="D31">
        <f>0</f>
      </c>
      <c r="E31">
        <f>702322144/10^6</f>
      </c>
      <c r="F31">
        <f>0</f>
      </c>
      <c r="G31">
        <f>250283585/10^6</f>
      </c>
      <c r="H31">
        <f>0</f>
      </c>
      <c r="I31">
        <f>-32668262/10^6</f>
      </c>
      <c r="J31">
        <f>0</f>
      </c>
    </row>
    <row r="32">
      <c r="A32" t="s">
        <v>41</v>
      </c>
      <c r="B32" t="s">
        <v>11</v>
      </c>
      <c r="C32">
        <f>120491125/10^3</f>
      </c>
      <c r="D32">
        <f>0</f>
      </c>
      <c r="E32">
        <f>703323975/10^6</f>
      </c>
      <c r="F32">
        <f>0</f>
      </c>
      <c r="G32">
        <f>249949463/10^6</f>
      </c>
      <c r="H32">
        <f>0</f>
      </c>
      <c r="I32">
        <f>-33025475/10^6</f>
      </c>
      <c r="J32">
        <f>0</f>
      </c>
    </row>
    <row r="33">
      <c r="A33" t="s">
        <v>42</v>
      </c>
      <c r="B33" t="s">
        <v>11</v>
      </c>
      <c r="C33">
        <f>1203441875/10^4</f>
      </c>
      <c r="D33">
        <f>0</f>
      </c>
      <c r="E33">
        <f>704044861/10^6</f>
      </c>
      <c r="F33">
        <f>0</f>
      </c>
      <c r="G33">
        <f>249741486/10^6</f>
      </c>
      <c r="H33">
        <f>0</f>
      </c>
      <c r="I33">
        <f>-33296467/10^6</f>
      </c>
      <c r="J33">
        <f>0</f>
      </c>
    </row>
    <row r="34">
      <c r="A34" t="s">
        <v>43</v>
      </c>
      <c r="B34" t="s">
        <v>11</v>
      </c>
      <c r="C34">
        <f>12019778125/10^5</f>
      </c>
      <c r="D34">
        <f>0</f>
      </c>
      <c r="E34">
        <f>704743713/10^6</f>
      </c>
      <c r="F34">
        <f>0</f>
      </c>
      <c r="G34">
        <f>249851288/10^6</f>
      </c>
      <c r="H34">
        <f>0</f>
      </c>
      <c r="I34">
        <f>-33526791/10^6</f>
      </c>
      <c r="J34">
        <f>0</f>
      </c>
    </row>
    <row r="35">
      <c r="A35" t="s">
        <v>44</v>
      </c>
      <c r="B35" t="s">
        <v>11</v>
      </c>
      <c r="C35">
        <f>120042039063/10^6</f>
      </c>
      <c r="D35">
        <f>0</f>
      </c>
      <c r="E35">
        <f>705646301/10^6</f>
      </c>
      <c r="F35">
        <f>0</f>
      </c>
      <c r="G35">
        <f>249982697/10^6</f>
      </c>
      <c r="H35">
        <f>0</f>
      </c>
      <c r="I35">
        <f>-33796383/10^6</f>
      </c>
      <c r="J35">
        <f>0</f>
      </c>
    </row>
    <row r="36">
      <c r="A36" t="s">
        <v>45</v>
      </c>
      <c r="B36" t="s">
        <v>11</v>
      </c>
      <c r="C36">
        <f>1199140625/10^4</f>
      </c>
      <c r="D36">
        <f>0</f>
      </c>
      <c r="E36">
        <f>706442993/10^6</f>
      </c>
      <c r="F36">
        <f>0</f>
      </c>
      <c r="G36">
        <f>249988571/10^6</f>
      </c>
      <c r="H36">
        <f>0</f>
      </c>
      <c r="I36">
        <f>-33962963/10^6</f>
      </c>
      <c r="J36">
        <f>0</f>
      </c>
    </row>
    <row r="37">
      <c r="A37" t="s">
        <v>46</v>
      </c>
      <c r="B37" t="s">
        <v>11</v>
      </c>
      <c r="C37">
        <f>119793726563/10^6</f>
      </c>
      <c r="D37">
        <f>0</f>
      </c>
      <c r="E37">
        <f>707101501/10^6</f>
      </c>
      <c r="F37">
        <f>0</f>
      </c>
      <c r="G37">
        <f>249981339/10^6</f>
      </c>
      <c r="H37">
        <f>0</f>
      </c>
      <c r="I37">
        <f>-34106251/10^6</f>
      </c>
      <c r="J37">
        <f>0</f>
      </c>
    </row>
    <row r="38">
      <c r="A38" t="s">
        <v>47</v>
      </c>
      <c r="B38" t="s">
        <v>11</v>
      </c>
      <c r="C38">
        <f>119649429688/10^6</f>
      </c>
      <c r="D38">
        <f>0</f>
      </c>
      <c r="E38">
        <f>708019531/10^6</f>
      </c>
      <c r="F38">
        <f>0</f>
      </c>
      <c r="G38">
        <f>249982117/10^6</f>
      </c>
      <c r="H38">
        <f>0</f>
      </c>
      <c r="I38">
        <f>-34248627/10^6</f>
      </c>
      <c r="J38">
        <f>0</f>
      </c>
    </row>
    <row r="39">
      <c r="A39" t="s">
        <v>48</v>
      </c>
      <c r="B39" t="s">
        <v>11</v>
      </c>
      <c r="C39">
        <f>119486882813/10^6</f>
      </c>
      <c r="D39">
        <f>0</f>
      </c>
      <c r="E39">
        <f>709041687/10^6</f>
      </c>
      <c r="F39">
        <f>0</f>
      </c>
      <c r="G39">
        <f>249943787/10^6</f>
      </c>
      <c r="H39">
        <f>0</f>
      </c>
      <c r="I39">
        <f>-34388348/10^6</f>
      </c>
      <c r="J39">
        <f>0</f>
      </c>
    </row>
    <row r="40">
      <c r="A40" t="s">
        <v>49</v>
      </c>
      <c r="B40" t="s">
        <v>11</v>
      </c>
      <c r="C40">
        <f>119322835938/10^6</f>
      </c>
      <c r="D40">
        <f>0</f>
      </c>
      <c r="E40">
        <f>709824219/10^6</f>
      </c>
      <c r="F40">
        <f>0</f>
      </c>
      <c r="G40">
        <f>249906418/10^6</f>
      </c>
      <c r="H40">
        <f>0</f>
      </c>
      <c r="I40">
        <f>-3452681/10^5</f>
      </c>
      <c r="J40">
        <f>0</f>
      </c>
    </row>
    <row r="41">
      <c r="A41" t="s">
        <v>50</v>
      </c>
      <c r="B41" t="s">
        <v>11</v>
      </c>
      <c r="C41">
        <f>119161085938/10^6</f>
      </c>
      <c r="D41">
        <f>0</f>
      </c>
      <c r="E41">
        <f>71069989/10^5</f>
      </c>
      <c r="F41">
        <f>0</f>
      </c>
      <c r="G41">
        <f>249855286/10^6</f>
      </c>
      <c r="H41">
        <f>0</f>
      </c>
      <c r="I41">
        <f>-34680653/10^6</f>
      </c>
      <c r="J41">
        <f>0</f>
      </c>
    </row>
    <row r="42">
      <c r="A42" t="s">
        <v>51</v>
      </c>
      <c r="B42" t="s">
        <v>11</v>
      </c>
      <c r="C42">
        <f>118995210938/10^6</f>
      </c>
      <c r="D42">
        <f>0</f>
      </c>
      <c r="E42">
        <f>711811523/10^6</f>
      </c>
      <c r="F42">
        <f>0</f>
      </c>
      <c r="G42">
        <f>249744019/10^6</f>
      </c>
      <c r="H42">
        <f>0</f>
      </c>
      <c r="I42">
        <f>-34894207/10^6</f>
      </c>
      <c r="J42">
        <f>0</f>
      </c>
    </row>
    <row r="43">
      <c r="A43" t="s">
        <v>52</v>
      </c>
      <c r="B43" t="s">
        <v>11</v>
      </c>
      <c r="C43">
        <f>118818796875/10^6</f>
      </c>
      <c r="D43">
        <f>0</f>
      </c>
      <c r="E43">
        <f>712866333/10^6</f>
      </c>
      <c r="F43">
        <f>0</f>
      </c>
      <c r="G43">
        <f>249670273/10^6</f>
      </c>
      <c r="H43">
        <f>0</f>
      </c>
      <c r="I43">
        <f>-35075153/10^6</f>
      </c>
      <c r="J43">
        <f>0</f>
      </c>
    </row>
    <row r="44">
      <c r="A44" t="s">
        <v>53</v>
      </c>
      <c r="B44" t="s">
        <v>11</v>
      </c>
      <c r="C44">
        <f>118627203125/10^6</f>
      </c>
      <c r="D44">
        <f>0</f>
      </c>
      <c r="E44">
        <f>713968445/10^6</f>
      </c>
      <c r="F44">
        <f>0</f>
      </c>
      <c r="G44">
        <f>249669373/10^6</f>
      </c>
      <c r="H44">
        <f>0</f>
      </c>
      <c r="I44">
        <f>-35288933/10^6</f>
      </c>
      <c r="J44">
        <f>0</f>
      </c>
    </row>
    <row r="45">
      <c r="A45" t="s">
        <v>54</v>
      </c>
      <c r="B45" t="s">
        <v>11</v>
      </c>
      <c r="C45">
        <f>118437203125/10^6</f>
      </c>
      <c r="D45">
        <f>0</f>
      </c>
      <c r="E45">
        <f>715122314/10^6</f>
      </c>
      <c r="F45">
        <f>0</f>
      </c>
      <c r="G45">
        <f>249666595/10^6</f>
      </c>
      <c r="H45">
        <f>0</f>
      </c>
      <c r="I45">
        <f>-35510918/10^6</f>
      </c>
      <c r="J45">
        <f>0</f>
      </c>
    </row>
    <row r="46">
      <c r="A46" t="s">
        <v>55</v>
      </c>
      <c r="B46" t="s">
        <v>11</v>
      </c>
      <c r="C46">
        <f>118282/10^0</f>
      </c>
      <c r="D46">
        <f>0</f>
      </c>
      <c r="E46">
        <f>716009277/10^6</f>
      </c>
      <c r="F46">
        <f>0</f>
      </c>
      <c r="G46">
        <f>24965596/10^5</f>
      </c>
      <c r="H46">
        <f>0</f>
      </c>
      <c r="I46">
        <f>-35717606/10^6</f>
      </c>
      <c r="J46">
        <f>0</f>
      </c>
    </row>
    <row r="47">
      <c r="A47" t="s">
        <v>56</v>
      </c>
      <c r="B47" t="s">
        <v>11</v>
      </c>
      <c r="C47">
        <f>1181595625/10^4</f>
      </c>
      <c r="D47">
        <f>0</f>
      </c>
      <c r="E47">
        <f>716738037/10^6</f>
      </c>
      <c r="F47">
        <f>0</f>
      </c>
      <c r="G47">
        <f>249657394/10^6</f>
      </c>
      <c r="H47">
        <f>0</f>
      </c>
      <c r="I47">
        <f>-36052025/10^6</f>
      </c>
      <c r="J47">
        <f>0</f>
      </c>
    </row>
    <row r="48">
      <c r="A48" t="s">
        <v>57</v>
      </c>
      <c r="B48" t="s">
        <v>11</v>
      </c>
      <c r="C48">
        <f>118046421875/10^6</f>
      </c>
      <c r="D48">
        <f>0</f>
      </c>
      <c r="E48">
        <f>717489868/10^6</f>
      </c>
      <c r="F48">
        <f>0</f>
      </c>
      <c r="G48">
        <f>24965239/10^5</f>
      </c>
      <c r="H48">
        <f>0</f>
      </c>
      <c r="I48">
        <f>-36304451/10^6</f>
      </c>
      <c r="J48">
        <f>0</f>
      </c>
    </row>
    <row r="49">
      <c r="A49" t="s">
        <v>58</v>
      </c>
      <c r="B49" t="s">
        <v>11</v>
      </c>
      <c r="C49">
        <f>1179220625/10^4</f>
      </c>
      <c r="D49">
        <f>0</f>
      </c>
      <c r="E49">
        <f>718147461/10^6</f>
      </c>
      <c r="F49">
        <f>0</f>
      </c>
      <c r="G49">
        <f>24962944/10^5</f>
      </c>
      <c r="H49">
        <f>0</f>
      </c>
      <c r="I49">
        <f>-36345795/10^6</f>
      </c>
      <c r="J49">
        <f>0</f>
      </c>
    </row>
    <row r="50">
      <c r="A50" t="s">
        <v>59</v>
      </c>
      <c r="B50" t="s">
        <v>11</v>
      </c>
      <c r="C50">
        <f>117759054688/10^6</f>
      </c>
      <c r="D50">
        <f>0</f>
      </c>
      <c r="E50">
        <f>718924194/10^6</f>
      </c>
      <c r="F50">
        <f>0</f>
      </c>
      <c r="G50">
        <f>249606628/10^6</f>
      </c>
      <c r="H50">
        <f>0</f>
      </c>
      <c r="I50">
        <f>-36360104/10^6</f>
      </c>
      <c r="J50">
        <f>0</f>
      </c>
    </row>
    <row r="51">
      <c r="A51" t="s">
        <v>60</v>
      </c>
      <c r="B51" t="s">
        <v>11</v>
      </c>
      <c r="C51">
        <f>117557453125/10^6</f>
      </c>
      <c r="D51">
        <f>0</f>
      </c>
      <c r="E51">
        <f>720062988/10^6</f>
      </c>
      <c r="F51">
        <f>0</f>
      </c>
      <c r="G51">
        <f>249558182/10^6</f>
      </c>
      <c r="H51">
        <f>0</f>
      </c>
      <c r="I51">
        <f>-36539631/10^6</f>
      </c>
      <c r="J51">
        <f>0</f>
      </c>
    </row>
    <row r="52">
      <c r="A52" t="s">
        <v>61</v>
      </c>
      <c r="B52" t="s">
        <v>11</v>
      </c>
      <c r="C52">
        <f>11732125/10^2</f>
      </c>
      <c r="D52">
        <f>0</f>
      </c>
      <c r="E52">
        <f>721375061/10^6</f>
      </c>
      <c r="F52">
        <f>0</f>
      </c>
      <c r="G52">
        <f>249516449/10^6</f>
      </c>
      <c r="H52">
        <f>0</f>
      </c>
      <c r="I52">
        <f>-36819843/10^6</f>
      </c>
      <c r="J52">
        <f>0</f>
      </c>
    </row>
    <row r="53">
      <c r="A53" t="s">
        <v>62</v>
      </c>
      <c r="B53" t="s">
        <v>11</v>
      </c>
      <c r="C53">
        <f>117031867188/10^6</f>
      </c>
      <c r="D53">
        <f>0</f>
      </c>
      <c r="E53">
        <f>722884644/10^6</f>
      </c>
      <c r="F53">
        <f>0</f>
      </c>
      <c r="G53">
        <f>249461807/10^6</f>
      </c>
      <c r="H53">
        <f>0</f>
      </c>
      <c r="I53">
        <f>-37062149/10^6</f>
      </c>
      <c r="J53">
        <f>0</f>
      </c>
    </row>
    <row r="54">
      <c r="A54" t="s">
        <v>63</v>
      </c>
      <c r="B54" t="s">
        <v>11</v>
      </c>
      <c r="C54">
        <f>116684335938/10^6</f>
      </c>
      <c r="D54">
        <f>0</f>
      </c>
      <c r="E54">
        <f>724705505/10^6</f>
      </c>
      <c r="F54">
        <f>0</f>
      </c>
      <c r="G54">
        <f>24921434/10^5</f>
      </c>
      <c r="H54">
        <f>0</f>
      </c>
      <c r="I54">
        <f>-3747369/10^5</f>
      </c>
      <c r="J54">
        <f>0</f>
      </c>
    </row>
    <row r="55">
      <c r="A55" t="s">
        <v>64</v>
      </c>
      <c r="B55" t="s">
        <v>11</v>
      </c>
      <c r="C55">
        <f>116294382813/10^6</f>
      </c>
      <c r="D55">
        <f>0</f>
      </c>
      <c r="E55">
        <f>726723633/10^6</f>
      </c>
      <c r="F55">
        <f>0</f>
      </c>
      <c r="G55">
        <f>248921692/10^6</f>
      </c>
      <c r="H55">
        <f>0</f>
      </c>
      <c r="I55">
        <f>-37887241/10^6</f>
      </c>
      <c r="J55">
        <f>0</f>
      </c>
    </row>
    <row r="56">
      <c r="A56" t="s">
        <v>65</v>
      </c>
      <c r="B56" t="s">
        <v>11</v>
      </c>
      <c r="C56">
        <f>115905640625/10^6</f>
      </c>
      <c r="D56">
        <f>0</f>
      </c>
      <c r="E56">
        <f>728957153/10^6</f>
      </c>
      <c r="F56">
        <f>0</f>
      </c>
      <c r="G56">
        <f>248772217/10^6</f>
      </c>
      <c r="H56">
        <f>0</f>
      </c>
      <c r="I56">
        <f>-38291782/10^6</f>
      </c>
      <c r="J56">
        <f>0</f>
      </c>
    </row>
    <row r="57">
      <c r="A57" t="s">
        <v>66</v>
      </c>
      <c r="B57" t="s">
        <v>11</v>
      </c>
      <c r="C57">
        <f>115565054688/10^6</f>
      </c>
      <c r="D57">
        <f>0</f>
      </c>
      <c r="E57">
        <f>730989197/10^6</f>
      </c>
      <c r="F57">
        <f>0</f>
      </c>
      <c r="G57">
        <f>248648849/10^6</f>
      </c>
      <c r="H57">
        <f>0</f>
      </c>
      <c r="I57">
        <f>-39093395/10^6</f>
      </c>
      <c r="J57">
        <f>0</f>
      </c>
    </row>
    <row r="58">
      <c r="A58" t="s">
        <v>67</v>
      </c>
      <c r="B58" t="s">
        <v>11</v>
      </c>
      <c r="C58">
        <f>115305375/10^3</f>
      </c>
      <c r="D58">
        <f>0</f>
      </c>
      <c r="E58">
        <f>732090271/10^6</f>
      </c>
      <c r="F58">
        <f>0</f>
      </c>
      <c r="G58">
        <f>248518677/10^6</f>
      </c>
      <c r="H58">
        <f>0</f>
      </c>
      <c r="I58">
        <f>-39615124/10^6</f>
      </c>
      <c r="J58">
        <f>0</f>
      </c>
    </row>
    <row r="59">
      <c r="A59" t="s">
        <v>68</v>
      </c>
      <c r="B59" t="s">
        <v>11</v>
      </c>
      <c r="C59">
        <f>115133765625/10^6</f>
      </c>
      <c r="D59">
        <f>0</f>
      </c>
      <c r="E59">
        <f>732542175/10^6</f>
      </c>
      <c r="F59">
        <f>0</f>
      </c>
      <c r="G59">
        <f>248310104/10^6</f>
      </c>
      <c r="H59">
        <f>0</f>
      </c>
      <c r="I59">
        <f>-39383671/10^6</f>
      </c>
      <c r="J59">
        <f>0</f>
      </c>
    </row>
    <row r="60">
      <c r="A60" t="s">
        <v>69</v>
      </c>
      <c r="B60" t="s">
        <v>11</v>
      </c>
      <c r="C60">
        <f>114985335938/10^6</f>
      </c>
      <c r="D60">
        <f>0</f>
      </c>
      <c r="E60">
        <f>733041687/10^6</f>
      </c>
      <c r="F60">
        <f>0</f>
      </c>
      <c r="G60">
        <f>2480672/10^4</f>
      </c>
      <c r="H60">
        <f>0</f>
      </c>
      <c r="I60">
        <f>-39117504/10^6</f>
      </c>
      <c r="J60">
        <f>0</f>
      </c>
    </row>
    <row r="61">
      <c r="A61" t="s">
        <v>70</v>
      </c>
      <c r="B61" t="s">
        <v>11</v>
      </c>
      <c r="C61">
        <f>11480553125/10^5</f>
      </c>
      <c r="D61">
        <f>0</f>
      </c>
      <c r="E61">
        <f>733839661/10^6</f>
      </c>
      <c r="F61">
        <f>0</f>
      </c>
      <c r="G61">
        <f>247943726/10^6</f>
      </c>
      <c r="H61">
        <f>0</f>
      </c>
      <c r="I61">
        <f>-39002216/10^6</f>
      </c>
      <c r="J61">
        <f>0</f>
      </c>
    </row>
    <row r="62">
      <c r="A62" t="s">
        <v>71</v>
      </c>
      <c r="B62" t="s">
        <v>11</v>
      </c>
      <c r="C62">
        <f>114639453125/10^6</f>
      </c>
      <c r="D62">
        <f>0</f>
      </c>
      <c r="E62">
        <f>734717529/10^6</f>
      </c>
      <c r="F62">
        <f>0</f>
      </c>
      <c r="G62">
        <f>247871674/10^6</f>
      </c>
      <c r="H62">
        <f>0</f>
      </c>
      <c r="I62">
        <f>-38864395/10^6</f>
      </c>
      <c r="J62">
        <f>0</f>
      </c>
    </row>
    <row r="63">
      <c r="A63" t="s">
        <v>72</v>
      </c>
      <c r="B63" t="s">
        <v>11</v>
      </c>
      <c r="C63">
        <f>114545890625/10^6</f>
      </c>
      <c r="D63">
        <f>0</f>
      </c>
      <c r="E63">
        <f>734708557/10^6</f>
      </c>
      <c r="F63">
        <f>0</f>
      </c>
      <c r="G63">
        <f>247785538/10^6</f>
      </c>
      <c r="H63">
        <f>0</f>
      </c>
      <c r="I63">
        <f>-3872266/10^5</f>
      </c>
      <c r="J63">
        <f>0</f>
      </c>
    </row>
    <row r="64">
      <c r="A64" t="s">
        <v>73</v>
      </c>
      <c r="B64" t="s">
        <v>11</v>
      </c>
      <c r="C64">
        <f>114516609375/10^6</f>
      </c>
      <c r="D64">
        <f>0</f>
      </c>
      <c r="E64">
        <f>733980896/10^6</f>
      </c>
      <c r="F64">
        <f>0</f>
      </c>
      <c r="G64">
        <f>24758197/10^5</f>
      </c>
      <c r="H64">
        <f>0</f>
      </c>
      <c r="I64">
        <f>-38251823/10^6</f>
      </c>
      <c r="J64">
        <f>0</f>
      </c>
    </row>
    <row r="65">
      <c r="A65" t="s">
        <v>74</v>
      </c>
      <c r="B65" t="s">
        <v>11</v>
      </c>
      <c r="C65">
        <f>114490570313/10^6</f>
      </c>
      <c r="D65">
        <f>0</f>
      </c>
      <c r="E65">
        <f>733996521/10^6</f>
      </c>
      <c r="F65">
        <f>0</f>
      </c>
      <c r="G65">
        <f>24733461/10^5</f>
      </c>
      <c r="H65">
        <f>0</f>
      </c>
      <c r="I65">
        <f>-37638607/10^6</f>
      </c>
      <c r="J65">
        <f>0</f>
      </c>
    </row>
    <row r="66">
      <c r="A66" t="s">
        <v>75</v>
      </c>
      <c r="B66" t="s">
        <v>11</v>
      </c>
      <c r="C66">
        <f>114434914063/10^6</f>
      </c>
      <c r="D66">
        <f>0</f>
      </c>
      <c r="E66">
        <f>734399902/10^6</f>
      </c>
      <c r="F66">
        <f>0</f>
      </c>
      <c r="G66">
        <f>247302078/10^6</f>
      </c>
      <c r="H66">
        <f>0</f>
      </c>
      <c r="I66">
        <f>-37509537/10^6</f>
      </c>
      <c r="J66">
        <f>0</f>
      </c>
    </row>
    <row r="67">
      <c r="A67" t="s">
        <v>76</v>
      </c>
      <c r="B67" t="s">
        <v>11</v>
      </c>
      <c r="C67">
        <f>11440578125/10^5</f>
      </c>
      <c r="D67">
        <f>0</f>
      </c>
      <c r="E67">
        <f>734250061/10^6</f>
      </c>
      <c r="F67">
        <f>0</f>
      </c>
      <c r="G67">
        <f>247314194/10^6</f>
      </c>
      <c r="H67">
        <f>0</f>
      </c>
      <c r="I67">
        <f>-37746353/10^6</f>
      </c>
      <c r="J67">
        <f>0</f>
      </c>
    </row>
    <row r="68">
      <c r="A68" t="s">
        <v>77</v>
      </c>
      <c r="B68" t="s">
        <v>11</v>
      </c>
      <c r="C68">
        <f>11449696875/10^5</f>
      </c>
      <c r="D68">
        <f>0</f>
      </c>
      <c r="E68">
        <f>73410199/10^5</f>
      </c>
      <c r="F68">
        <f>0</f>
      </c>
      <c r="G68">
        <f>247338242/10^6</f>
      </c>
      <c r="H68">
        <f>0</f>
      </c>
      <c r="I68">
        <f>-37767521/10^6</f>
      </c>
      <c r="J68">
        <f>0</f>
      </c>
    </row>
    <row r="69">
      <c r="A69" t="s">
        <v>78</v>
      </c>
      <c r="B69" t="s">
        <v>11</v>
      </c>
      <c r="C69">
        <f>114744234375/10^6</f>
      </c>
      <c r="D69">
        <f>0</f>
      </c>
      <c r="E69">
        <f>733793518/10^6</f>
      </c>
      <c r="F69">
        <f>0</f>
      </c>
      <c r="G69">
        <f>24766127/10^5</f>
      </c>
      <c r="H69">
        <f>0</f>
      </c>
      <c r="I69">
        <f>-37376572/10^6</f>
      </c>
      <c r="J69">
        <f>0</f>
      </c>
    </row>
    <row r="70">
      <c r="A70" t="s">
        <v>79</v>
      </c>
      <c r="B70" t="s">
        <v>11</v>
      </c>
      <c r="C70">
        <f>115114734375/10^6</f>
      </c>
      <c r="D70">
        <f>0</f>
      </c>
      <c r="E70">
        <f>732350952/10^6</f>
      </c>
      <c r="F70">
        <f>0</f>
      </c>
      <c r="G70">
        <f>248027573/10^6</f>
      </c>
      <c r="H70">
        <f>0</f>
      </c>
      <c r="I70">
        <f>-36999367/10^6</f>
      </c>
      <c r="J70">
        <f>0</f>
      </c>
    </row>
    <row r="71">
      <c r="A71" t="s">
        <v>80</v>
      </c>
      <c r="B71" t="s">
        <v>11</v>
      </c>
      <c r="C71">
        <f>11557571875/10^5</f>
      </c>
      <c r="D71">
        <f>0</f>
      </c>
      <c r="E71">
        <f>730216553/10^6</f>
      </c>
      <c r="F71">
        <f>0</f>
      </c>
      <c r="G71">
        <f>248327713/10^6</f>
      </c>
      <c r="H71">
        <f>0</f>
      </c>
      <c r="I71">
        <f>-36620544/10^6</f>
      </c>
      <c r="J71">
        <f>0</f>
      </c>
    </row>
    <row r="72">
      <c r="A72" t="s">
        <v>81</v>
      </c>
      <c r="B72" t="s">
        <v>11</v>
      </c>
      <c r="C72">
        <f>116120835938/10^6</f>
      </c>
      <c r="D72">
        <f>0</f>
      </c>
      <c r="E72">
        <f>728281494/10^6</f>
      </c>
      <c r="F72">
        <f>0</f>
      </c>
      <c r="G72">
        <f>24867955/10^5</f>
      </c>
      <c r="H72">
        <f>0</f>
      </c>
      <c r="I72">
        <f>-36018761/10^6</f>
      </c>
      <c r="J72">
        <f>0</f>
      </c>
    </row>
    <row r="73">
      <c r="A73" t="s">
        <v>82</v>
      </c>
      <c r="B73" t="s">
        <v>11</v>
      </c>
      <c r="C73">
        <f>116739796875/10^6</f>
      </c>
      <c r="D73">
        <f>0</f>
      </c>
      <c r="E73">
        <f>726148071/10^6</f>
      </c>
      <c r="F73">
        <f>0</f>
      </c>
      <c r="G73">
        <f>249026672/10^6</f>
      </c>
      <c r="H73">
        <f>0</f>
      </c>
      <c r="I73">
        <f>-35513/10^3</f>
      </c>
      <c r="J73">
        <f>0</f>
      </c>
    </row>
    <row r="74">
      <c r="A74" t="s">
        <v>83</v>
      </c>
      <c r="B74" t="s">
        <v>11</v>
      </c>
      <c r="C74">
        <f>117432820313/10^6</f>
      </c>
      <c r="D74">
        <f>0</f>
      </c>
      <c r="E74">
        <f>723407532/10^6</f>
      </c>
      <c r="F74">
        <f>0</f>
      </c>
      <c r="G74">
        <f>249684402/10^6</f>
      </c>
      <c r="H74">
        <f>0</f>
      </c>
      <c r="I74">
        <f>-35007576/10^6</f>
      </c>
      <c r="J74">
        <f>0</f>
      </c>
    </row>
    <row r="75">
      <c r="A75" t="s">
        <v>84</v>
      </c>
      <c r="B75" t="s">
        <v>11</v>
      </c>
      <c r="C75">
        <f>118226289063/10^6</f>
      </c>
      <c r="D75">
        <f>0</f>
      </c>
      <c r="E75">
        <f>720204529/10^6</f>
      </c>
      <c r="F75">
        <f>0</f>
      </c>
      <c r="G75">
        <f>250392899/10^6</f>
      </c>
      <c r="H75">
        <f>0</f>
      </c>
      <c r="I75">
        <f>-34510696/10^6</f>
      </c>
      <c r="J75">
        <f>0</f>
      </c>
    </row>
    <row r="76">
      <c r="A76" t="s">
        <v>85</v>
      </c>
      <c r="B76" t="s">
        <v>11</v>
      </c>
      <c r="C76">
        <f>119112195313/10^6</f>
      </c>
      <c r="D76">
        <f>0</f>
      </c>
      <c r="E76">
        <f>716301514/10^6</f>
      </c>
      <c r="F76">
        <f>0</f>
      </c>
      <c r="G76">
        <f>25095253/10^5</f>
      </c>
      <c r="H76">
        <f>0</f>
      </c>
      <c r="I76">
        <f>-33853455/10^6</f>
      </c>
      <c r="J76">
        <f>0</f>
      </c>
    </row>
    <row r="77">
      <c r="A77" t="s">
        <v>86</v>
      </c>
      <c r="B77" t="s">
        <v>11</v>
      </c>
      <c r="C77">
        <f>120060390625/10^6</f>
      </c>
      <c r="D77">
        <f>0</f>
      </c>
      <c r="E77">
        <f>711857849/10^6</f>
      </c>
      <c r="F77">
        <f>0</f>
      </c>
      <c r="G77">
        <f>251774048/10^6</f>
      </c>
      <c r="H77">
        <f>0</f>
      </c>
      <c r="I77">
        <f>-32820526/10^6</f>
      </c>
      <c r="J77">
        <f>0</f>
      </c>
    </row>
    <row r="78">
      <c r="A78" t="s">
        <v>87</v>
      </c>
      <c r="B78" t="s">
        <v>11</v>
      </c>
      <c r="C78">
        <f>121042742188/10^6</f>
      </c>
      <c r="D78">
        <f>0</f>
      </c>
      <c r="E78">
        <f>707227722/10^6</f>
      </c>
      <c r="F78">
        <f>0</f>
      </c>
      <c r="G78">
        <f>25238768/10^5</f>
      </c>
      <c r="H78">
        <f>0</f>
      </c>
      <c r="I78">
        <f>-32021488/10^6</f>
      </c>
      <c r="J78">
        <f>0</f>
      </c>
    </row>
    <row r="79">
      <c r="A79" t="s">
        <v>88</v>
      </c>
      <c r="B79" t="s">
        <v>11</v>
      </c>
      <c r="C79">
        <f>121966984375/10^6</f>
      </c>
      <c r="D79">
        <f>0</f>
      </c>
      <c r="E79">
        <f>702278625/10^6</f>
      </c>
      <c r="F79">
        <f>0</f>
      </c>
      <c r="G79">
        <f>252741562/10^6</f>
      </c>
      <c r="H79">
        <f>0</f>
      </c>
      <c r="I79">
        <f>-31146/10^3</f>
      </c>
      <c r="J79">
        <f>0</f>
      </c>
    </row>
    <row r="80">
      <c r="A80" t="s">
        <v>89</v>
      </c>
      <c r="B80" t="s">
        <v>11</v>
      </c>
      <c r="C80">
        <f>122720179688/10^6</f>
      </c>
      <c r="D80">
        <f>0</f>
      </c>
      <c r="E80">
        <f>697591858/10^6</f>
      </c>
      <c r="F80">
        <f>0</f>
      </c>
      <c r="G80">
        <f>253200882/10^6</f>
      </c>
      <c r="H80">
        <f>0</f>
      </c>
      <c r="I80">
        <f>-30130026/10^6</f>
      </c>
      <c r="J80">
        <f>0</f>
      </c>
    </row>
    <row r="81">
      <c r="A81" t="s">
        <v>90</v>
      </c>
      <c r="B81" t="s">
        <v>11</v>
      </c>
      <c r="C81">
        <f>123246296875/10^6</f>
      </c>
      <c r="D81">
        <f>0</f>
      </c>
      <c r="E81">
        <f>694106812/10^6</f>
      </c>
      <c r="F81">
        <f>0</f>
      </c>
      <c r="G81">
        <f>253297623/10^6</f>
      </c>
      <c r="H81">
        <f>0</f>
      </c>
      <c r="I81">
        <f>-29554449/10^6</f>
      </c>
      <c r="J81">
        <f>0</f>
      </c>
    </row>
    <row r="82">
      <c r="A82" t="s">
        <v>91</v>
      </c>
      <c r="B82" t="s">
        <v>11</v>
      </c>
      <c r="C82">
        <f>123553460938/10^6</f>
      </c>
      <c r="D82">
        <f>0</f>
      </c>
      <c r="E82">
        <f>691927185/10^6</f>
      </c>
      <c r="F82">
        <f>0</f>
      </c>
      <c r="G82">
        <f>253111816/10^6</f>
      </c>
      <c r="H82">
        <f>0</f>
      </c>
      <c r="I82">
        <f>-28928669/10^6</f>
      </c>
      <c r="J82">
        <f>0</f>
      </c>
    </row>
    <row r="83">
      <c r="A83" t="s">
        <v>92</v>
      </c>
      <c r="B83" t="s">
        <v>11</v>
      </c>
      <c r="C83">
        <f>123739578125/10^6</f>
      </c>
      <c r="D83">
        <f>0</f>
      </c>
      <c r="E83">
        <f>690648193/10^6</f>
      </c>
      <c r="F83">
        <f>0</f>
      </c>
      <c r="G83">
        <f>253028793/10^6</f>
      </c>
      <c r="H83">
        <f>0</f>
      </c>
      <c r="I83">
        <f>-28428061/10^6</f>
      </c>
      <c r="J83">
        <f>0</f>
      </c>
    </row>
    <row r="84">
      <c r="A84" t="s">
        <v>93</v>
      </c>
      <c r="B84" t="s">
        <v>11</v>
      </c>
      <c r="C84">
        <f>123890507813/10^6</f>
      </c>
      <c r="D84">
        <f>0</f>
      </c>
      <c r="E84">
        <f>689726196/10^6</f>
      </c>
      <c r="F84">
        <f>0</f>
      </c>
      <c r="G84">
        <f>252888947/10^6</f>
      </c>
      <c r="H84">
        <f>0</f>
      </c>
      <c r="I84">
        <f>-28433599/10^6</f>
      </c>
      <c r="J84">
        <f>0</f>
      </c>
    </row>
    <row r="85">
      <c r="A85" t="s">
        <v>94</v>
      </c>
      <c r="B85" t="s">
        <v>11</v>
      </c>
      <c r="C85">
        <f>123961679688/10^6</f>
      </c>
      <c r="D85">
        <f>0</f>
      </c>
      <c r="E85">
        <f>688902283/10^6</f>
      </c>
      <c r="F85">
        <f>0</f>
      </c>
      <c r="G85">
        <f>252720459/10^6</f>
      </c>
      <c r="H85">
        <f>0</f>
      </c>
      <c r="I85">
        <f>-28444578/10^6</f>
      </c>
      <c r="J85">
        <f>0</f>
      </c>
    </row>
    <row r="86">
      <c r="A86" t="s">
        <v>95</v>
      </c>
      <c r="B86" t="s">
        <v>11</v>
      </c>
      <c r="C86">
        <f>123924375/10^3</f>
      </c>
      <c r="D86">
        <f>0</f>
      </c>
      <c r="E86">
        <f>688318604/10^6</f>
      </c>
      <c r="F86">
        <f>0</f>
      </c>
      <c r="G86">
        <f>252559875/10^6</f>
      </c>
      <c r="H86">
        <f>0</f>
      </c>
      <c r="I86">
        <f>-28472513/10^6</f>
      </c>
      <c r="J86">
        <f>0</f>
      </c>
    </row>
    <row r="87">
      <c r="A87" t="s">
        <v>96</v>
      </c>
      <c r="B87" t="s">
        <v>11</v>
      </c>
      <c r="C87">
        <f>123843140625/10^6</f>
      </c>
      <c r="D87">
        <f>0</f>
      </c>
      <c r="E87">
        <f>688042542/10^6</f>
      </c>
      <c r="F87">
        <f>0</f>
      </c>
      <c r="G87">
        <f>252322876/10^6</f>
      </c>
      <c r="H87">
        <f>0</f>
      </c>
      <c r="I87">
        <f>-28628794/10^6</f>
      </c>
      <c r="J87">
        <f>0</f>
      </c>
    </row>
    <row r="88">
      <c r="A88" t="s">
        <v>97</v>
      </c>
      <c r="B88" t="s">
        <v>11</v>
      </c>
      <c r="C88">
        <f>123740820313/10^6</f>
      </c>
      <c r="D88">
        <f>0</f>
      </c>
      <c r="E88">
        <f>688124817/10^6</f>
      </c>
      <c r="F88">
        <f>0</f>
      </c>
      <c r="G88">
        <f>252136978/10^6</f>
      </c>
      <c r="H88">
        <f>0</f>
      </c>
      <c r="I88">
        <f>-28753244/10^6</f>
      </c>
      <c r="J88">
        <f>0</f>
      </c>
    </row>
    <row r="89">
      <c r="A89" t="s">
        <v>98</v>
      </c>
      <c r="B89" t="s">
        <v>11</v>
      </c>
      <c r="C89">
        <f>123598210938/10^6</f>
      </c>
      <c r="D89">
        <f>0</f>
      </c>
      <c r="E89">
        <f>688612915/10^6</f>
      </c>
      <c r="F89">
        <f>0</f>
      </c>
      <c r="G89">
        <f>251932236/10^6</f>
      </c>
      <c r="H89">
        <f>0</f>
      </c>
      <c r="I89">
        <f>-28914848/10^6</f>
      </c>
      <c r="J89">
        <f>0</f>
      </c>
    </row>
    <row r="90">
      <c r="A90" t="s">
        <v>99</v>
      </c>
      <c r="B90" t="s">
        <v>11</v>
      </c>
      <c r="C90">
        <f>123421296875/10^6</f>
      </c>
      <c r="D90">
        <f>0</f>
      </c>
      <c r="E90">
        <f>689363403/10^6</f>
      </c>
      <c r="F90">
        <f>0</f>
      </c>
      <c r="G90">
        <f>251685471/10^6</f>
      </c>
      <c r="H90">
        <f>0</f>
      </c>
      <c r="I90">
        <f>-29072845/10^6</f>
      </c>
      <c r="J90">
        <f>0</f>
      </c>
    </row>
    <row r="91">
      <c r="A91" t="s">
        <v>100</v>
      </c>
      <c r="B91" t="s">
        <v>11</v>
      </c>
      <c r="C91">
        <f>123214398438/10^6</f>
      </c>
      <c r="D91">
        <f>0</f>
      </c>
      <c r="E91">
        <f>69026709/10^5</f>
      </c>
      <c r="F91">
        <f>0</f>
      </c>
      <c r="G91">
        <f>251571365/10^6</f>
      </c>
      <c r="H91">
        <f>0</f>
      </c>
      <c r="I91">
        <f>-29300621/10^6</f>
      </c>
      <c r="J91">
        <f>0</f>
      </c>
    </row>
    <row r="92">
      <c r="A92" t="s">
        <v>101</v>
      </c>
      <c r="B92" t="s">
        <v>11</v>
      </c>
      <c r="C92">
        <f>122962890625/10^6</f>
      </c>
      <c r="D92">
        <f>0</f>
      </c>
      <c r="E92">
        <f>6913974/10^4</f>
      </c>
      <c r="F92">
        <f>0</f>
      </c>
      <c r="G92">
        <f>251510406/10^6</f>
      </c>
      <c r="H92">
        <f>0</f>
      </c>
      <c r="I92">
        <f>-29677954/10^6</f>
      </c>
      <c r="J92">
        <f>0</f>
      </c>
    </row>
    <row r="93">
      <c r="A93" t="s">
        <v>102</v>
      </c>
      <c r="B93" t="s">
        <v>11</v>
      </c>
      <c r="C93">
        <f>122682578125/10^6</f>
      </c>
      <c r="D93">
        <f>0</f>
      </c>
      <c r="E93">
        <f>692743469/10^6</f>
      </c>
      <c r="F93">
        <f>0</f>
      </c>
      <c r="G93">
        <f>251431213/10^6</f>
      </c>
      <c r="H93">
        <f>0</f>
      </c>
      <c r="I93">
        <f>-29977562/10^6</f>
      </c>
      <c r="J93">
        <f>0</f>
      </c>
    </row>
    <row r="94">
      <c r="A94" t="s">
        <v>103</v>
      </c>
      <c r="B94" t="s">
        <v>11</v>
      </c>
      <c r="C94">
        <f>1224285/10^1</f>
      </c>
      <c r="D94">
        <f>0</f>
      </c>
      <c r="E94">
        <f>694165039/10^6</f>
      </c>
      <c r="F94">
        <f>0</f>
      </c>
      <c r="G94">
        <f>251357132/10^6</f>
      </c>
      <c r="H94">
        <f>0</f>
      </c>
      <c r="I94">
        <f>-3028503/10^5</f>
      </c>
      <c r="J94">
        <f>0</f>
      </c>
    </row>
    <row r="95">
      <c r="A95" t="s">
        <v>104</v>
      </c>
      <c r="B95" t="s">
        <v>11</v>
      </c>
      <c r="C95">
        <f>122191578125/10^6</f>
      </c>
      <c r="D95">
        <f>0</f>
      </c>
      <c r="E95">
        <f>695627747/10^6</f>
      </c>
      <c r="F95">
        <f>0</f>
      </c>
      <c r="G95">
        <f>251293854/10^6</f>
      </c>
      <c r="H95">
        <f>0</f>
      </c>
      <c r="I95">
        <f>-30609255/10^6</f>
      </c>
      <c r="J95">
        <f>0</f>
      </c>
    </row>
    <row r="96">
      <c r="A96" t="s">
        <v>105</v>
      </c>
      <c r="B96" t="s">
        <v>11</v>
      </c>
      <c r="C96">
        <f>12192115625/10^5</f>
      </c>
      <c r="D96">
        <f>0</f>
      </c>
      <c r="E96">
        <f>697028687/10^6</f>
      </c>
      <c r="F96">
        <f>0</f>
      </c>
      <c r="G96">
        <f>251203522/10^6</f>
      </c>
      <c r="H96">
        <f>0</f>
      </c>
      <c r="I96">
        <f>-30930391/10^6</f>
      </c>
      <c r="J96">
        <f>0</f>
      </c>
    </row>
    <row r="97">
      <c r="A97" t="s">
        <v>106</v>
      </c>
      <c r="B97" t="s">
        <v>11</v>
      </c>
      <c r="C97">
        <f>121643632813/10^6</f>
      </c>
      <c r="D97">
        <f>0</f>
      </c>
      <c r="E97">
        <f>698364197/10^6</f>
      </c>
      <c r="F97">
        <f>0</f>
      </c>
      <c r="G97">
        <f>251046646/10^6</f>
      </c>
      <c r="H97">
        <f>0</f>
      </c>
      <c r="I97">
        <f>-31405725/10^6</f>
      </c>
      <c r="J97">
        <f>0</f>
      </c>
    </row>
    <row r="98">
      <c r="A98" t="s">
        <v>107</v>
      </c>
      <c r="B98" t="s">
        <v>11</v>
      </c>
      <c r="C98">
        <f>121390828125/10^6</f>
      </c>
      <c r="D98">
        <f>0</f>
      </c>
      <c r="E98">
        <f>69972522/10^5</f>
      </c>
      <c r="F98">
        <f>0</f>
      </c>
      <c r="G98">
        <f>250930893/10^6</f>
      </c>
      <c r="H98">
        <f>0</f>
      </c>
      <c r="I98">
        <f>-31784035/10^6</f>
      </c>
      <c r="J98">
        <f>0</f>
      </c>
    </row>
    <row r="99">
      <c r="A99" t="s">
        <v>108</v>
      </c>
      <c r="B99" t="s">
        <v>11</v>
      </c>
      <c r="C99">
        <f>121136671875/10^6</f>
      </c>
      <c r="D99">
        <f>0</f>
      </c>
      <c r="E99">
        <f>701125244/10^6</f>
      </c>
      <c r="F99">
        <f>0</f>
      </c>
      <c r="G99">
        <f>250865738/10^6</f>
      </c>
      <c r="H99">
        <f>0</f>
      </c>
      <c r="I99">
        <f>-32048199/10^6</f>
      </c>
      <c r="J99">
        <f>0</f>
      </c>
    </row>
    <row r="100">
      <c r="A100" t="s">
        <v>109</v>
      </c>
      <c r="B100" t="s">
        <v>11</v>
      </c>
      <c r="C100">
        <f>120862742188/10^6</f>
      </c>
      <c r="D100">
        <f>0</f>
      </c>
      <c r="E100">
        <f>702648621/10^6</f>
      </c>
      <c r="F100">
        <f>0</f>
      </c>
      <c r="G100">
        <f>250799423/10^6</f>
      </c>
      <c r="H100">
        <f>0</f>
      </c>
      <c r="I100">
        <f>-32306984/10^6</f>
      </c>
      <c r="J100">
        <f>0</f>
      </c>
    </row>
    <row r="101">
      <c r="A101" t="s">
        <v>110</v>
      </c>
      <c r="B101" t="s">
        <v>11</v>
      </c>
      <c r="C101">
        <f>120583648438/10^6</f>
      </c>
      <c r="D101">
        <f>0</f>
      </c>
      <c r="E101">
        <f>70420636/10^5</f>
      </c>
      <c r="F101">
        <f>0</f>
      </c>
      <c r="G101">
        <f>250729156/10^6</f>
      </c>
      <c r="H101">
        <f>0</f>
      </c>
      <c r="I101">
        <f>-3262389/10^5</f>
      </c>
      <c r="J101">
        <f>0</f>
      </c>
    </row>
    <row r="102">
      <c r="A102" t="s">
        <v>111</v>
      </c>
      <c r="B102" t="s">
        <v>11</v>
      </c>
      <c r="C102">
        <f>120332210938/10^6</f>
      </c>
      <c r="D102">
        <f>0</f>
      </c>
      <c r="E102">
        <f>705807983/10^6</f>
      </c>
      <c r="F102">
        <f>0</f>
      </c>
      <c r="G102">
        <f>250605209/10^6</f>
      </c>
      <c r="H102">
        <f>0</f>
      </c>
      <c r="I102">
        <f>-33153473/10^6</f>
      </c>
      <c r="J102">
        <f>0</f>
      </c>
    </row>
    <row r="103">
      <c r="A103" t="s">
        <v>112</v>
      </c>
      <c r="B103" t="s">
        <v>11</v>
      </c>
      <c r="C103">
        <f>120130984375/10^6</f>
      </c>
      <c r="D103">
        <f>0</f>
      </c>
      <c r="E103">
        <f>707329529/10^6</f>
      </c>
      <c r="F103">
        <f>0</f>
      </c>
      <c r="G103">
        <f>250519135/10^6</f>
      </c>
      <c r="H103">
        <f>0</f>
      </c>
      <c r="I103">
        <f>-33540661/10^6</f>
      </c>
      <c r="J103">
        <f>0</f>
      </c>
    </row>
    <row r="104">
      <c r="A104" t="s">
        <v>113</v>
      </c>
      <c r="B104" t="s">
        <v>11</v>
      </c>
      <c r="C104">
        <f>1199665625/10^4</f>
      </c>
      <c r="D104">
        <f>0</f>
      </c>
      <c r="E104">
        <f>708312439/10^6</f>
      </c>
      <c r="F104">
        <f>0</f>
      </c>
      <c r="G104">
        <f>250570724/10^6</f>
      </c>
      <c r="H104">
        <f>0</f>
      </c>
      <c r="I104">
        <f>-33659828/10^6</f>
      </c>
      <c r="J104">
        <f>0</f>
      </c>
    </row>
    <row r="105">
      <c r="A105" t="s">
        <v>114</v>
      </c>
      <c r="B105" t="s">
        <v>11</v>
      </c>
      <c r="C105">
        <f>119799921875/10^6</f>
      </c>
      <c r="D105">
        <f>0</f>
      </c>
      <c r="E105">
        <f>709032104/10^6</f>
      </c>
      <c r="F105">
        <f>0</f>
      </c>
      <c r="G105">
        <f>250648254/10^6</f>
      </c>
      <c r="H105">
        <f>0</f>
      </c>
      <c r="I105">
        <f>-33767464/10^6</f>
      </c>
      <c r="J105">
        <f>0</f>
      </c>
    </row>
    <row r="106">
      <c r="A106" t="s">
        <v>115</v>
      </c>
      <c r="B106" t="s">
        <v>11</v>
      </c>
      <c r="C106">
        <f>119608765625/10^6</f>
      </c>
      <c r="D106">
        <f>0</f>
      </c>
      <c r="E106">
        <f>710030823/10^6</f>
      </c>
      <c r="F106">
        <f>0</f>
      </c>
      <c r="G106">
        <f>25061615/10^5</f>
      </c>
      <c r="H106">
        <f>0</f>
      </c>
      <c r="I106">
        <f>-33983967/10^6</f>
      </c>
      <c r="J106">
        <f>0</f>
      </c>
    </row>
    <row r="107">
      <c r="A107" t="s">
        <v>116</v>
      </c>
      <c r="B107" t="s">
        <v>11</v>
      </c>
      <c r="C107">
        <f>1193984375/10^4</f>
      </c>
      <c r="D107">
        <f>0</f>
      </c>
      <c r="E107">
        <f>711245789/10^6</f>
      </c>
      <c r="F107">
        <f>0</f>
      </c>
      <c r="G107">
        <f>250513397/10^6</f>
      </c>
      <c r="H107">
        <f>0</f>
      </c>
      <c r="I107">
        <f>-34314571/10^6</f>
      </c>
      <c r="J107">
        <f>0</f>
      </c>
    </row>
    <row r="108">
      <c r="A108" t="s">
        <v>117</v>
      </c>
      <c r="B108" t="s">
        <v>11</v>
      </c>
      <c r="C108">
        <f>119168375/10^3</f>
      </c>
      <c r="D108">
        <f>0</f>
      </c>
      <c r="E108">
        <f>712598389/10^6</f>
      </c>
      <c r="F108">
        <f>0</f>
      </c>
      <c r="G108">
        <f>250451569/10^6</f>
      </c>
      <c r="H108">
        <f>0</f>
      </c>
      <c r="I108">
        <f>-34577171/10^6</f>
      </c>
      <c r="J108">
        <f>0</f>
      </c>
    </row>
    <row r="109">
      <c r="A109" t="s">
        <v>118</v>
      </c>
      <c r="B109" t="s">
        <v>11</v>
      </c>
      <c r="C109">
        <f>118915015625/10^6</f>
      </c>
      <c r="D109">
        <f>0</f>
      </c>
      <c r="E109">
        <f>714087952/10^6</f>
      </c>
      <c r="F109">
        <f>0</f>
      </c>
      <c r="G109">
        <f>250403381/10^6</f>
      </c>
      <c r="H109">
        <f>0</f>
      </c>
      <c r="I109">
        <f>-34801384/10^6</f>
      </c>
      <c r="J109">
        <f>0</f>
      </c>
    </row>
    <row r="110">
      <c r="A110" t="s">
        <v>119</v>
      </c>
      <c r="B110" t="s">
        <v>11</v>
      </c>
      <c r="C110">
        <f>1186439375/10^4</f>
      </c>
      <c r="D110">
        <f>0</f>
      </c>
      <c r="E110">
        <f>715580078/10^6</f>
      </c>
      <c r="F110">
        <f>0</f>
      </c>
      <c r="G110">
        <f>250340134/10^6</f>
      </c>
      <c r="H110">
        <f>0</f>
      </c>
      <c r="I110">
        <f>-35016407/10^6</f>
      </c>
      <c r="J110">
        <f>0</f>
      </c>
    </row>
    <row r="111">
      <c r="A111" t="s">
        <v>120</v>
      </c>
      <c r="B111" t="s">
        <v>11</v>
      </c>
      <c r="C111">
        <f>11836253125/10^5</f>
      </c>
      <c r="D111">
        <f>0</f>
      </c>
      <c r="E111">
        <f>717109314/10^6</f>
      </c>
      <c r="F111">
        <f>0</f>
      </c>
      <c r="G111">
        <f>250299957/10^6</f>
      </c>
      <c r="H111">
        <f>0</f>
      </c>
      <c r="I111">
        <f>-35328331/10^6</f>
      </c>
      <c r="J111">
        <f>0</f>
      </c>
    </row>
    <row r="112">
      <c r="A112" t="s">
        <v>121</v>
      </c>
      <c r="B112" t="s">
        <v>11</v>
      </c>
      <c r="C112">
        <f>118075726563/10^6</f>
      </c>
      <c r="D112">
        <f>0</f>
      </c>
      <c r="E112">
        <f>718840942/10^6</f>
      </c>
      <c r="F112">
        <f>0</f>
      </c>
      <c r="G112">
        <f>2502854/10^4</f>
      </c>
      <c r="H112">
        <f>0</f>
      </c>
      <c r="I112">
        <f>-35841377/10^6</f>
      </c>
      <c r="J112">
        <f>0</f>
      </c>
    </row>
    <row r="113">
      <c r="A113" t="s">
        <v>122</v>
      </c>
      <c r="B113" t="s">
        <v>11</v>
      </c>
      <c r="C113">
        <f>11777275/10^2</f>
      </c>
      <c r="D113">
        <f>0</f>
      </c>
      <c r="E113">
        <f>720734985/10^6</f>
      </c>
      <c r="F113">
        <f>0</f>
      </c>
      <c r="G113">
        <f>250250687/10^6</f>
      </c>
      <c r="H113">
        <f>0</f>
      </c>
      <c r="I113">
        <f>-36240829/10^6</f>
      </c>
      <c r="J113">
        <f>0</f>
      </c>
    </row>
    <row r="114">
      <c r="A114" t="s">
        <v>123</v>
      </c>
      <c r="B114" t="s">
        <v>11</v>
      </c>
      <c r="C114">
        <f>11743821875/10^5</f>
      </c>
      <c r="D114">
        <f>0</f>
      </c>
      <c r="E114">
        <f>722673767/10^6</f>
      </c>
      <c r="F114">
        <f>0</f>
      </c>
      <c r="G114">
        <f>250146042/10^6</f>
      </c>
      <c r="H114">
        <f>0</f>
      </c>
      <c r="I114">
        <f>-36581741/10^6</f>
      </c>
      <c r="J114">
        <f>0</f>
      </c>
    </row>
    <row r="115">
      <c r="A115" t="s">
        <v>124</v>
      </c>
      <c r="B115" t="s">
        <v>11</v>
      </c>
      <c r="C115">
        <f>117054296875/10^6</f>
      </c>
      <c r="D115">
        <f>0</f>
      </c>
      <c r="E115">
        <f>724694092/10^6</f>
      </c>
      <c r="F115">
        <f>0</f>
      </c>
      <c r="G115">
        <f>250047073/10^6</f>
      </c>
      <c r="H115">
        <f>0</f>
      </c>
      <c r="I115">
        <f>-36936352/10^6</f>
      </c>
      <c r="J115">
        <f>0</f>
      </c>
    </row>
    <row r="116">
      <c r="A116" t="s">
        <v>125</v>
      </c>
      <c r="B116" t="s">
        <v>11</v>
      </c>
      <c r="C116">
        <f>116626898438/10^6</f>
      </c>
      <c r="D116">
        <f>0</f>
      </c>
      <c r="E116">
        <f>726928894/10^6</f>
      </c>
      <c r="F116">
        <f>0</f>
      </c>
      <c r="G116">
        <f>249915924/10^6</f>
      </c>
      <c r="H116">
        <f>0</f>
      </c>
      <c r="I116">
        <f>-37327019/10^6</f>
      </c>
      <c r="J116">
        <f>0</f>
      </c>
    </row>
    <row r="117">
      <c r="A117" t="s">
        <v>126</v>
      </c>
      <c r="B117" t="s">
        <v>11</v>
      </c>
      <c r="C117">
        <f>11618990625/10^5</f>
      </c>
      <c r="D117">
        <f>0</f>
      </c>
      <c r="E117">
        <f>729597229/10^6</f>
      </c>
      <c r="F117">
        <f>0</f>
      </c>
      <c r="G117">
        <f>249696793/10^6</f>
      </c>
      <c r="H117">
        <f>0</f>
      </c>
      <c r="I117">
        <f>-37916088/10^6</f>
      </c>
      <c r="J117">
        <f>0</f>
      </c>
    </row>
    <row r="118">
      <c r="A118" t="s">
        <v>127</v>
      </c>
      <c r="B118" t="s">
        <v>11</v>
      </c>
      <c r="C118">
        <f>115733023438/10^6</f>
      </c>
      <c r="D118">
        <f>0</f>
      </c>
      <c r="E118">
        <f>732880432/10^6</f>
      </c>
      <c r="F118">
        <f>0</f>
      </c>
      <c r="G118">
        <f>249513046/10^6</f>
      </c>
      <c r="H118">
        <f>0</f>
      </c>
      <c r="I118">
        <f>-38311623/10^6</f>
      </c>
      <c r="J118">
        <f>0</f>
      </c>
    </row>
    <row r="119">
      <c r="A119" t="s">
        <v>128</v>
      </c>
      <c r="B119" t="s">
        <v>11</v>
      </c>
      <c r="C119">
        <f>115304140625/10^6</f>
      </c>
      <c r="D119">
        <f>0</f>
      </c>
      <c r="E119">
        <f>73469928/10^5</f>
      </c>
      <c r="F119">
        <f>0</f>
      </c>
      <c r="G119">
        <f>249340576/10^6</f>
      </c>
      <c r="H119">
        <f>0</f>
      </c>
      <c r="I119">
        <f>-38748833/10^6</f>
      </c>
      <c r="J119">
        <f>0</f>
      </c>
    </row>
    <row r="120">
      <c r="A120" t="s">
        <v>129</v>
      </c>
      <c r="B120" t="s">
        <v>11</v>
      </c>
      <c r="C120">
        <f>115041585938/10^6</f>
      </c>
      <c r="D120">
        <f>0</f>
      </c>
      <c r="E120">
        <f>733252014/10^6</f>
      </c>
      <c r="F120">
        <f>0</f>
      </c>
      <c r="G120">
        <f>249193283/10^6</f>
      </c>
      <c r="H120">
        <f>0</f>
      </c>
      <c r="I120">
        <f>-39458462/10^6</f>
      </c>
      <c r="J120">
        <f>0</f>
      </c>
    </row>
    <row r="121">
      <c r="A121" t="s">
        <v>130</v>
      </c>
      <c r="B121" t="s">
        <v>11</v>
      </c>
      <c r="C121">
        <f>114888046875/10^6</f>
      </c>
      <c r="D121">
        <f>0</f>
      </c>
      <c r="E121">
        <f>732357544/10^6</f>
      </c>
      <c r="F121">
        <f>0</f>
      </c>
      <c r="G121">
        <f>248933182/10^6</f>
      </c>
      <c r="H121">
        <f>0</f>
      </c>
      <c r="I121">
        <f>-39232788/10^6</f>
      </c>
      <c r="J121">
        <f>0</f>
      </c>
    </row>
    <row r="122">
      <c r="A122" t="s">
        <v>131</v>
      </c>
      <c r="B122" t="s">
        <v>11</v>
      </c>
      <c r="C122">
        <f>114667875/10^3</f>
      </c>
      <c r="D122">
        <f>0</f>
      </c>
      <c r="E122">
        <f>734493774/10^6</f>
      </c>
      <c r="F122">
        <f>0</f>
      </c>
      <c r="G122">
        <f>248397141/10^6</f>
      </c>
      <c r="H122">
        <f>0</f>
      </c>
      <c r="I122">
        <f>-37996498/10^6</f>
      </c>
      <c r="J122">
        <f>0</f>
      </c>
    </row>
    <row r="123">
      <c r="A123" t="s">
        <v>132</v>
      </c>
      <c r="B123" t="s">
        <v>11</v>
      </c>
      <c r="C123">
        <f>11438584375/10^5</f>
      </c>
      <c r="D123">
        <f>0</f>
      </c>
      <c r="E123">
        <f>736769714/10^6</f>
      </c>
      <c r="F123">
        <f>0</f>
      </c>
      <c r="G123">
        <f>248049713/10^6</f>
      </c>
      <c r="H123">
        <f>0</f>
      </c>
      <c r="I123">
        <f>-37256977/10^6</f>
      </c>
      <c r="J123">
        <f>0</f>
      </c>
    </row>
    <row r="124">
      <c r="A124" t="s">
        <v>133</v>
      </c>
      <c r="B124" t="s">
        <v>11</v>
      </c>
      <c r="C124">
        <f>114129742188/10^6</f>
      </c>
      <c r="D124">
        <f>0</f>
      </c>
      <c r="E124">
        <f>738110779/10^6</f>
      </c>
      <c r="F124">
        <f>0</f>
      </c>
      <c r="G124">
        <f>24800946/10^5</f>
      </c>
      <c r="H124">
        <f>0</f>
      </c>
      <c r="I124">
        <f>-37429016/10^6</f>
      </c>
      <c r="J124">
        <f>0</f>
      </c>
    </row>
    <row r="125">
      <c r="A125" t="s">
        <v>134</v>
      </c>
      <c r="B125" t="s">
        <v>11</v>
      </c>
      <c r="C125">
        <f>1139564375/10^4</f>
      </c>
      <c r="D125">
        <f>0</f>
      </c>
      <c r="E125">
        <f>738975647/10^6</f>
      </c>
      <c r="F125">
        <f>0</f>
      </c>
      <c r="G125">
        <f>24790213/10^5</f>
      </c>
      <c r="H125">
        <f>0</f>
      </c>
      <c r="I125">
        <f>-37757904/10^6</f>
      </c>
      <c r="J125">
        <f>0</f>
      </c>
    </row>
    <row r="126">
      <c r="A126" t="s">
        <v>135</v>
      </c>
      <c r="B126" t="s">
        <v>11</v>
      </c>
      <c r="C126">
        <f>1138675625/10^4</f>
      </c>
      <c r="D126">
        <f>0</f>
      </c>
      <c r="E126">
        <f>739446411/10^6</f>
      </c>
      <c r="F126">
        <f>0</f>
      </c>
      <c r="G126">
        <f>247874496/10^6</f>
      </c>
      <c r="H126">
        <f>0</f>
      </c>
      <c r="I126">
        <f>-37177906/10^6</f>
      </c>
      <c r="J126">
        <f>0</f>
      </c>
    </row>
    <row r="127">
      <c r="A127" t="s">
        <v>136</v>
      </c>
      <c r="B127" t="s">
        <v>11</v>
      </c>
      <c r="C127">
        <f>113769484375/10^6</f>
      </c>
      <c r="D127">
        <f>0</f>
      </c>
      <c r="E127">
        <f>740425415/10^6</f>
      </c>
      <c r="F127">
        <f>0</f>
      </c>
      <c r="G127">
        <f>248220947/10^6</f>
      </c>
      <c r="H127">
        <f>0</f>
      </c>
      <c r="I127">
        <f>-3582246/10^5</f>
      </c>
      <c r="J127">
        <f>0</f>
      </c>
    </row>
    <row r="128">
      <c r="A128" t="s">
        <v>137</v>
      </c>
      <c r="B128" t="s">
        <v>11</v>
      </c>
      <c r="C128">
        <f>113650367188/10^6</f>
      </c>
      <c r="D128">
        <f>0</f>
      </c>
      <c r="E128">
        <f>740003906/10^6</f>
      </c>
      <c r="F128">
        <f>0</f>
      </c>
      <c r="G128">
        <f>248409515/10^6</f>
      </c>
      <c r="H128">
        <f>0</f>
      </c>
      <c r="I128">
        <f>-34923786/10^6</f>
      </c>
      <c r="J128">
        <f>0</f>
      </c>
    </row>
    <row r="129">
      <c r="A129" t="s">
        <v>138</v>
      </c>
      <c r="B129" t="s">
        <v>11</v>
      </c>
      <c r="C129">
        <f>113716101563/10^6</f>
      </c>
      <c r="D129">
        <f>0</f>
      </c>
      <c r="E129">
        <f>736095825/10^6</f>
      </c>
      <c r="F129">
        <f>0</f>
      </c>
      <c r="G129">
        <f>24741893/10^5</f>
      </c>
      <c r="H129">
        <f>0</f>
      </c>
      <c r="I129">
        <f>-34086174/10^6</f>
      </c>
      <c r="J129">
        <f>0</f>
      </c>
    </row>
    <row r="130">
      <c r="A130" t="s">
        <v>139</v>
      </c>
      <c r="B130" t="s">
        <v>11</v>
      </c>
      <c r="C130">
        <f>114104375/10^3</f>
      </c>
      <c r="D130">
        <f>0</f>
      </c>
      <c r="E130">
        <f>732309937/10^6</f>
      </c>
      <c r="F130">
        <f>0</f>
      </c>
      <c r="G130">
        <f>246010208/10^6</f>
      </c>
      <c r="H130">
        <f>0</f>
      </c>
      <c r="I130">
        <f>-33046783/10^6</f>
      </c>
      <c r="J130">
        <f>0</f>
      </c>
    </row>
    <row r="131">
      <c r="A131" t="s">
        <v>140</v>
      </c>
      <c r="B131" t="s">
        <v>11</v>
      </c>
      <c r="C131">
        <f>114650398438/10^6</f>
      </c>
      <c r="D131">
        <f>0</f>
      </c>
      <c r="E131">
        <f>731570251/10^6</f>
      </c>
      <c r="F131">
        <f>0</f>
      </c>
      <c r="G131">
        <f>246305527/10^6</f>
      </c>
      <c r="H131">
        <f>0</f>
      </c>
      <c r="I131">
        <f>-32544247/10^6</f>
      </c>
      <c r="J131">
        <f>0</f>
      </c>
    </row>
    <row r="132">
      <c r="A132" t="s">
        <v>141</v>
      </c>
      <c r="B132" t="s">
        <v>11</v>
      </c>
      <c r="C132">
        <f>115202375/10^3</f>
      </c>
      <c r="D132">
        <f>0</f>
      </c>
      <c r="E132">
        <f>731921326/10^6</f>
      </c>
      <c r="F132">
        <f>0</f>
      </c>
      <c r="G132">
        <f>2477603/10^4</f>
      </c>
      <c r="H132">
        <f>0</f>
      </c>
      <c r="I132">
        <f>-32164902/10^6</f>
      </c>
      <c r="J132">
        <f>0</f>
      </c>
    </row>
    <row r="133">
      <c r="A133" t="s">
        <v>142</v>
      </c>
      <c r="B133" t="s">
        <v>11</v>
      </c>
      <c r="C133">
        <f>115806414063/10^6</f>
      </c>
      <c r="D133">
        <f>0</f>
      </c>
      <c r="E133">
        <f>731361633/10^6</f>
      </c>
      <c r="F133">
        <f>0</f>
      </c>
      <c r="G133">
        <f>248615753/10^6</f>
      </c>
      <c r="H133">
        <f>0</f>
      </c>
      <c r="I133">
        <f>-31786856/10^6</f>
      </c>
      <c r="J133">
        <f>0</f>
      </c>
    </row>
    <row r="134">
      <c r="A134" t="s">
        <v>143</v>
      </c>
      <c r="B134" t="s">
        <v>11</v>
      </c>
      <c r="C134">
        <f>116469296875/10^6</f>
      </c>
      <c r="D134">
        <f>0</f>
      </c>
      <c r="E134">
        <f>729568176/10^6</f>
      </c>
      <c r="F134">
        <f>0</f>
      </c>
      <c r="G134">
        <f>24956427/10^5</f>
      </c>
      <c r="H134">
        <f>0</f>
      </c>
      <c r="I134">
        <f>-31801397/10^6</f>
      </c>
      <c r="J134">
        <f>0</f>
      </c>
    </row>
    <row r="135">
      <c r="A135" t="s">
        <v>144</v>
      </c>
      <c r="B135" t="s">
        <v>11</v>
      </c>
      <c r="C135">
        <f>117139992188/10^6</f>
      </c>
      <c r="D135">
        <f>0</f>
      </c>
      <c r="E135">
        <f>72697876/10^5</f>
      </c>
      <c r="F135">
        <f>0</f>
      </c>
      <c r="G135">
        <f>25077742/10^5</f>
      </c>
      <c r="H135">
        <f>0</f>
      </c>
      <c r="I135">
        <f>-31915461/10^6</f>
      </c>
      <c r="J135">
        <f>0</f>
      </c>
    </row>
    <row r="136">
      <c r="A136" t="s">
        <v>145</v>
      </c>
      <c r="B136" t="s">
        <v>11</v>
      </c>
      <c r="C136">
        <f>117832015625/10^6</f>
      </c>
      <c r="D136">
        <f>0</f>
      </c>
      <c r="E136">
        <f>724123718/10^6</f>
      </c>
      <c r="F136">
        <f>0</f>
      </c>
      <c r="G136">
        <f>251405624/10^6</f>
      </c>
      <c r="H136">
        <f>0</f>
      </c>
      <c r="I136">
        <f>-31677603/10^6</f>
      </c>
      <c r="J136">
        <f>0</f>
      </c>
    </row>
    <row r="137">
      <c r="A137" t="s">
        <v>146</v>
      </c>
      <c r="B137" t="s">
        <v>11</v>
      </c>
      <c r="C137">
        <f>118567007813/10^6</f>
      </c>
      <c r="D137">
        <f>0</f>
      </c>
      <c r="E137">
        <f>721137146/10^6</f>
      </c>
      <c r="F137">
        <f>0</f>
      </c>
      <c r="G137">
        <f>251870621/10^6</f>
      </c>
      <c r="H137">
        <f>0</f>
      </c>
      <c r="I137">
        <f>-31197027/10^6</f>
      </c>
      <c r="J137">
        <f>0</f>
      </c>
    </row>
    <row r="138">
      <c r="A138" t="s">
        <v>147</v>
      </c>
      <c r="B138" t="s">
        <v>11</v>
      </c>
      <c r="C138">
        <f>119353984375/10^6</f>
      </c>
      <c r="D138">
        <f>0</f>
      </c>
      <c r="E138">
        <f>717790649/10^6</f>
      </c>
      <c r="F138">
        <f>0</f>
      </c>
      <c r="G138">
        <f>252346725/10^6</f>
      </c>
      <c r="H138">
        <f>0</f>
      </c>
      <c r="I138">
        <f>-30837702/10^6</f>
      </c>
      <c r="J138">
        <f>0</f>
      </c>
    </row>
    <row r="139">
      <c r="A139" t="s">
        <v>148</v>
      </c>
      <c r="B139" t="s">
        <v>11</v>
      </c>
      <c r="C139">
        <f>1202196875/10^4</f>
      </c>
      <c r="D139">
        <f>0</f>
      </c>
      <c r="E139">
        <f>71378186/10^5</f>
      </c>
      <c r="F139">
        <f>0</f>
      </c>
      <c r="G139">
        <f>252888885/10^6</f>
      </c>
      <c r="H139">
        <f>0</f>
      </c>
      <c r="I139">
        <f>-30402241/10^6</f>
      </c>
      <c r="J139">
        <f>0</f>
      </c>
    </row>
    <row r="140">
      <c r="A140" t="s">
        <v>149</v>
      </c>
      <c r="B140" t="s">
        <v>11</v>
      </c>
      <c r="C140">
        <f>121131164063/10^6</f>
      </c>
      <c r="D140">
        <f>0</f>
      </c>
      <c r="E140">
        <f>709218323/10^6</f>
      </c>
      <c r="F140">
        <f>0</f>
      </c>
      <c r="G140">
        <f>253506119/10^6</f>
      </c>
      <c r="H140">
        <f>0</f>
      </c>
      <c r="I140">
        <f>-29948793/10^6</f>
      </c>
      <c r="J140">
        <f>0</f>
      </c>
    </row>
    <row r="141">
      <c r="A141" t="s">
        <v>150</v>
      </c>
      <c r="B141" t="s">
        <v>11</v>
      </c>
      <c r="C141">
        <f>121964625/10^3</f>
      </c>
      <c r="D141">
        <f>0</f>
      </c>
      <c r="E141">
        <f>704477112/10^6</f>
      </c>
      <c r="F141">
        <f>0</f>
      </c>
      <c r="G141">
        <f>253756699/10^6</f>
      </c>
      <c r="H141">
        <f>0</f>
      </c>
      <c r="I141">
        <f>-29491766/10^6</f>
      </c>
      <c r="J141">
        <f>0</f>
      </c>
    </row>
    <row r="142">
      <c r="A142" t="s">
        <v>151</v>
      </c>
      <c r="B142" t="s">
        <v>11</v>
      </c>
      <c r="C142">
        <f>122612007813/10^6</f>
      </c>
      <c r="D142">
        <f>0</f>
      </c>
      <c r="E142">
        <f>700181335/10^6</f>
      </c>
      <c r="F142">
        <f>0</f>
      </c>
      <c r="G142">
        <f>253924774/10^6</f>
      </c>
      <c r="H142">
        <f>0</f>
      </c>
      <c r="I142">
        <f>-28690022/10^6</f>
      </c>
      <c r="J142">
        <f>0</f>
      </c>
    </row>
    <row r="143">
      <c r="A143" t="s">
        <v>152</v>
      </c>
      <c r="B143" t="s">
        <v>11</v>
      </c>
      <c r="C143">
        <f>123034890625/10^6</f>
      </c>
      <c r="D143">
        <f>0</f>
      </c>
      <c r="E143">
        <f>697084167/10^6</f>
      </c>
      <c r="F143">
        <f>0</f>
      </c>
      <c r="G143">
        <f>254074509/10^6</f>
      </c>
      <c r="H143">
        <f>0</f>
      </c>
      <c r="I143">
        <f>-28144897/10^6</f>
      </c>
      <c r="J143">
        <f>0</f>
      </c>
    </row>
    <row r="144">
      <c r="A144" t="s">
        <v>153</v>
      </c>
      <c r="B144" t="s">
        <v>11</v>
      </c>
      <c r="C144">
        <f>12324603125/10^5</f>
      </c>
      <c r="D144">
        <f>0</f>
      </c>
      <c r="E144">
        <f>695336609/10^6</f>
      </c>
      <c r="F144">
        <f>0</f>
      </c>
      <c r="G144">
        <f>253879913/10^6</f>
      </c>
      <c r="H144">
        <f>0</f>
      </c>
      <c r="I144">
        <f>-28075907/10^6</f>
      </c>
      <c r="J144">
        <f>0</f>
      </c>
    </row>
    <row r="145">
      <c r="A145" t="s">
        <v>154</v>
      </c>
      <c r="B145" t="s">
        <v>11</v>
      </c>
      <c r="C145">
        <f>123328070313/10^6</f>
      </c>
      <c r="D145">
        <f>0</f>
      </c>
      <c r="E145">
        <f>694432556/10^6</f>
      </c>
      <c r="F145">
        <f>0</f>
      </c>
      <c r="G145">
        <f>253648651/10^6</f>
      </c>
      <c r="H145">
        <f>0</f>
      </c>
      <c r="I145">
        <f>-27948713/10^6</f>
      </c>
      <c r="J145">
        <f>0</f>
      </c>
    </row>
    <row r="146">
      <c r="A146" t="s">
        <v>155</v>
      </c>
      <c r="B146" t="s">
        <v>11</v>
      </c>
      <c r="C146">
        <f>123361554688/10^6</f>
      </c>
      <c r="D146">
        <f>0</f>
      </c>
      <c r="E146">
        <f>693892151/10^6</f>
      </c>
      <c r="F146">
        <f>0</f>
      </c>
      <c r="G146">
        <f>253480042/10^6</f>
      </c>
      <c r="H146">
        <f>0</f>
      </c>
      <c r="I146">
        <f>-28004604/10^6</f>
      </c>
      <c r="J146">
        <f>0</f>
      </c>
    </row>
    <row r="147">
      <c r="A147" t="s">
        <v>156</v>
      </c>
      <c r="B147" t="s">
        <v>11</v>
      </c>
      <c r="C147">
        <f>123317507813/10^6</f>
      </c>
      <c r="D147">
        <f>0</f>
      </c>
      <c r="E147">
        <f>693613586/10^6</f>
      </c>
      <c r="F147">
        <f>0</f>
      </c>
      <c r="G147">
        <f>253232452/10^6</f>
      </c>
      <c r="H147">
        <f>0</f>
      </c>
      <c r="I147">
        <f>-28295464/10^6</f>
      </c>
      <c r="J147">
        <f>0</f>
      </c>
    </row>
    <row r="148">
      <c r="A148" t="s">
        <v>157</v>
      </c>
      <c r="B148" t="s">
        <v>11</v>
      </c>
      <c r="C148">
        <f>123156265625/10^6</f>
      </c>
      <c r="D148">
        <f>0</f>
      </c>
      <c r="E148">
        <f>69377948/10^5</f>
      </c>
      <c r="F148">
        <f>0</f>
      </c>
      <c r="G148">
        <f>253017334/10^6</f>
      </c>
      <c r="H148">
        <f>0</f>
      </c>
      <c r="I148">
        <f>-28500483/10^6</f>
      </c>
      <c r="J148">
        <f>0</f>
      </c>
    </row>
    <row r="149">
      <c r="A149" t="s">
        <v>158</v>
      </c>
      <c r="B149" t="s">
        <v>11</v>
      </c>
      <c r="C149">
        <f>122924765625/10^6</f>
      </c>
      <c r="D149">
        <f>0</f>
      </c>
      <c r="E149">
        <f>694397522/10^6</f>
      </c>
      <c r="F149">
        <f>0</f>
      </c>
      <c r="G149">
        <f>252716354/10^6</f>
      </c>
      <c r="H149">
        <f>0</f>
      </c>
      <c r="I149">
        <f>-28830425/10^6</f>
      </c>
      <c r="J149">
        <f>0</f>
      </c>
    </row>
    <row r="150">
      <c r="A150" t="s">
        <v>159</v>
      </c>
      <c r="B150" t="s">
        <v>11</v>
      </c>
      <c r="C150">
        <f>1226666875/10^4</f>
      </c>
      <c r="D150">
        <f>0</f>
      </c>
      <c r="E150">
        <f>695133545/10^6</f>
      </c>
      <c r="F150">
        <f>0</f>
      </c>
      <c r="G150">
        <f>252381409/10^6</f>
      </c>
      <c r="H150">
        <f>0</f>
      </c>
      <c r="I150">
        <f>-29217426/10^6</f>
      </c>
      <c r="J150">
        <f>0</f>
      </c>
    </row>
    <row r="151">
      <c r="A151" t="s">
        <v>160</v>
      </c>
      <c r="B151" t="s">
        <v>11</v>
      </c>
      <c r="C151">
        <f>122375007813/10^6</f>
      </c>
      <c r="D151">
        <f>0</f>
      </c>
      <c r="E151">
        <f>696004028/10^6</f>
      </c>
      <c r="F151">
        <f>0</f>
      </c>
      <c r="G151">
        <f>252147949/10^6</f>
      </c>
      <c r="H151">
        <f>0</f>
      </c>
      <c r="I151">
        <f>-29496639/10^6</f>
      </c>
      <c r="J151">
        <f>0</f>
      </c>
    </row>
    <row r="152">
      <c r="A152" t="s">
        <v>161</v>
      </c>
      <c r="B152" t="s">
        <v>11</v>
      </c>
      <c r="C152">
        <f>12204734375/10^5</f>
      </c>
      <c r="D152">
        <f>0</f>
      </c>
      <c r="E152">
        <f>697408203/10^6</f>
      </c>
      <c r="F152">
        <f>0</f>
      </c>
      <c r="G152">
        <f>251849304/10^6</f>
      </c>
      <c r="H152">
        <f>0</f>
      </c>
      <c r="I152">
        <f>-29794779/10^6</f>
      </c>
      <c r="J152">
        <f>0</f>
      </c>
    </row>
    <row r="153">
      <c r="A153" t="s">
        <v>162</v>
      </c>
      <c r="B153" t="s">
        <v>11</v>
      </c>
      <c r="C153">
        <f>121698304688/10^6</f>
      </c>
      <c r="D153">
        <f>0</f>
      </c>
      <c r="E153">
        <f>699153198/10^6</f>
      </c>
      <c r="F153">
        <f>0</f>
      </c>
      <c r="G153">
        <f>251610825/10^6</f>
      </c>
      <c r="H153">
        <f>0</f>
      </c>
      <c r="I153">
        <f>-30083515/10^6</f>
      </c>
      <c r="J153">
        <f>0</f>
      </c>
    </row>
    <row r="154">
      <c r="A154" t="s">
        <v>163</v>
      </c>
      <c r="B154" t="s">
        <v>11</v>
      </c>
      <c r="C154">
        <f>121338460938/10^6</f>
      </c>
      <c r="D154">
        <f>0</f>
      </c>
      <c r="E154">
        <f>700935913/10^6</f>
      </c>
      <c r="F154">
        <f>0</f>
      </c>
      <c r="G154">
        <f>251482819/10^6</f>
      </c>
      <c r="H154">
        <f>0</f>
      </c>
      <c r="I154">
        <f>-30516798/10^6</f>
      </c>
      <c r="J154">
        <f>0</f>
      </c>
    </row>
    <row r="155">
      <c r="A155" t="s">
        <v>164</v>
      </c>
      <c r="B155" t="s">
        <v>11</v>
      </c>
      <c r="C155">
        <f>120979101563/10^6</f>
      </c>
      <c r="D155">
        <f>0</f>
      </c>
      <c r="E155">
        <f>702978577/10^6</f>
      </c>
      <c r="F155">
        <f>0</f>
      </c>
      <c r="G155">
        <f>251333649/10^6</f>
      </c>
      <c r="H155">
        <f>0</f>
      </c>
      <c r="I155">
        <f>-30982594/10^6</f>
      </c>
      <c r="J155">
        <f>0</f>
      </c>
    </row>
    <row r="156">
      <c r="A156" t="s">
        <v>165</v>
      </c>
      <c r="B156" t="s">
        <v>11</v>
      </c>
      <c r="C156">
        <f>12060521875/10^5</f>
      </c>
      <c r="D156">
        <f>0</f>
      </c>
      <c r="E156">
        <f>705142639/10^6</f>
      </c>
      <c r="F156">
        <f>0</f>
      </c>
      <c r="G156">
        <f>251229477/10^6</f>
      </c>
      <c r="H156">
        <f>0</f>
      </c>
      <c r="I156">
        <f>-31384686/10^6</f>
      </c>
      <c r="J156">
        <f>0</f>
      </c>
    </row>
    <row r="157">
      <c r="A157" t="s">
        <v>166</v>
      </c>
      <c r="B157" t="s">
        <v>11</v>
      </c>
      <c r="C157">
        <f>120172234375/10^6</f>
      </c>
      <c r="D157">
        <f>0</f>
      </c>
      <c r="E157">
        <f>707261414/10^6</f>
      </c>
      <c r="F157">
        <f>0</f>
      </c>
      <c r="G157">
        <f>25119165/10^5</f>
      </c>
      <c r="H157">
        <f>0</f>
      </c>
      <c r="I157">
        <f>-31893757/10^6</f>
      </c>
      <c r="J157">
        <f>0</f>
      </c>
    </row>
    <row r="158">
      <c r="A158" t="s">
        <v>167</v>
      </c>
      <c r="B158" t="s">
        <v>11</v>
      </c>
      <c r="C158">
        <f>119699945313/10^6</f>
      </c>
      <c r="D158">
        <f>0</f>
      </c>
      <c r="E158">
        <f>709621277/10^6</f>
      </c>
      <c r="F158">
        <f>0</f>
      </c>
      <c r="G158">
        <f>251123337/10^6</f>
      </c>
      <c r="H158">
        <f>0</f>
      </c>
      <c r="I158">
        <f>-32338299/10^6</f>
      </c>
      <c r="J158">
        <f>0</f>
      </c>
    </row>
    <row r="159">
      <c r="A159" t="s">
        <v>168</v>
      </c>
      <c r="B159" t="s">
        <v>11</v>
      </c>
      <c r="C159">
        <f>119251914063/10^6</f>
      </c>
      <c r="D159">
        <f>0</f>
      </c>
      <c r="E159">
        <f>712004883/10^6</f>
      </c>
      <c r="F159">
        <f>0</f>
      </c>
      <c r="G159">
        <f>250869995/10^6</f>
      </c>
      <c r="H159">
        <f>0</f>
      </c>
      <c r="I159">
        <f>-32909042/10^6</f>
      </c>
      <c r="J159">
        <f>0</f>
      </c>
    </row>
    <row r="160">
      <c r="A160" t="s">
        <v>169</v>
      </c>
      <c r="B160" t="s">
        <v>11</v>
      </c>
      <c r="C160">
        <f>118816601563/10^6</f>
      </c>
      <c r="D160">
        <f>0</f>
      </c>
      <c r="E160">
        <f>714244995/10^6</f>
      </c>
      <c r="F160">
        <f>0</f>
      </c>
      <c r="G160">
        <f>250576508/10^6</f>
      </c>
      <c r="H160">
        <f>0</f>
      </c>
      <c r="I160">
        <f>-33534985/10^6</f>
      </c>
      <c r="J160">
        <f>0</f>
      </c>
    </row>
    <row r="161">
      <c r="A161" t="s">
        <v>170</v>
      </c>
      <c r="B161" t="s">
        <v>11</v>
      </c>
      <c r="C161">
        <f>11834809375/10^5</f>
      </c>
      <c r="D161">
        <f>0</f>
      </c>
      <c r="E161">
        <f>716821411/10^6</f>
      </c>
      <c r="F161">
        <f>0</f>
      </c>
      <c r="G161">
        <f>250427979/10^6</f>
      </c>
      <c r="H161">
        <f>0</f>
      </c>
      <c r="I161">
        <f>-34015213/10^6</f>
      </c>
      <c r="J161">
        <f>0</f>
      </c>
    </row>
    <row r="162">
      <c r="A162" t="s">
        <v>171</v>
      </c>
      <c r="B162" t="s">
        <v>11</v>
      </c>
      <c r="C162">
        <f>1178748125/10^4</f>
      </c>
      <c r="D162">
        <f>0</f>
      </c>
      <c r="E162">
        <f>719644226/10^6</f>
      </c>
      <c r="F162">
        <f>0</f>
      </c>
      <c r="G162">
        <f>2503004/10^4</f>
      </c>
      <c r="H162">
        <f>0</f>
      </c>
      <c r="I162">
        <f>-34624268/10^6</f>
      </c>
      <c r="J162">
        <f>0</f>
      </c>
    </row>
    <row r="163">
      <c r="A163" t="s">
        <v>172</v>
      </c>
      <c r="B163" t="s">
        <v>11</v>
      </c>
      <c r="C163">
        <f>117446789063/10^6</f>
      </c>
      <c r="D163">
        <f>0</f>
      </c>
      <c r="E163">
        <f>72211322/10^5</f>
      </c>
      <c r="F163">
        <f>0</f>
      </c>
      <c r="G163">
        <f>250174667/10^6</f>
      </c>
      <c r="H163">
        <f>0</f>
      </c>
      <c r="I163">
        <f>-35134823/10^6</f>
      </c>
      <c r="J163">
        <f>0</f>
      </c>
    </row>
    <row r="164">
      <c r="A164" t="s">
        <v>173</v>
      </c>
      <c r="B164" t="s">
        <v>11</v>
      </c>
      <c r="C164">
        <f>117038132813/10^6</f>
      </c>
      <c r="D164">
        <f>0</f>
      </c>
      <c r="E164">
        <f>724346497/10^6</f>
      </c>
      <c r="F164">
        <f>0</f>
      </c>
      <c r="G164">
        <f>250001053/10^6</f>
      </c>
      <c r="H164">
        <f>0</f>
      </c>
      <c r="I164">
        <f>-35553436/10^6</f>
      </c>
      <c r="J164">
        <f>0</f>
      </c>
    </row>
    <row r="165">
      <c r="A165" t="s">
        <v>174</v>
      </c>
      <c r="B165" t="s">
        <v>11</v>
      </c>
      <c r="C165">
        <f>116621257813/10^6</f>
      </c>
      <c r="D165">
        <f>0</f>
      </c>
      <c r="E165">
        <f>726820374/10^6</f>
      </c>
      <c r="F165">
        <f>0</f>
      </c>
      <c r="G165">
        <f>249792648/10^6</f>
      </c>
      <c r="H165">
        <f>0</f>
      </c>
      <c r="I165">
        <f>-35988243/10^6</f>
      </c>
      <c r="J165">
        <f>0</f>
      </c>
    </row>
    <row r="166">
      <c r="A166" t="s">
        <v>175</v>
      </c>
      <c r="B166" t="s">
        <v>11</v>
      </c>
      <c r="C166">
        <f>116232640625/10^6</f>
      </c>
      <c r="D166">
        <f>0</f>
      </c>
      <c r="E166">
        <f>729391663/10^6</f>
      </c>
      <c r="F166">
        <f>0</f>
      </c>
      <c r="G166">
        <f>249733505/10^6</f>
      </c>
      <c r="H166">
        <f>0</f>
      </c>
      <c r="I166">
        <f>-36380482/10^6</f>
      </c>
      <c r="J166">
        <f>0</f>
      </c>
    </row>
    <row r="167">
      <c r="A167" t="s">
        <v>176</v>
      </c>
      <c r="B167" t="s">
        <v>11</v>
      </c>
      <c r="C167">
        <f>115895765625/10^6</f>
      </c>
      <c r="D167">
        <f>0</f>
      </c>
      <c r="E167">
        <f>731791931/10^6</f>
      </c>
      <c r="F167">
        <f>0</f>
      </c>
      <c r="G167">
        <f>249737274/10^6</f>
      </c>
      <c r="H167">
        <f>0</f>
      </c>
      <c r="I167">
        <f>-3697258/10^5</f>
      </c>
      <c r="J167">
        <f>0</f>
      </c>
    </row>
    <row r="168">
      <c r="A168" t="s">
        <v>177</v>
      </c>
      <c r="B168" t="s">
        <v>11</v>
      </c>
      <c r="C168">
        <f>115594007813/10^6</f>
      </c>
      <c r="D168">
        <f>0</f>
      </c>
      <c r="E168">
        <f>733947815/10^6</f>
      </c>
      <c r="F168">
        <f>0</f>
      </c>
      <c r="G168">
        <f>249716019/10^6</f>
      </c>
      <c r="H168">
        <f>0</f>
      </c>
      <c r="I168">
        <f>-37403812/10^6</f>
      </c>
      <c r="J168">
        <f>0</f>
      </c>
    </row>
    <row r="169">
      <c r="A169" t="s">
        <v>178</v>
      </c>
      <c r="B169" t="s">
        <v>11</v>
      </c>
      <c r="C169">
        <f>115321960938/10^6</f>
      </c>
      <c r="D169">
        <f>0</f>
      </c>
      <c r="E169">
        <f>735538452/10^6</f>
      </c>
      <c r="F169">
        <f>0</f>
      </c>
      <c r="G169">
        <f>249795181/10^6</f>
      </c>
      <c r="H169">
        <f>0</f>
      </c>
      <c r="I169">
        <f>-3748579/10^5</f>
      </c>
      <c r="J169">
        <f>0</f>
      </c>
    </row>
    <row r="170">
      <c r="A170" t="s">
        <v>179</v>
      </c>
      <c r="B170" t="s">
        <v>11</v>
      </c>
      <c r="C170">
        <f>115127375/10^3</f>
      </c>
      <c r="D170">
        <f>0</f>
      </c>
      <c r="E170">
        <f>736405396/10^6</f>
      </c>
      <c r="F170">
        <f>0</f>
      </c>
      <c r="G170">
        <f>249899551/10^6</f>
      </c>
      <c r="H170">
        <f>0</f>
      </c>
      <c r="I170">
        <f>-37536079/10^6</f>
      </c>
      <c r="J170">
        <f>0</f>
      </c>
    </row>
    <row r="171">
      <c r="A171" t="s">
        <v>180</v>
      </c>
      <c r="B171" t="s">
        <v>11</v>
      </c>
      <c r="C171">
        <f>114993945313/10^6</f>
      </c>
      <c r="D171">
        <f>0</f>
      </c>
      <c r="E171">
        <f>737826538/10^6</f>
      </c>
      <c r="F171">
        <f>0</f>
      </c>
      <c r="G171">
        <f>249823196/10^6</f>
      </c>
      <c r="H171">
        <f>0</f>
      </c>
      <c r="I171">
        <f>-37530457/10^6</f>
      </c>
      <c r="J171">
        <f>0</f>
      </c>
    </row>
    <row r="172">
      <c r="A172" t="s">
        <v>181</v>
      </c>
      <c r="B172" t="s">
        <v>11</v>
      </c>
      <c r="C172">
        <f>11482259375/10^5</f>
      </c>
      <c r="D172">
        <f>0</f>
      </c>
      <c r="E172">
        <f>738870056/10^6</f>
      </c>
      <c r="F172">
        <f>0</f>
      </c>
      <c r="G172">
        <f>249814484/10^6</f>
      </c>
      <c r="H172">
        <f>0</f>
      </c>
      <c r="I172">
        <f>-37867809/10^6</f>
      </c>
      <c r="J172">
        <f>0</f>
      </c>
    </row>
    <row r="173">
      <c r="A173" t="s">
        <v>182</v>
      </c>
      <c r="B173" t="s">
        <v>11</v>
      </c>
      <c r="C173">
        <f>114734085938/10^6</f>
      </c>
      <c r="D173">
        <f>0</f>
      </c>
      <c r="E173">
        <f>735305176/10^6</f>
      </c>
      <c r="F173">
        <f>0</f>
      </c>
      <c r="G173">
        <f>249801422/10^6</f>
      </c>
      <c r="H173">
        <f>0</f>
      </c>
      <c r="I173">
        <f>-37994507/10^6</f>
      </c>
      <c r="J173">
        <f>0</f>
      </c>
    </row>
    <row r="174">
      <c r="A174" t="s">
        <v>183</v>
      </c>
      <c r="B174" t="s">
        <v>11</v>
      </c>
      <c r="C174">
        <f>114848039063/10^6</f>
      </c>
      <c r="D174">
        <f>0</f>
      </c>
      <c r="E174">
        <f>730740662/10^6</f>
      </c>
      <c r="F174">
        <f>0</f>
      </c>
      <c r="G174">
        <f>248778854/10^6</f>
      </c>
      <c r="H174">
        <f>0</f>
      </c>
      <c r="I174">
        <f>-36100391/10^6</f>
      </c>
      <c r="J174">
        <f>0</f>
      </c>
    </row>
    <row r="175">
      <c r="A175" t="s">
        <v>184</v>
      </c>
      <c r="B175" t="s">
        <v>11</v>
      </c>
      <c r="C175">
        <f>114922671875/10^6</f>
      </c>
      <c r="D175">
        <f>0</f>
      </c>
      <c r="E175">
        <f>732532959/10^6</f>
      </c>
      <c r="F175">
        <f>0</f>
      </c>
      <c r="G175">
        <f>247295578/10^6</f>
      </c>
      <c r="H175">
        <f>0</f>
      </c>
      <c r="I175">
        <f>-33558788/10^6</f>
      </c>
      <c r="J175">
        <f>0</f>
      </c>
    </row>
    <row r="176">
      <c r="A176" t="s">
        <v>185</v>
      </c>
      <c r="B176" t="s">
        <v>11</v>
      </c>
      <c r="C176">
        <f>114846953125/10^6</f>
      </c>
      <c r="D176">
        <f>0</f>
      </c>
      <c r="E176">
        <f>736968872/10^6</f>
      </c>
      <c r="F176">
        <f>0</f>
      </c>
      <c r="G176">
        <f>247482025/10^6</f>
      </c>
      <c r="H176">
        <f>0</f>
      </c>
      <c r="I176">
        <f>-334305/10^4</f>
      </c>
      <c r="J176">
        <f>0</f>
      </c>
    </row>
    <row r="177">
      <c r="A177" t="s">
        <v>186</v>
      </c>
      <c r="B177" t="s">
        <v>11</v>
      </c>
      <c r="C177">
        <f>114791695313/10^6</f>
      </c>
      <c r="D177">
        <f>0</f>
      </c>
      <c r="E177">
        <f>738214417/10^6</f>
      </c>
      <c r="F177">
        <f>0</f>
      </c>
      <c r="G177">
        <f>249050522/10^6</f>
      </c>
      <c r="H177">
        <f>0</f>
      </c>
      <c r="I177">
        <f>-3485807/10^5</f>
      </c>
      <c r="J177">
        <f>0</f>
      </c>
    </row>
    <row r="178">
      <c r="A178" t="s">
        <v>187</v>
      </c>
      <c r="B178" t="s">
        <v>11</v>
      </c>
      <c r="C178">
        <f>114753710938/10^6</f>
      </c>
      <c r="D178">
        <f>0</f>
      </c>
      <c r="E178">
        <f>738132935/10^6</f>
      </c>
      <c r="F178">
        <f>0</f>
      </c>
      <c r="G178">
        <f>249865936/10^6</f>
      </c>
      <c r="H178">
        <f>0</f>
      </c>
      <c r="I178">
        <f>-3547076/10^5</f>
      </c>
      <c r="J178">
        <f>0</f>
      </c>
    </row>
    <row r="179">
      <c r="A179" t="s">
        <v>188</v>
      </c>
      <c r="B179" t="s">
        <v>11</v>
      </c>
      <c r="C179">
        <f>114625953125/10^6</f>
      </c>
      <c r="D179">
        <f>0</f>
      </c>
      <c r="E179">
        <f>738937622/10^6</f>
      </c>
      <c r="F179">
        <f>0</f>
      </c>
      <c r="G179">
        <f>249752518/10^6</f>
      </c>
      <c r="H179">
        <f>0</f>
      </c>
      <c r="I179">
        <f>-35333618/10^6</f>
      </c>
      <c r="J179">
        <f>0</f>
      </c>
    </row>
    <row r="180">
      <c r="A180" t="s">
        <v>189</v>
      </c>
      <c r="B180" t="s">
        <v>11</v>
      </c>
      <c r="C180">
        <f>114432570313/10^6</f>
      </c>
      <c r="D180">
        <f>0</f>
      </c>
      <c r="E180">
        <f>740382019/10^6</f>
      </c>
      <c r="F180">
        <f>0</f>
      </c>
      <c r="G180">
        <f>249693069/10^6</f>
      </c>
      <c r="H180">
        <f>0</f>
      </c>
      <c r="I180">
        <f>-35272896/10^6</f>
      </c>
      <c r="J180">
        <f>0</f>
      </c>
    </row>
    <row r="181">
      <c r="A181" t="s">
        <v>190</v>
      </c>
      <c r="B181" t="s">
        <v>11</v>
      </c>
      <c r="C181">
        <f>114268476563/10^6</f>
      </c>
      <c r="D181">
        <f>0</f>
      </c>
      <c r="E181">
        <f>741958252/10^6</f>
      </c>
      <c r="F181">
        <f>0</f>
      </c>
      <c r="G181">
        <f>249796677/10^6</f>
      </c>
      <c r="H181">
        <f>0</f>
      </c>
      <c r="I181">
        <f>-35363728/10^6</f>
      </c>
      <c r="J181">
        <f>0</f>
      </c>
    </row>
    <row r="182">
      <c r="A182" t="s">
        <v>191</v>
      </c>
      <c r="B182" t="s">
        <v>11</v>
      </c>
      <c r="C182">
        <f>114189460938/10^6</f>
      </c>
      <c r="D182">
        <f>0</f>
      </c>
      <c r="E182">
        <f>742664612/10^6</f>
      </c>
      <c r="F182">
        <f>0</f>
      </c>
      <c r="G182">
        <f>24992157/10^5</f>
      </c>
      <c r="H182">
        <f>0</f>
      </c>
      <c r="I182">
        <f>-35540379/10^6</f>
      </c>
      <c r="J182">
        <f>0</f>
      </c>
    </row>
    <row r="183">
      <c r="A183" t="s">
        <v>192</v>
      </c>
      <c r="B183" t="s">
        <v>11</v>
      </c>
      <c r="C183">
        <f>1141738125/10^4</f>
      </c>
      <c r="D183">
        <f>0</f>
      </c>
      <c r="E183">
        <f>742244629/10^6</f>
      </c>
      <c r="F183">
        <f>0</f>
      </c>
      <c r="G183">
        <f>249999802/10^6</f>
      </c>
      <c r="H183">
        <f>0</f>
      </c>
      <c r="I183">
        <f>-35647152/10^6</f>
      </c>
      <c r="J183">
        <f>0</f>
      </c>
    </row>
    <row r="184">
      <c r="A184" t="s">
        <v>193</v>
      </c>
      <c r="B184" t="s">
        <v>11</v>
      </c>
      <c r="C184">
        <f>114186921875/10^6</f>
      </c>
      <c r="D184">
        <f>0</f>
      </c>
      <c r="E184">
        <f>741769958/10^6</f>
      </c>
      <c r="F184">
        <f>0</f>
      </c>
      <c r="G184">
        <f>249914963/10^6</f>
      </c>
      <c r="H184">
        <f>0</f>
      </c>
      <c r="I184">
        <f>-35454777/10^6</f>
      </c>
      <c r="J184">
        <f>0</f>
      </c>
    </row>
    <row r="185">
      <c r="A185" t="s">
        <v>194</v>
      </c>
      <c r="B185" t="s">
        <v>11</v>
      </c>
      <c r="C185">
        <f>11421903125/10^5</f>
      </c>
      <c r="D185">
        <f>0</f>
      </c>
      <c r="E185">
        <f>741946655/10^6</f>
      </c>
      <c r="F185">
        <f>0</f>
      </c>
      <c r="G185">
        <f>249783463/10^6</f>
      </c>
      <c r="H185">
        <f>0</f>
      </c>
      <c r="I185">
        <f>-35166538/10^6</f>
      </c>
      <c r="J185">
        <f>0</f>
      </c>
    </row>
    <row r="186">
      <c r="A186" t="s">
        <v>195</v>
      </c>
      <c r="B186" t="s">
        <v>11</v>
      </c>
      <c r="C186">
        <f>114271296875/10^6</f>
      </c>
      <c r="D186">
        <f>0</f>
      </c>
      <c r="E186">
        <f>742414795/10^6</f>
      </c>
      <c r="F186">
        <f>0</f>
      </c>
      <c r="G186">
        <f>249845535/10^6</f>
      </c>
      <c r="H186">
        <f>0</f>
      </c>
      <c r="I186">
        <f>-35255192/10^6</f>
      </c>
      <c r="J186">
        <f>0</f>
      </c>
    </row>
    <row r="187">
      <c r="A187" t="s">
        <v>196</v>
      </c>
      <c r="B187" t="s">
        <v>11</v>
      </c>
      <c r="C187">
        <f>114362335938/10^6</f>
      </c>
      <c r="D187">
        <f>0</f>
      </c>
      <c r="E187">
        <f>742509277/10^6</f>
      </c>
      <c r="F187">
        <f>0</f>
      </c>
      <c r="G187">
        <f>250061874/10^6</f>
      </c>
      <c r="H187">
        <f>0</f>
      </c>
      <c r="I187">
        <f>-35666508/10^6</f>
      </c>
      <c r="J187">
        <f>0</f>
      </c>
    </row>
    <row r="188">
      <c r="A188" t="s">
        <v>197</v>
      </c>
      <c r="B188" t="s">
        <v>11</v>
      </c>
      <c r="C188">
        <f>1144629375/10^4</f>
      </c>
      <c r="D188">
        <f>0</f>
      </c>
      <c r="E188">
        <f>742165222/10^6</f>
      </c>
      <c r="F188">
        <f>0</f>
      </c>
      <c r="G188">
        <f>25019931/10^5</f>
      </c>
      <c r="H188">
        <f>0</f>
      </c>
      <c r="I188">
        <f>-3589436/10^5</f>
      </c>
      <c r="J188">
        <f>0</f>
      </c>
    </row>
    <row r="189">
      <c r="A189" t="s">
        <v>198</v>
      </c>
      <c r="B189" t="s">
        <v>11</v>
      </c>
      <c r="C189">
        <f>1145086875/10^4</f>
      </c>
      <c r="D189">
        <f>0</f>
      </c>
      <c r="E189">
        <f>741901794/10^6</f>
      </c>
      <c r="F189">
        <f>0</f>
      </c>
      <c r="G189">
        <f>250255096/10^6</f>
      </c>
      <c r="H189">
        <f>0</f>
      </c>
      <c r="I189">
        <f>-35887211/10^6</f>
      </c>
      <c r="J189">
        <f>0</f>
      </c>
    </row>
    <row r="190">
      <c r="A190" t="s">
        <v>199</v>
      </c>
      <c r="B190" t="s">
        <v>11</v>
      </c>
      <c r="C190">
        <f>1145469375/10^4</f>
      </c>
      <c r="D190">
        <f>0</f>
      </c>
      <c r="E190">
        <f>741908447/10^6</f>
      </c>
      <c r="F190">
        <f>0</f>
      </c>
      <c r="G190">
        <f>25030188/10^5</f>
      </c>
      <c r="H190">
        <f>0</f>
      </c>
      <c r="I190">
        <f>-35888508/10^6</f>
      </c>
      <c r="J190">
        <f>0</f>
      </c>
    </row>
    <row r="191">
      <c r="A191" t="s">
        <v>200</v>
      </c>
      <c r="B191" t="s">
        <v>11</v>
      </c>
      <c r="C191">
        <f>114678453125/10^6</f>
      </c>
      <c r="D191">
        <f>0</f>
      </c>
      <c r="E191">
        <f>74170575/10^5</f>
      </c>
      <c r="F191">
        <f>0</f>
      </c>
      <c r="G191">
        <f>250439468/10^6</f>
      </c>
      <c r="H191">
        <f>0</f>
      </c>
      <c r="I191">
        <f>-35914516/10^6</f>
      </c>
      <c r="J191">
        <f>0</f>
      </c>
    </row>
    <row r="192">
      <c r="A192" t="s">
        <v>201</v>
      </c>
      <c r="B192" t="s">
        <v>11</v>
      </c>
      <c r="C192">
        <f>11489715625/10^5</f>
      </c>
      <c r="D192">
        <f>0</f>
      </c>
      <c r="E192">
        <f>740841187/10^6</f>
      </c>
      <c r="F192">
        <f>0</f>
      </c>
      <c r="G192">
        <f>250689301/10^6</f>
      </c>
      <c r="H192">
        <f>0</f>
      </c>
      <c r="I192">
        <f>-3600304/10^5</f>
      </c>
      <c r="J192">
        <f>0</f>
      </c>
    </row>
    <row r="193">
      <c r="A193" t="s">
        <v>202</v>
      </c>
      <c r="B193" t="s">
        <v>11</v>
      </c>
      <c r="C193">
        <f>115148414063/10^6</f>
      </c>
      <c r="D193">
        <f>0</f>
      </c>
      <c r="E193">
        <f>739522583/10^6</f>
      </c>
      <c r="F193">
        <f>0</f>
      </c>
      <c r="G193">
        <f>250884094/10^6</f>
      </c>
      <c r="H193">
        <f>0</f>
      </c>
      <c r="I193">
        <f>-36020542/10^6</f>
      </c>
      <c r="J193">
        <f>0</f>
      </c>
    </row>
    <row r="194">
      <c r="A194" t="s">
        <v>203</v>
      </c>
      <c r="B194" t="s">
        <v>11</v>
      </c>
      <c r="C194">
        <f>115438375/10^3</f>
      </c>
      <c r="D194">
        <f>0</f>
      </c>
      <c r="E194">
        <f>738075806/10^6</f>
      </c>
      <c r="F194">
        <f>0</f>
      </c>
      <c r="G194">
        <f>251042389/10^6</f>
      </c>
      <c r="H194">
        <f>0</f>
      </c>
      <c r="I194">
        <f>-35755211/10^6</f>
      </c>
      <c r="J194">
        <f>0</f>
      </c>
    </row>
    <row r="195">
      <c r="A195" t="s">
        <v>204</v>
      </c>
      <c r="B195" t="s">
        <v>11</v>
      </c>
      <c r="C195">
        <f>115809109375/10^6</f>
      </c>
      <c r="D195">
        <f>0</f>
      </c>
      <c r="E195">
        <f>736512756/10^6</f>
      </c>
      <c r="F195">
        <f>0</f>
      </c>
      <c r="G195">
        <f>251184937/10^6</f>
      </c>
      <c r="H195">
        <f>0</f>
      </c>
      <c r="I195">
        <f>-35477634/10^6</f>
      </c>
      <c r="J195">
        <f>0</f>
      </c>
    </row>
    <row r="196">
      <c r="A196" t="s">
        <v>205</v>
      </c>
      <c r="B196" t="s">
        <v>11</v>
      </c>
      <c r="C196">
        <f>116260953125/10^6</f>
      </c>
      <c r="D196">
        <f>0</f>
      </c>
      <c r="E196">
        <f>734614441/10^6</f>
      </c>
      <c r="F196">
        <f>0</f>
      </c>
      <c r="G196">
        <f>25143689/10^5</f>
      </c>
      <c r="H196">
        <f>0</f>
      </c>
      <c r="I196">
        <f>-35222134/10^6</f>
      </c>
      <c r="J196">
        <f>0</f>
      </c>
    </row>
    <row r="197">
      <c r="A197" t="s">
        <v>206</v>
      </c>
      <c r="B197" t="s">
        <v>11</v>
      </c>
      <c r="C197">
        <f>116740375/10^3</f>
      </c>
      <c r="D197">
        <f>0</f>
      </c>
      <c r="E197">
        <f>73219574/10^5</f>
      </c>
      <c r="F197">
        <f>0</f>
      </c>
      <c r="G197">
        <f>251883774/10^6</f>
      </c>
      <c r="H197">
        <f>0</f>
      </c>
      <c r="I197">
        <f>-34829475/10^6</f>
      </c>
      <c r="J197">
        <f>0</f>
      </c>
    </row>
    <row r="198">
      <c r="A198" t="s">
        <v>207</v>
      </c>
      <c r="B198" t="s">
        <v>11</v>
      </c>
      <c r="C198">
        <f>117228078125/10^6</f>
      </c>
      <c r="D198">
        <f>0</f>
      </c>
      <c r="E198">
        <f>729662964/10^6</f>
      </c>
      <c r="F198">
        <f>0</f>
      </c>
      <c r="G198">
        <f>25222435/10^5</f>
      </c>
      <c r="H198">
        <f>0</f>
      </c>
      <c r="I198">
        <f>-34507607/10^6</f>
      </c>
      <c r="J198">
        <f>0</f>
      </c>
    </row>
    <row r="199">
      <c r="A199" t="s">
        <v>208</v>
      </c>
      <c r="B199" t="s">
        <v>11</v>
      </c>
      <c r="C199">
        <f>11775740625/10^5</f>
      </c>
      <c r="D199">
        <f>0</f>
      </c>
      <c r="E199">
        <f>727354736/10^6</f>
      </c>
      <c r="F199">
        <f>0</f>
      </c>
      <c r="G199">
        <f>25247789/10^5</f>
      </c>
      <c r="H199">
        <f>0</f>
      </c>
      <c r="I199">
        <f>-341507/10^4</f>
      </c>
      <c r="J199">
        <f>0</f>
      </c>
    </row>
    <row r="200">
      <c r="A200" t="s">
        <v>209</v>
      </c>
      <c r="B200" t="s">
        <v>11</v>
      </c>
      <c r="C200">
        <f>118357632813/10^6</f>
      </c>
      <c r="D200">
        <f>0</f>
      </c>
      <c r="E200">
        <f>724785767/10^6</f>
      </c>
      <c r="F200">
        <f>0</f>
      </c>
      <c r="G200">
        <f>252728912/10^6</f>
      </c>
      <c r="H200">
        <f>0</f>
      </c>
      <c r="I200">
        <f>-33749432/10^6</f>
      </c>
      <c r="J200">
        <f>0</f>
      </c>
    </row>
    <row r="201">
      <c r="A201" t="s">
        <v>210</v>
      </c>
      <c r="B201" t="s">
        <v>11</v>
      </c>
      <c r="C201">
        <f>119070195313/10^6</f>
      </c>
      <c r="D201">
        <f>0</f>
      </c>
      <c r="E201">
        <f>721499146/10^6</f>
      </c>
      <c r="F201">
        <f>0</f>
      </c>
      <c r="G201">
        <f>253062042/10^6</f>
      </c>
      <c r="H201">
        <f>0</f>
      </c>
      <c r="I201">
        <f>-33420162/10^6</f>
      </c>
      <c r="J201">
        <f>0</f>
      </c>
    </row>
    <row r="202">
      <c r="A202" t="s">
        <v>211</v>
      </c>
      <c r="B202" t="s">
        <v>11</v>
      </c>
      <c r="C202">
        <f>119894273438/10^6</f>
      </c>
      <c r="D202">
        <f>0</f>
      </c>
      <c r="E202">
        <f>717668823/10^6</f>
      </c>
      <c r="F202">
        <f>0</f>
      </c>
      <c r="G202">
        <f>25360643/10^5</f>
      </c>
      <c r="H202">
        <f>0</f>
      </c>
      <c r="I202">
        <f>-33086983/10^6</f>
      </c>
      <c r="J202">
        <f>0</f>
      </c>
    </row>
    <row r="203">
      <c r="A203" t="s">
        <v>212</v>
      </c>
      <c r="B203" t="s">
        <v>11</v>
      </c>
      <c r="C203">
        <f>12075615625/10^5</f>
      </c>
      <c r="D203">
        <f>0</f>
      </c>
      <c r="E203">
        <f>713523315/10^6</f>
      </c>
      <c r="F203">
        <f>0</f>
      </c>
      <c r="G203">
        <f>253997086/10^6</f>
      </c>
      <c r="H203">
        <f>0</f>
      </c>
      <c r="I203">
        <f>-32752796/10^6</f>
      </c>
      <c r="J203">
        <f>0</f>
      </c>
    </row>
    <row r="204">
      <c r="A204" t="s">
        <v>213</v>
      </c>
      <c r="B204" t="s">
        <v>11</v>
      </c>
      <c r="C204">
        <f>121612101563/10^6</f>
      </c>
      <c r="D204">
        <f>0</f>
      </c>
      <c r="E204">
        <f>708994873/10^6</f>
      </c>
      <c r="F204">
        <f>0</f>
      </c>
      <c r="G204">
        <f>254306625/10^6</f>
      </c>
      <c r="H204">
        <f>0</f>
      </c>
      <c r="I204">
        <f>-32118843/10^6</f>
      </c>
      <c r="J204">
        <f>0</f>
      </c>
    </row>
    <row r="205">
      <c r="A205" t="s">
        <v>214</v>
      </c>
      <c r="B205" t="s">
        <v>11</v>
      </c>
      <c r="C205">
        <f>122401273438/10^6</f>
      </c>
      <c r="D205">
        <f>0</f>
      </c>
      <c r="E205">
        <f>704429688/10^6</f>
      </c>
      <c r="F205">
        <f>0</f>
      </c>
      <c r="G205">
        <f>254704086/10^6</f>
      </c>
      <c r="H205">
        <f>0</f>
      </c>
      <c r="I205">
        <f>-31431686/10^6</f>
      </c>
      <c r="J205">
        <f>0</f>
      </c>
    </row>
    <row r="206">
      <c r="A206" t="s">
        <v>215</v>
      </c>
      <c r="B206" t="s">
        <v>11</v>
      </c>
      <c r="C206">
        <f>123007742188/10^6</f>
      </c>
      <c r="D206">
        <f>0</f>
      </c>
      <c r="E206">
        <f>700664185/10^6</f>
      </c>
      <c r="F206">
        <f>0</f>
      </c>
      <c r="G206">
        <f>254792465/10^6</f>
      </c>
      <c r="H206">
        <f>0</f>
      </c>
      <c r="I206">
        <f>-30951782/10^6</f>
      </c>
      <c r="J206">
        <f>0</f>
      </c>
    </row>
    <row r="207">
      <c r="A207" t="s">
        <v>216</v>
      </c>
      <c r="B207" t="s">
        <v>11</v>
      </c>
      <c r="C207">
        <f>123372421875/10^6</f>
      </c>
      <c r="D207">
        <f>0</f>
      </c>
      <c r="E207">
        <f>69802771/10^5</f>
      </c>
      <c r="F207">
        <f>0</f>
      </c>
      <c r="G207">
        <f>254729294/10^6</f>
      </c>
      <c r="H207">
        <f>0</f>
      </c>
      <c r="I207">
        <f>-30224453/10^6</f>
      </c>
      <c r="J207">
        <f>0</f>
      </c>
    </row>
    <row r="208">
      <c r="A208" t="s">
        <v>217</v>
      </c>
      <c r="B208" t="s">
        <v>11</v>
      </c>
      <c r="C208">
        <f>123541195313/10^6</f>
      </c>
      <c r="D208">
        <f>0</f>
      </c>
      <c r="E208">
        <f>696297852/10^6</f>
      </c>
      <c r="F208">
        <f>0</f>
      </c>
      <c r="G208">
        <f>254711533/10^6</f>
      </c>
      <c r="H208">
        <f>0</f>
      </c>
      <c r="I208">
        <f>-2969945/10^5</f>
      </c>
      <c r="J208">
        <f>0</f>
      </c>
    </row>
    <row r="209">
      <c r="A209" t="s">
        <v>218</v>
      </c>
      <c r="B209" t="s">
        <v>11</v>
      </c>
      <c r="C209">
        <f>123635703125/10^6</f>
      </c>
      <c r="D209">
        <f>0</f>
      </c>
      <c r="E209">
        <f>695223083/10^6</f>
      </c>
      <c r="F209">
        <f>0</f>
      </c>
      <c r="G209">
        <f>254415344/10^6</f>
      </c>
      <c r="H209">
        <f>0</f>
      </c>
      <c r="I209">
        <f>-29719032/10^6</f>
      </c>
      <c r="J209">
        <f>0</f>
      </c>
    </row>
    <row r="210">
      <c r="A210" t="s">
        <v>219</v>
      </c>
      <c r="B210" t="s">
        <v>11</v>
      </c>
      <c r="C210">
        <f>123732984375/10^6</f>
      </c>
      <c r="D210">
        <f>0</f>
      </c>
      <c r="E210">
        <f>694454041/10^6</f>
      </c>
      <c r="F210">
        <f>0</f>
      </c>
      <c r="G210">
        <f>254024933/10^6</f>
      </c>
      <c r="H210">
        <f>0</f>
      </c>
      <c r="I210">
        <f>-29733526/10^6</f>
      </c>
      <c r="J210">
        <f>0</f>
      </c>
    </row>
    <row r="211">
      <c r="A211" t="s">
        <v>220</v>
      </c>
      <c r="B211" t="s">
        <v>11</v>
      </c>
      <c r="C211">
        <f>123796398438/10^6</f>
      </c>
      <c r="D211">
        <f>0</f>
      </c>
      <c r="E211">
        <f>693907532/10^6</f>
      </c>
      <c r="F211">
        <f>0</f>
      </c>
      <c r="G211">
        <f>253896912/10^6</f>
      </c>
      <c r="H211">
        <f>0</f>
      </c>
      <c r="I211">
        <f>-29748278/10^6</f>
      </c>
      <c r="J211">
        <f>0</f>
      </c>
    </row>
    <row r="212">
      <c r="A212" t="s">
        <v>221</v>
      </c>
      <c r="B212" t="s">
        <v>11</v>
      </c>
      <c r="C212">
        <f>123762796875/10^6</f>
      </c>
      <c r="D212">
        <f>0</f>
      </c>
      <c r="E212">
        <f>693714905/10^6</f>
      </c>
      <c r="F212">
        <f>0</f>
      </c>
      <c r="G212">
        <f>253917267/10^6</f>
      </c>
      <c r="H212">
        <f>0</f>
      </c>
      <c r="I212">
        <f>-29878996/10^6</f>
      </c>
      <c r="J212">
        <f>0</f>
      </c>
    </row>
    <row r="213">
      <c r="A213" t="s">
        <v>222</v>
      </c>
      <c r="B213" t="s">
        <v>11</v>
      </c>
      <c r="C213">
        <f>123640890625/10^6</f>
      </c>
      <c r="D213">
        <f>0</f>
      </c>
      <c r="E213">
        <f>693568176/10^6</f>
      </c>
      <c r="F213">
        <f>0</f>
      </c>
      <c r="G213">
        <f>253855103/10^6</f>
      </c>
      <c r="H213">
        <f>0</f>
      </c>
      <c r="I213">
        <f>-29989334/10^6</f>
      </c>
      <c r="J213">
        <f>0</f>
      </c>
    </row>
    <row r="214">
      <c r="A214" t="s">
        <v>223</v>
      </c>
      <c r="B214" t="s">
        <v>11</v>
      </c>
      <c r="C214">
        <f>123492453125/10^6</f>
      </c>
      <c r="D214">
        <f>0</f>
      </c>
      <c r="E214">
        <f>693506714/10^6</f>
      </c>
      <c r="F214">
        <f>0</f>
      </c>
      <c r="G214">
        <f>253540558/10^6</f>
      </c>
      <c r="H214">
        <f>0</f>
      </c>
      <c r="I214">
        <f>-30118166/10^6</f>
      </c>
      <c r="J214">
        <f>0</f>
      </c>
    </row>
    <row r="215">
      <c r="A215" t="s">
        <v>224</v>
      </c>
      <c r="B215" t="s">
        <v>11</v>
      </c>
      <c r="C215">
        <f>123313429688/10^6</f>
      </c>
      <c r="D215">
        <f>0</f>
      </c>
      <c r="E215">
        <f>694037354/10^6</f>
      </c>
      <c r="F215">
        <f>0</f>
      </c>
      <c r="G215">
        <f>253188538/10^6</f>
      </c>
      <c r="H215">
        <f>0</f>
      </c>
      <c r="I215">
        <f>-30222288/10^6</f>
      </c>
      <c r="J215">
        <f>0</f>
      </c>
    </row>
    <row r="216">
      <c r="A216" t="s">
        <v>225</v>
      </c>
      <c r="B216" t="s">
        <v>11</v>
      </c>
      <c r="C216">
        <f>123074164063/10^6</f>
      </c>
      <c r="D216">
        <f>0</f>
      </c>
      <c r="E216">
        <f>695109741/10^6</f>
      </c>
      <c r="F216">
        <f>0</f>
      </c>
      <c r="G216">
        <f>25301535/10^5</f>
      </c>
      <c r="H216">
        <f>0</f>
      </c>
      <c r="I216">
        <f>-30470226/10^6</f>
      </c>
      <c r="J216">
        <f>0</f>
      </c>
    </row>
    <row r="217">
      <c r="A217" t="s">
        <v>226</v>
      </c>
      <c r="B217" t="s">
        <v>11</v>
      </c>
      <c r="C217">
        <f>122804539063/10^6</f>
      </c>
      <c r="D217">
        <f>0</f>
      </c>
      <c r="E217">
        <f>696549866/10^6</f>
      </c>
      <c r="F217">
        <f>0</f>
      </c>
      <c r="G217">
        <f>252829056/10^6</f>
      </c>
      <c r="H217">
        <f>0</f>
      </c>
      <c r="I217">
        <f>-30938765/10^6</f>
      </c>
      <c r="J217">
        <f>0</f>
      </c>
    </row>
    <row r="218">
      <c r="A218" t="s">
        <v>227</v>
      </c>
      <c r="B218" t="s">
        <v>11</v>
      </c>
      <c r="C218">
        <f>1225124375/10^4</f>
      </c>
      <c r="D218">
        <f>0</f>
      </c>
      <c r="E218">
        <f>698239319/10^6</f>
      </c>
      <c r="F218">
        <f>0</f>
      </c>
      <c r="G218">
        <f>252663239/10^6</f>
      </c>
      <c r="H218">
        <f>0</f>
      </c>
      <c r="I218">
        <f>-31296738/10^6</f>
      </c>
      <c r="J218">
        <f>0</f>
      </c>
    </row>
    <row r="219">
      <c r="A219" t="s">
        <v>228</v>
      </c>
      <c r="B219" t="s">
        <v>11</v>
      </c>
      <c r="C219">
        <f>122203804688/10^6</f>
      </c>
      <c r="D219">
        <f>0</f>
      </c>
      <c r="E219">
        <f>699793396/10^6</f>
      </c>
      <c r="F219">
        <f>0</f>
      </c>
      <c r="G219">
        <f>252614532/10^6</f>
      </c>
      <c r="H219">
        <f>0</f>
      </c>
      <c r="I219">
        <f>-31612137/10^6</f>
      </c>
      <c r="J219">
        <f>0</f>
      </c>
    </row>
    <row r="220">
      <c r="A220" t="s">
        <v>229</v>
      </c>
      <c r="B220" t="s">
        <v>11</v>
      </c>
      <c r="C220">
        <f>121919164063/10^6</f>
      </c>
      <c r="D220">
        <f>0</f>
      </c>
      <c r="E220">
        <f>701193848/10^6</f>
      </c>
      <c r="F220">
        <f>0</f>
      </c>
      <c r="G220">
        <f>252580353/10^6</f>
      </c>
      <c r="H220">
        <f>0</f>
      </c>
      <c r="I220">
        <f>-31929405/10^6</f>
      </c>
      <c r="J220">
        <f>0</f>
      </c>
    </row>
    <row r="221">
      <c r="A221" t="s">
        <v>230</v>
      </c>
      <c r="B221" t="s">
        <v>11</v>
      </c>
      <c r="C221">
        <f>121636335938/10^6</f>
      </c>
      <c r="D221">
        <f>0</f>
      </c>
      <c r="E221">
        <f>70270343/10^5</f>
      </c>
      <c r="F221">
        <f>0</f>
      </c>
      <c r="G221">
        <f>252495636/10^6</f>
      </c>
      <c r="H221">
        <f>0</f>
      </c>
      <c r="I221">
        <f>-32315403/10^6</f>
      </c>
      <c r="J221">
        <f>0</f>
      </c>
    </row>
    <row r="222">
      <c r="A222" t="s">
        <v>231</v>
      </c>
      <c r="B222" t="s">
        <v>11</v>
      </c>
      <c r="C222">
        <f>121330914063/10^6</f>
      </c>
      <c r="D222">
        <f>0</f>
      </c>
      <c r="E222">
        <f>704260681/10^6</f>
      </c>
      <c r="F222">
        <f>0</f>
      </c>
      <c r="G222">
        <f>252358475/10^6</f>
      </c>
      <c r="H222">
        <f>0</f>
      </c>
      <c r="I222">
        <f>-32956062/10^6</f>
      </c>
      <c r="J222">
        <f>0</f>
      </c>
    </row>
    <row r="223">
      <c r="A223" t="s">
        <v>232</v>
      </c>
      <c r="B223" t="s">
        <v>11</v>
      </c>
      <c r="C223">
        <f>121061085938/10^6</f>
      </c>
      <c r="D223">
        <f>0</f>
      </c>
      <c r="E223">
        <f>705757202/10^6</f>
      </c>
      <c r="F223">
        <f>0</f>
      </c>
      <c r="G223">
        <f>25225618/10^5</f>
      </c>
      <c r="H223">
        <f>0</f>
      </c>
      <c r="I223">
        <f>-33431496/10^6</f>
      </c>
      <c r="J223">
        <f>0</f>
      </c>
    </row>
    <row r="224">
      <c r="A224" t="s">
        <v>233</v>
      </c>
      <c r="B224" t="s">
        <v>11</v>
      </c>
      <c r="C224">
        <f>120831945313/10^6</f>
      </c>
      <c r="D224">
        <f>0</f>
      </c>
      <c r="E224">
        <f>707150757/10^6</f>
      </c>
      <c r="F224">
        <f>0</f>
      </c>
      <c r="G224">
        <f>252187973/10^6</f>
      </c>
      <c r="H224">
        <f>0</f>
      </c>
      <c r="I224">
        <f>-33695484/10^6</f>
      </c>
      <c r="J224">
        <f>0</f>
      </c>
    </row>
    <row r="225">
      <c r="A225" t="s">
        <v>234</v>
      </c>
      <c r="B225" t="s">
        <v>11</v>
      </c>
      <c r="C225">
        <f>120579734375/10^6</f>
      </c>
      <c r="D225">
        <f>0</f>
      </c>
      <c r="E225">
        <f>708417725/10^6</f>
      </c>
      <c r="F225">
        <f>0</f>
      </c>
      <c r="G225">
        <f>252121429/10^6</f>
      </c>
      <c r="H225">
        <f>0</f>
      </c>
      <c r="I225">
        <f>-33980736/10^6</f>
      </c>
      <c r="J225">
        <f>0</f>
      </c>
    </row>
    <row r="226">
      <c r="A226" t="s">
        <v>235</v>
      </c>
      <c r="B226" t="s">
        <v>11</v>
      </c>
      <c r="C226">
        <f>12033271875/10^5</f>
      </c>
      <c r="D226">
        <f>0</f>
      </c>
      <c r="E226">
        <f>709715332/10^6</f>
      </c>
      <c r="F226">
        <f>0</f>
      </c>
      <c r="G226">
        <f>252042496/10^6</f>
      </c>
      <c r="H226">
        <f>0</f>
      </c>
      <c r="I226">
        <f>-34265659/10^6</f>
      </c>
      <c r="J226">
        <f>0</f>
      </c>
    </row>
    <row r="227">
      <c r="A227" t="s">
        <v>236</v>
      </c>
      <c r="B227" t="s">
        <v>11</v>
      </c>
      <c r="C227">
        <f>12014753125/10^5</f>
      </c>
      <c r="D227">
        <f>0</f>
      </c>
      <c r="E227">
        <f>710961548/10^6</f>
      </c>
      <c r="F227">
        <f>0</f>
      </c>
      <c r="G227">
        <f>251888733/10^6</f>
      </c>
      <c r="H227">
        <f>0</f>
      </c>
      <c r="I227">
        <f>-34629482/10^6</f>
      </c>
      <c r="J227">
        <f>0</f>
      </c>
    </row>
    <row r="228">
      <c r="A228" t="s">
        <v>237</v>
      </c>
      <c r="B228" t="s">
        <v>11</v>
      </c>
      <c r="C228">
        <f>119987328125/10^6</f>
      </c>
      <c r="D228">
        <f>0</f>
      </c>
      <c r="E228">
        <f>712002014/10^6</f>
      </c>
      <c r="F228">
        <f>0</f>
      </c>
      <c r="G228">
        <f>251791611/10^6</f>
      </c>
      <c r="H228">
        <f>0</f>
      </c>
      <c r="I228">
        <f>-34919403/10^6</f>
      </c>
      <c r="J228">
        <f>0</f>
      </c>
    </row>
    <row r="229">
      <c r="A229" t="s">
        <v>238</v>
      </c>
      <c r="B229" t="s">
        <v>11</v>
      </c>
      <c r="C229">
        <f>119815304688/10^6</f>
      </c>
      <c r="D229">
        <f>0</f>
      </c>
      <c r="E229">
        <f>712982361/10^6</f>
      </c>
      <c r="F229">
        <f>0</f>
      </c>
      <c r="G229">
        <f>251846344/10^6</f>
      </c>
      <c r="H229">
        <f>0</f>
      </c>
      <c r="I229">
        <f>-35175491/10^6</f>
      </c>
      <c r="J229">
        <f>0</f>
      </c>
    </row>
    <row r="230">
      <c r="A230" t="s">
        <v>239</v>
      </c>
      <c r="B230" t="s">
        <v>11</v>
      </c>
      <c r="C230">
        <f>119655398438/10^6</f>
      </c>
      <c r="D230">
        <f>0</f>
      </c>
      <c r="E230">
        <f>713952271/10^6</f>
      </c>
      <c r="F230">
        <f>0</f>
      </c>
      <c r="G230">
        <f>251904221/10^6</f>
      </c>
      <c r="H230">
        <f>0</f>
      </c>
      <c r="I230">
        <f>-35471001/10^6</f>
      </c>
      <c r="J230">
        <f>0</f>
      </c>
    </row>
    <row r="231">
      <c r="A231" t="s">
        <v>240</v>
      </c>
      <c r="B231" t="s">
        <v>11</v>
      </c>
      <c r="C231">
        <f>11953196875/10^5</f>
      </c>
      <c r="D231">
        <f>0</f>
      </c>
      <c r="E231">
        <f>714910034/10^6</f>
      </c>
      <c r="F231">
        <f>0</f>
      </c>
      <c r="G231">
        <f>251935425/10^6</f>
      </c>
      <c r="H231">
        <f>0</f>
      </c>
      <c r="I231">
        <f>-35648464/10^6</f>
      </c>
      <c r="J231">
        <f>0</f>
      </c>
    </row>
    <row r="232">
      <c r="A232" t="s">
        <v>241</v>
      </c>
      <c r="B232" t="s">
        <v>11</v>
      </c>
      <c r="C232">
        <f>119450890625/10^6</f>
      </c>
      <c r="D232">
        <f>0</f>
      </c>
      <c r="E232">
        <f>715723511/10^6</f>
      </c>
      <c r="F232">
        <f>0</f>
      </c>
      <c r="G232">
        <f>252008881/10^6</f>
      </c>
      <c r="H232">
        <f>0</f>
      </c>
      <c r="I232">
        <f>-3580265/10^5</f>
      </c>
      <c r="J232">
        <f>0</f>
      </c>
    </row>
    <row r="233">
      <c r="A233" t="s">
        <v>242</v>
      </c>
      <c r="B233" t="s">
        <v>11</v>
      </c>
      <c r="C233">
        <f>119398289063/10^6</f>
      </c>
      <c r="D233">
        <f>0</f>
      </c>
      <c r="E233">
        <f>716121033/10^6</f>
      </c>
      <c r="F233">
        <f>0</f>
      </c>
      <c r="G233">
        <f>252053299/10^6</f>
      </c>
      <c r="H233">
        <f>0</f>
      </c>
      <c r="I233">
        <f>-35956867/10^6</f>
      </c>
      <c r="J233">
        <f>0</f>
      </c>
    </row>
    <row r="234">
      <c r="A234" t="s">
        <v>243</v>
      </c>
      <c r="B234" t="s">
        <v>11</v>
      </c>
      <c r="C234">
        <f>119311148438/10^6</f>
      </c>
      <c r="D234">
        <f>0</f>
      </c>
      <c r="E234">
        <f>716501953/10^6</f>
      </c>
      <c r="F234">
        <f>0</f>
      </c>
      <c r="G234">
        <f>252047928/10^6</f>
      </c>
      <c r="H234">
        <f>0</f>
      </c>
      <c r="I234">
        <f>-36071129/10^6</f>
      </c>
      <c r="J234">
        <f>0</f>
      </c>
    </row>
    <row r="235">
      <c r="A235" t="s">
        <v>244</v>
      </c>
      <c r="B235" t="s">
        <v>11</v>
      </c>
      <c r="C235">
        <f>119143171875/10^6</f>
      </c>
      <c r="D235">
        <f>0</f>
      </c>
      <c r="E235">
        <f>717438293/10^6</f>
      </c>
      <c r="F235">
        <f>0</f>
      </c>
      <c r="G235">
        <f>25206369/10^5</f>
      </c>
      <c r="H235">
        <f>0</f>
      </c>
      <c r="I235">
        <f>-36165249/10^6</f>
      </c>
      <c r="J235">
        <f>0</f>
      </c>
    </row>
    <row r="236">
      <c r="A236" t="s">
        <v>245</v>
      </c>
      <c r="B236" t="s">
        <v>11</v>
      </c>
      <c r="C236">
        <f>118937484375/10^6</f>
      </c>
      <c r="D236">
        <f>0</f>
      </c>
      <c r="E236">
        <f>718644592/10^6</f>
      </c>
      <c r="F236">
        <f>0</f>
      </c>
      <c r="G236">
        <f>252012772/10^6</f>
      </c>
      <c r="H236">
        <f>0</f>
      </c>
      <c r="I236">
        <f>-36347088/10^6</f>
      </c>
      <c r="J236">
        <f>0</f>
      </c>
    </row>
    <row r="237">
      <c r="A237" t="s">
        <v>246</v>
      </c>
      <c r="B237" t="s">
        <v>11</v>
      </c>
      <c r="C237">
        <f>118730015625/10^6</f>
      </c>
      <c r="D237">
        <f>0</f>
      </c>
      <c r="E237">
        <f>719865662/10^6</f>
      </c>
      <c r="F237">
        <f>0</f>
      </c>
      <c r="G237">
        <f>251845688/10^6</f>
      </c>
      <c r="H237">
        <f>0</f>
      </c>
      <c r="I237">
        <f>-36651493/10^6</f>
      </c>
      <c r="J237">
        <f>0</f>
      </c>
    </row>
    <row r="238">
      <c r="A238" t="s">
        <v>247</v>
      </c>
      <c r="B238" t="s">
        <v>11</v>
      </c>
      <c r="C238">
        <f>118514960938/10^6</f>
      </c>
      <c r="D238">
        <f>0</f>
      </c>
      <c r="E238">
        <f>721317261/10^6</f>
      </c>
      <c r="F238">
        <f>0</f>
      </c>
      <c r="G238">
        <f>251740784/10^6</f>
      </c>
      <c r="H238">
        <f>0</f>
      </c>
      <c r="I238">
        <f>-36888081/10^6</f>
      </c>
      <c r="J238">
        <f>0</f>
      </c>
    </row>
    <row r="239">
      <c r="A239" t="s">
        <v>248</v>
      </c>
      <c r="B239" t="s">
        <v>11</v>
      </c>
      <c r="C239">
        <f>118310914063/10^6</f>
      </c>
      <c r="D239">
        <f>0</f>
      </c>
      <c r="E239">
        <f>722750671/10^6</f>
      </c>
      <c r="F239">
        <f>0</f>
      </c>
      <c r="G239">
        <f>251774139/10^6</f>
      </c>
      <c r="H239">
        <f>0</f>
      </c>
      <c r="I239">
        <f>-37142239/10^6</f>
      </c>
      <c r="J239">
        <f>0</f>
      </c>
    </row>
    <row r="240">
      <c r="A240" t="s">
        <v>249</v>
      </c>
      <c r="B240" t="s">
        <v>11</v>
      </c>
      <c r="C240">
        <f>118123125/10^3</f>
      </c>
      <c r="D240">
        <f>0</f>
      </c>
      <c r="E240">
        <f>723787109/10^6</f>
      </c>
      <c r="F240">
        <f>0</f>
      </c>
      <c r="G240">
        <f>251823441/10^6</f>
      </c>
      <c r="H240">
        <f>0</f>
      </c>
      <c r="I240">
        <f>-3742358/10^5</f>
      </c>
      <c r="J240">
        <f>0</f>
      </c>
    </row>
    <row r="241">
      <c r="A241" t="s">
        <v>250</v>
      </c>
      <c r="B241" t="s">
        <v>11</v>
      </c>
      <c r="C241">
        <f>117934328125/10^6</f>
      </c>
      <c r="D241">
        <f>0</f>
      </c>
      <c r="E241">
        <f>724660767/10^6</f>
      </c>
      <c r="F241">
        <f>0</f>
      </c>
      <c r="G241">
        <f>251772095/10^6</f>
      </c>
      <c r="H241">
        <f>0</f>
      </c>
      <c r="I241">
        <f>-37666088/10^6</f>
      </c>
      <c r="J241">
        <f>0</f>
      </c>
    </row>
    <row r="242">
      <c r="A242" t="s">
        <v>251</v>
      </c>
      <c r="B242" t="s">
        <v>11</v>
      </c>
      <c r="C242">
        <f>117728171875/10^6</f>
      </c>
      <c r="D242">
        <f>0</f>
      </c>
      <c r="E242">
        <f>72572583/10^5</f>
      </c>
      <c r="F242">
        <f>0</f>
      </c>
      <c r="G242">
        <f>251673004/10^6</f>
      </c>
      <c r="H242">
        <f>0</f>
      </c>
      <c r="I242">
        <f>-37961815/10^6</f>
      </c>
      <c r="J242">
        <f>0</f>
      </c>
    </row>
    <row r="243">
      <c r="A243" t="s">
        <v>252</v>
      </c>
      <c r="B243" t="s">
        <v>11</v>
      </c>
      <c r="C243">
        <f>117473148438/10^6</f>
      </c>
      <c r="D243">
        <f>0</f>
      </c>
      <c r="E243">
        <f>727075623/10^6</f>
      </c>
      <c r="F243">
        <f>0</f>
      </c>
      <c r="G243">
        <f>251592392/10^6</f>
      </c>
      <c r="H243">
        <f>0</f>
      </c>
      <c r="I243">
        <f>-38233429/10^6</f>
      </c>
      <c r="J243">
        <f>0</f>
      </c>
    </row>
    <row r="244">
      <c r="A244" t="s">
        <v>253</v>
      </c>
      <c r="B244" t="s">
        <v>11</v>
      </c>
      <c r="C244">
        <f>117167414063/10^6</f>
      </c>
      <c r="D244">
        <f>0</f>
      </c>
      <c r="E244">
        <f>728701294/10^6</f>
      </c>
      <c r="F244">
        <f>0</f>
      </c>
      <c r="G244">
        <f>251444107/10^6</f>
      </c>
      <c r="H244">
        <f>0</f>
      </c>
      <c r="I244">
        <f>-38541405/10^6</f>
      </c>
      <c r="J244">
        <f>0</f>
      </c>
    </row>
    <row r="245">
      <c r="A245" t="s">
        <v>254</v>
      </c>
      <c r="B245" t="s">
        <v>11</v>
      </c>
      <c r="C245">
        <f>116825539063/10^6</f>
      </c>
      <c r="D245">
        <f>0</f>
      </c>
      <c r="E245">
        <f>730512512/10^6</f>
      </c>
      <c r="F245">
        <f>0</f>
      </c>
      <c r="G245">
        <f>251286163/10^6</f>
      </c>
      <c r="H245">
        <f>0</f>
      </c>
      <c r="I245">
        <f>-38832954/10^6</f>
      </c>
      <c r="J245">
        <f>0</f>
      </c>
    </row>
    <row r="246">
      <c r="A246" t="s">
        <v>255</v>
      </c>
      <c r="B246" t="s">
        <v>11</v>
      </c>
      <c r="C246">
        <f>11644053125/10^5</f>
      </c>
      <c r="D246">
        <f>0</f>
      </c>
      <c r="E246">
        <f>732381104/10^6</f>
      </c>
      <c r="F246">
        <f>0</f>
      </c>
      <c r="G246">
        <f>251115189/10^6</f>
      </c>
      <c r="H246">
        <f>0</f>
      </c>
      <c r="I246">
        <f>-39226353/10^6</f>
      </c>
      <c r="J246">
        <f>0</f>
      </c>
    </row>
    <row r="247">
      <c r="A247" t="s">
        <v>256</v>
      </c>
      <c r="B247" t="s">
        <v>11</v>
      </c>
      <c r="C247">
        <f>116007210938/10^6</f>
      </c>
      <c r="D247">
        <f>0</f>
      </c>
      <c r="E247">
        <f>735047729/10^6</f>
      </c>
      <c r="F247">
        <f>0</f>
      </c>
      <c r="G247">
        <f>250874207/10^6</f>
      </c>
      <c r="H247">
        <f>0</f>
      </c>
      <c r="I247">
        <f>-39921799/10^6</f>
      </c>
      <c r="J247">
        <f>0</f>
      </c>
    </row>
    <row r="248">
      <c r="A248" t="s">
        <v>257</v>
      </c>
      <c r="B248" t="s">
        <v>11</v>
      </c>
      <c r="C248">
        <f>115566632813/10^6</f>
      </c>
      <c r="D248">
        <f>0</f>
      </c>
      <c r="E248">
        <f>737678772/10^6</f>
      </c>
      <c r="F248">
        <f>0</f>
      </c>
      <c r="G248">
        <f>250685684/10^6</f>
      </c>
      <c r="H248">
        <f>0</f>
      </c>
      <c r="I248">
        <f>-40363628/10^6</f>
      </c>
      <c r="J248">
        <f>0</f>
      </c>
    </row>
    <row r="249">
      <c r="A249" t="s">
        <v>258</v>
      </c>
      <c r="B249" t="s">
        <v>11</v>
      </c>
      <c r="C249">
        <f>115273421875/10^6</f>
      </c>
      <c r="D249">
        <f>0</f>
      </c>
      <c r="E249">
        <f>736777283/10^6</f>
      </c>
      <c r="F249">
        <f>0</f>
      </c>
      <c r="G249">
        <f>250364609/10^6</f>
      </c>
      <c r="H249">
        <f>0</f>
      </c>
      <c r="I249">
        <f>-4073534/10^5</f>
      </c>
      <c r="J249">
        <f>0</f>
      </c>
    </row>
    <row r="250">
      <c r="A250" t="s">
        <v>259</v>
      </c>
      <c r="B250" t="s">
        <v>11</v>
      </c>
      <c r="C250">
        <f>115175140625/10^6</f>
      </c>
      <c r="D250">
        <f>0</f>
      </c>
      <c r="E250">
        <f>734538818/10^6</f>
      </c>
      <c r="F250">
        <f>0</f>
      </c>
      <c r="G250">
        <f>24995076/10^5</f>
      </c>
      <c r="H250">
        <f>0</f>
      </c>
      <c r="I250">
        <f>-41392075/10^6</f>
      </c>
      <c r="J250">
        <f>0</f>
      </c>
    </row>
    <row r="251">
      <c r="A251" t="s">
        <v>260</v>
      </c>
      <c r="B251" t="s">
        <v>11</v>
      </c>
      <c r="C251">
        <f>115047132813/10^6</f>
      </c>
      <c r="D251">
        <f>0</f>
      </c>
      <c r="E251">
        <f>736508362/10^6</f>
      </c>
      <c r="F251">
        <f>0</f>
      </c>
      <c r="G251">
        <f>249880463/10^6</f>
      </c>
      <c r="H251">
        <f>0</f>
      </c>
      <c r="I251">
        <f>-41085888/10^6</f>
      </c>
      <c r="J251">
        <f>0</f>
      </c>
    </row>
    <row r="252">
      <c r="A252" t="s">
        <v>261</v>
      </c>
      <c r="B252" t="s">
        <v>11</v>
      </c>
      <c r="C252">
        <f>114793351563/10^6</f>
      </c>
      <c r="D252">
        <f>0</f>
      </c>
      <c r="E252">
        <f>740553101/10^6</f>
      </c>
      <c r="F252">
        <f>0</f>
      </c>
      <c r="G252">
        <f>249988129/10^6</f>
      </c>
      <c r="H252">
        <f>0</f>
      </c>
      <c r="I252">
        <f>-39660332/10^6</f>
      </c>
      <c r="J252">
        <f>0</f>
      </c>
    </row>
    <row r="253">
      <c r="A253" t="s">
        <v>262</v>
      </c>
      <c r="B253" t="s">
        <v>11</v>
      </c>
      <c r="C253">
        <f>114577085938/10^6</f>
      </c>
      <c r="D253">
        <f>0</f>
      </c>
      <c r="E253">
        <f>742628723/10^6</f>
      </c>
      <c r="F253">
        <f>0</f>
      </c>
      <c r="G253">
        <f>250019455/10^6</f>
      </c>
      <c r="H253">
        <f>0</f>
      </c>
      <c r="I253">
        <f>-38842472/10^6</f>
      </c>
      <c r="J253">
        <f>0</f>
      </c>
    </row>
    <row r="254">
      <c r="A254" t="s">
        <v>263</v>
      </c>
      <c r="B254" t="s">
        <v>11</v>
      </c>
      <c r="C254">
        <f>114472484375/10^6</f>
      </c>
      <c r="D254">
        <f>0</f>
      </c>
      <c r="E254">
        <f>743384949/10^6</f>
      </c>
      <c r="F254">
        <f>0</f>
      </c>
      <c r="G254">
        <f>250177185/10^6</f>
      </c>
      <c r="H254">
        <f>0</f>
      </c>
      <c r="I254">
        <f>-38940845/10^6</f>
      </c>
      <c r="J254">
        <f>0</f>
      </c>
    </row>
    <row r="255">
      <c r="A255" t="s">
        <v>264</v>
      </c>
      <c r="B255" t="s">
        <v>11</v>
      </c>
      <c r="C255">
        <f>114410945313/10^6</f>
      </c>
      <c r="D255">
        <f>0</f>
      </c>
      <c r="E255">
        <f>743746521/10^6</f>
      </c>
      <c r="F255">
        <f>0</f>
      </c>
      <c r="G255">
        <f>250401215/10^6</f>
      </c>
      <c r="H255">
        <f>0</f>
      </c>
      <c r="I255">
        <f>-39018673/10^6</f>
      </c>
      <c r="J255">
        <f>0</f>
      </c>
    </row>
    <row r="256">
      <c r="A256" t="s">
        <v>265</v>
      </c>
      <c r="B256" t="s">
        <v>11</v>
      </c>
      <c r="C256">
        <f>114360515625/10^6</f>
      </c>
      <c r="D256">
        <f>0</f>
      </c>
      <c r="E256">
        <f>743821899/10^6</f>
      </c>
      <c r="F256">
        <f>0</f>
      </c>
      <c r="G256">
        <f>250448624/10^6</f>
      </c>
      <c r="H256">
        <f>0</f>
      </c>
      <c r="I256">
        <f>-38865013/10^6</f>
      </c>
      <c r="J256">
        <f>0</f>
      </c>
    </row>
    <row r="257">
      <c r="A257" t="s">
        <v>266</v>
      </c>
      <c r="B257" t="s">
        <v>11</v>
      </c>
      <c r="C257">
        <f>114348625/10^3</f>
      </c>
      <c r="D257">
        <f>0</f>
      </c>
      <c r="E257">
        <f>743862976/10^6</f>
      </c>
      <c r="F257">
        <f>0</f>
      </c>
      <c r="G257">
        <f>250385376/10^6</f>
      </c>
      <c r="H257">
        <f>0</f>
      </c>
      <c r="I257">
        <f>-38706257/10^6</f>
      </c>
      <c r="J257">
        <f>0</f>
      </c>
    </row>
    <row r="258">
      <c r="A258" t="s">
        <v>267</v>
      </c>
      <c r="B258" t="s">
        <v>11</v>
      </c>
      <c r="C258">
        <f>114392578125/10^6</f>
      </c>
      <c r="D258">
        <f>0</f>
      </c>
      <c r="E258">
        <f>743731079/10^6</f>
      </c>
      <c r="F258">
        <f>0</f>
      </c>
      <c r="G258">
        <f>250383926/10^6</f>
      </c>
      <c r="H258">
        <f>0</f>
      </c>
      <c r="I258">
        <f>-38572124/10^6</f>
      </c>
      <c r="J258">
        <f>0</f>
      </c>
    </row>
    <row r="259">
      <c r="A259" t="s">
        <v>268</v>
      </c>
      <c r="B259" t="s">
        <v>11</v>
      </c>
      <c r="C259">
        <f>114500351563/10^6</f>
      </c>
      <c r="D259">
        <f>0</f>
      </c>
      <c r="E259">
        <f>743159546/10^6</f>
      </c>
      <c r="F259">
        <f>0</f>
      </c>
      <c r="G259">
        <f>25047525/10^5</f>
      </c>
      <c r="H259">
        <f>0</f>
      </c>
      <c r="I259">
        <f>-38258293/10^6</f>
      </c>
      <c r="J259">
        <f>0</f>
      </c>
    </row>
    <row r="260">
      <c r="A260" t="s">
        <v>269</v>
      </c>
      <c r="B260" t="s">
        <v>11</v>
      </c>
      <c r="C260">
        <f>11466671875/10^5</f>
      </c>
      <c r="D260">
        <f>0</f>
      </c>
      <c r="E260">
        <f>742290222/10^6</f>
      </c>
      <c r="F260">
        <f>0</f>
      </c>
      <c r="G260">
        <f>25056076/10^5</f>
      </c>
      <c r="H260">
        <f>0</f>
      </c>
      <c r="I260">
        <f>-37908905/10^6</f>
      </c>
      <c r="J260">
        <f>0</f>
      </c>
    </row>
    <row r="261">
      <c r="A261" t="s">
        <v>270</v>
      </c>
      <c r="B261" t="s">
        <v>11</v>
      </c>
      <c r="C261">
        <f>114845546875/10^6</f>
      </c>
      <c r="D261">
        <f>0</f>
      </c>
      <c r="E261">
        <f>741582825/10^6</f>
      </c>
      <c r="F261">
        <f>0</f>
      </c>
      <c r="G261">
        <f>250653824/10^6</f>
      </c>
      <c r="H261">
        <f>0</f>
      </c>
      <c r="I261">
        <f>-37683918/10^6</f>
      </c>
      <c r="J261">
        <f>0</f>
      </c>
    </row>
    <row r="262">
      <c r="A262" t="s">
        <v>271</v>
      </c>
      <c r="B262" t="s">
        <v>11</v>
      </c>
      <c r="C262">
        <f>1150041875/10^4</f>
      </c>
      <c r="D262">
        <f>0</f>
      </c>
      <c r="E262">
        <f>740901733/10^6</f>
      </c>
      <c r="F262">
        <f>0</f>
      </c>
      <c r="G262">
        <f>250790833/10^6</f>
      </c>
      <c r="H262">
        <f>0</f>
      </c>
      <c r="I262">
        <f>-37339561/10^6</f>
      </c>
      <c r="J262">
        <f>0</f>
      </c>
    </row>
    <row r="263">
      <c r="A263" t="s">
        <v>272</v>
      </c>
      <c r="B263" t="s">
        <v>11</v>
      </c>
      <c r="C263">
        <f>115178640625/10^6</f>
      </c>
      <c r="D263">
        <f>0</f>
      </c>
      <c r="E263">
        <f>740041504/10^6</f>
      </c>
      <c r="F263">
        <f>0</f>
      </c>
      <c r="G263">
        <f>250905731/10^6</f>
      </c>
      <c r="H263">
        <f>0</f>
      </c>
      <c r="I263">
        <f>-3707972/10^5</f>
      </c>
      <c r="J263">
        <f>0</f>
      </c>
    </row>
    <row r="264">
      <c r="A264" t="s">
        <v>273</v>
      </c>
      <c r="B264" t="s">
        <v>11</v>
      </c>
      <c r="C264">
        <f>115411734375/10^6</f>
      </c>
      <c r="D264">
        <f>0</f>
      </c>
      <c r="E264">
        <f>739166748/10^6</f>
      </c>
      <c r="F264">
        <f>0</f>
      </c>
      <c r="G264">
        <f>251089417/10^6</f>
      </c>
      <c r="H264">
        <f>0</f>
      </c>
      <c r="I264">
        <f>-37172123/10^6</f>
      </c>
      <c r="J264">
        <f>0</f>
      </c>
    </row>
    <row r="265">
      <c r="A265" t="s">
        <v>274</v>
      </c>
      <c r="B265" t="s">
        <v>11</v>
      </c>
      <c r="C265">
        <f>115676632813/10^6</f>
      </c>
      <c r="D265">
        <f>0</f>
      </c>
      <c r="E265">
        <f>73795929/10^5</f>
      </c>
      <c r="F265">
        <f>0</f>
      </c>
      <c r="G265">
        <f>251308578/10^6</f>
      </c>
      <c r="H265">
        <f>0</f>
      </c>
      <c r="I265">
        <f>-37326057/10^6</f>
      </c>
      <c r="J265">
        <f>0</f>
      </c>
    </row>
    <row r="266">
      <c r="A266" t="s">
        <v>275</v>
      </c>
      <c r="B266" t="s">
        <v>11</v>
      </c>
      <c r="C266">
        <f>11593496875/10^5</f>
      </c>
      <c r="D266">
        <f>0</f>
      </c>
      <c r="E266">
        <f>736487244/10^6</f>
      </c>
      <c r="F266">
        <f>0</f>
      </c>
      <c r="G266">
        <f>251435654/10^6</f>
      </c>
      <c r="H266">
        <f>0</f>
      </c>
      <c r="I266">
        <f>-37209793/10^6</f>
      </c>
      <c r="J266">
        <f>0</f>
      </c>
    </row>
    <row r="267">
      <c r="A267" t="s">
        <v>276</v>
      </c>
      <c r="B267" t="s">
        <v>11</v>
      </c>
      <c r="C267">
        <f>11619953125/10^5</f>
      </c>
      <c r="D267">
        <f>0</f>
      </c>
      <c r="E267">
        <f>735272034/10^6</f>
      </c>
      <c r="F267">
        <f>0</f>
      </c>
      <c r="G267">
        <f>251512894/10^6</f>
      </c>
      <c r="H267">
        <f>0</f>
      </c>
      <c r="I267">
        <f>-36947384/10^6</f>
      </c>
      <c r="J267">
        <f>0</f>
      </c>
    </row>
    <row r="268">
      <c r="A268" t="s">
        <v>277</v>
      </c>
      <c r="B268" t="s">
        <v>11</v>
      </c>
      <c r="C268">
        <f>116489367188/10^6</f>
      </c>
      <c r="D268">
        <f>0</f>
      </c>
      <c r="E268">
        <f>734146851/10^6</f>
      </c>
      <c r="F268">
        <f>0</f>
      </c>
      <c r="G268">
        <f>251620819/10^6</f>
      </c>
      <c r="H268">
        <f>0</f>
      </c>
      <c r="I268">
        <f>-36759602/10^6</f>
      </c>
      <c r="J268">
        <f>0</f>
      </c>
    </row>
    <row r="269">
      <c r="A269" t="s">
        <v>278</v>
      </c>
      <c r="B269" t="s">
        <v>11</v>
      </c>
      <c r="C269">
        <f>11680103125/10^5</f>
      </c>
      <c r="D269">
        <f>0</f>
      </c>
      <c r="E269">
        <f>732850159/10^6</f>
      </c>
      <c r="F269">
        <f>0</f>
      </c>
      <c r="G269">
        <f>2518927/10^4</f>
      </c>
      <c r="H269">
        <f>0</f>
      </c>
      <c r="I269">
        <f>-36470409/10^6</f>
      </c>
      <c r="J269">
        <f>0</f>
      </c>
    </row>
    <row r="270">
      <c r="A270" t="s">
        <v>279</v>
      </c>
      <c r="B270" t="s">
        <v>11</v>
      </c>
      <c r="C270">
        <f>117156351563/10^6</f>
      </c>
      <c r="D270">
        <f>0</f>
      </c>
      <c r="E270">
        <f>731214172/10^6</f>
      </c>
      <c r="F270">
        <f>0</f>
      </c>
      <c r="G270">
        <f>25218866/10^5</f>
      </c>
      <c r="H270">
        <f>0</f>
      </c>
      <c r="I270">
        <f>-36138798/10^6</f>
      </c>
      <c r="J270">
        <f>0</f>
      </c>
    </row>
    <row r="271">
      <c r="A271" t="s">
        <v>280</v>
      </c>
      <c r="B271" t="s">
        <v>11</v>
      </c>
      <c r="C271">
        <f>117557210938/10^6</f>
      </c>
      <c r="D271">
        <f>0</f>
      </c>
      <c r="E271">
        <f>72928125/10^5</f>
      </c>
      <c r="F271">
        <f>0</f>
      </c>
      <c r="G271">
        <f>252413055/10^6</f>
      </c>
      <c r="H271">
        <f>0</f>
      </c>
      <c r="I271">
        <f>-35875217/10^6</f>
      </c>
      <c r="J271">
        <f>0</f>
      </c>
    </row>
    <row r="272">
      <c r="A272" t="s">
        <v>281</v>
      </c>
      <c r="B272" t="s">
        <v>11</v>
      </c>
      <c r="C272">
        <f>117955304688/10^6</f>
      </c>
      <c r="D272">
        <f>0</f>
      </c>
      <c r="E272">
        <f>727401855/10^6</f>
      </c>
      <c r="F272">
        <f>0</f>
      </c>
      <c r="G272">
        <f>252689957/10^6</f>
      </c>
      <c r="H272">
        <f>0</f>
      </c>
      <c r="I272">
        <f>-35567287/10^6</f>
      </c>
      <c r="J272">
        <f>0</f>
      </c>
    </row>
    <row r="273">
      <c r="A273" t="s">
        <v>282</v>
      </c>
      <c r="B273" t="s">
        <v>11</v>
      </c>
      <c r="C273">
        <f>11835878125/10^5</f>
      </c>
      <c r="D273">
        <f>0</f>
      </c>
      <c r="E273">
        <f>72562793/10^5</f>
      </c>
      <c r="F273">
        <f>0</f>
      </c>
      <c r="G273">
        <f>25292955/10^5</f>
      </c>
      <c r="H273">
        <f>0</f>
      </c>
      <c r="I273">
        <f>-35284866/10^6</f>
      </c>
      <c r="J273">
        <f>0</f>
      </c>
    </row>
    <row r="274">
      <c r="A274" t="s">
        <v>283</v>
      </c>
      <c r="B274" t="s">
        <v>11</v>
      </c>
      <c r="C274">
        <f>118805773438/10^6</f>
      </c>
      <c r="D274">
        <f>0</f>
      </c>
      <c r="E274">
        <f>723909607/10^6</f>
      </c>
      <c r="F274">
        <f>0</f>
      </c>
      <c r="G274">
        <f>253243652/10^6</f>
      </c>
      <c r="H274">
        <f>0</f>
      </c>
      <c r="I274">
        <f>-34882946/10^6</f>
      </c>
      <c r="J274">
        <f>0</f>
      </c>
    </row>
    <row r="275">
      <c r="A275" t="s">
        <v>284</v>
      </c>
      <c r="B275" t="s">
        <v>11</v>
      </c>
      <c r="C275">
        <f>119271828125/10^6</f>
      </c>
      <c r="D275">
        <f>0</f>
      </c>
      <c r="E275">
        <f>721844055/10^6</f>
      </c>
      <c r="F275">
        <f>0</f>
      </c>
      <c r="G275">
        <f>253607178/10^6</f>
      </c>
      <c r="H275">
        <f>0</f>
      </c>
      <c r="I275">
        <f>-34444839/10^6</f>
      </c>
      <c r="J275">
        <f>0</f>
      </c>
    </row>
    <row r="276">
      <c r="A276" t="s">
        <v>285</v>
      </c>
      <c r="B276" t="s">
        <v>11</v>
      </c>
      <c r="C276">
        <f>119729789063/10^6</f>
      </c>
      <c r="D276">
        <f>0</f>
      </c>
      <c r="E276">
        <f>719212952/10^6</f>
      </c>
      <c r="F276">
        <f>0</f>
      </c>
      <c r="G276">
        <f>253807571/10^6</f>
      </c>
      <c r="H276">
        <f>0</f>
      </c>
      <c r="I276">
        <f>-34094841/10^6</f>
      </c>
      <c r="J276">
        <f>0</f>
      </c>
    </row>
    <row r="277">
      <c r="A277" t="s">
        <v>286</v>
      </c>
      <c r="B277" t="s">
        <v>11</v>
      </c>
      <c r="C277">
        <f>120187484375/10^6</f>
      </c>
      <c r="D277">
        <f>0</f>
      </c>
      <c r="E277">
        <f>716667786/10^6</f>
      </c>
      <c r="F277">
        <f>0</f>
      </c>
      <c r="G277">
        <f>253989548/10^6</f>
      </c>
      <c r="H277">
        <f>0</f>
      </c>
      <c r="I277">
        <f>-33652237/10^6</f>
      </c>
      <c r="J277">
        <f>0</f>
      </c>
    </row>
    <row r="278">
      <c r="A278" t="s">
        <v>287</v>
      </c>
      <c r="B278" t="s">
        <v>11</v>
      </c>
      <c r="C278">
        <f>120650703125/10^6</f>
      </c>
      <c r="D278">
        <f>0</f>
      </c>
      <c r="E278">
        <f>714270203/10^6</f>
      </c>
      <c r="F278">
        <f>0</f>
      </c>
      <c r="G278">
        <f>254155228/10^6</f>
      </c>
      <c r="H278">
        <f>0</f>
      </c>
      <c r="I278">
        <f>-33283161/10^6</f>
      </c>
      <c r="J278">
        <f>0</f>
      </c>
    </row>
    <row r="279">
      <c r="A279" t="s">
        <v>288</v>
      </c>
      <c r="B279" t="s">
        <v>11</v>
      </c>
      <c r="C279">
        <f>121092492188/10^6</f>
      </c>
      <c r="D279">
        <f>0</f>
      </c>
      <c r="E279">
        <f>711803406/10^6</f>
      </c>
      <c r="F279">
        <f>0</f>
      </c>
      <c r="G279">
        <f>254292572/10^6</f>
      </c>
      <c r="H279">
        <f>0</f>
      </c>
      <c r="I279">
        <f>-32878754/10^6</f>
      </c>
      <c r="J279">
        <f>0</f>
      </c>
    </row>
    <row r="280">
      <c r="A280" t="s">
        <v>289</v>
      </c>
      <c r="B280" t="s">
        <v>11</v>
      </c>
      <c r="C280">
        <f>121480023438/10^6</f>
      </c>
      <c r="D280">
        <f>0</f>
      </c>
      <c r="E280">
        <f>709515564/10^6</f>
      </c>
      <c r="F280">
        <f>0</f>
      </c>
      <c r="G280">
        <f>25445491/10^5</f>
      </c>
      <c r="H280">
        <f>0</f>
      </c>
      <c r="I280">
        <f>-32410194/10^6</f>
      </c>
      <c r="J280">
        <f>0</f>
      </c>
    </row>
    <row r="281">
      <c r="A281" t="s">
        <v>290</v>
      </c>
      <c r="B281" t="s">
        <v>11</v>
      </c>
      <c r="C281">
        <f>121826476563/10^6</f>
      </c>
      <c r="D281">
        <f>0</f>
      </c>
      <c r="E281">
        <f>707291321/10^6</f>
      </c>
      <c r="F281">
        <f>0</f>
      </c>
      <c r="G281">
        <f>254504578/10^6</f>
      </c>
      <c r="H281">
        <f>0</f>
      </c>
      <c r="I281">
        <f>-32153728/10^6</f>
      </c>
      <c r="J281">
        <f>0</f>
      </c>
    </row>
    <row r="282">
      <c r="A282" t="s">
        <v>291</v>
      </c>
      <c r="B282" t="s">
        <v>11</v>
      </c>
      <c r="C282">
        <f>122133953125/10^6</f>
      </c>
      <c r="D282">
        <f>0</f>
      </c>
      <c r="E282">
        <f>705249329/10^6</f>
      </c>
      <c r="F282">
        <f>0</f>
      </c>
      <c r="G282">
        <f>254495346/10^6</f>
      </c>
      <c r="H282">
        <f>0</f>
      </c>
      <c r="I282">
        <f>-31927094/10^6</f>
      </c>
      <c r="J282">
        <f>0</f>
      </c>
    </row>
    <row r="283">
      <c r="A283" t="s">
        <v>292</v>
      </c>
      <c r="B283" t="s">
        <v>11</v>
      </c>
      <c r="C283">
        <f>122375109375/10^6</f>
      </c>
      <c r="D283">
        <f>0</f>
      </c>
      <c r="E283">
        <f>703733276/10^6</f>
      </c>
      <c r="F283">
        <f>0</f>
      </c>
      <c r="G283">
        <f>254501282/10^6</f>
      </c>
      <c r="H283">
        <f>0</f>
      </c>
      <c r="I283">
        <f>-31722898/10^6</f>
      </c>
      <c r="J283">
        <f>0</f>
      </c>
    </row>
    <row r="284">
      <c r="A284" t="s">
        <v>293</v>
      </c>
      <c r="B284" t="s">
        <v>11</v>
      </c>
      <c r="C284">
        <f>122557164063/10^6</f>
      </c>
      <c r="D284">
        <f>0</f>
      </c>
      <c r="E284">
        <f>702635864/10^6</f>
      </c>
      <c r="F284">
        <f>0</f>
      </c>
      <c r="G284">
        <f>254445557/10^6</f>
      </c>
      <c r="H284">
        <f>0</f>
      </c>
      <c r="I284">
        <f>-31593325/10^6</f>
      </c>
      <c r="J284">
        <f>0</f>
      </c>
    </row>
    <row r="285">
      <c r="A285" t="s">
        <v>294</v>
      </c>
      <c r="B285" t="s">
        <v>11</v>
      </c>
      <c r="C285">
        <f>12268759375/10^5</f>
      </c>
      <c r="D285">
        <f>0</f>
      </c>
      <c r="E285">
        <f>701804993/10^6</f>
      </c>
      <c r="F285">
        <f>0</f>
      </c>
      <c r="G285">
        <f>254375458/10^6</f>
      </c>
      <c r="H285">
        <f>0</f>
      </c>
      <c r="I285">
        <f>-31441036/10^6</f>
      </c>
      <c r="J285">
        <f>0</f>
      </c>
    </row>
    <row r="286">
      <c r="A286" t="s">
        <v>295</v>
      </c>
      <c r="B286" t="s">
        <v>11</v>
      </c>
      <c r="C286">
        <f>122775671875/10^6</f>
      </c>
      <c r="D286">
        <f>0</f>
      </c>
      <c r="E286">
        <f>701077942/10^6</f>
      </c>
      <c r="F286">
        <f>0</f>
      </c>
      <c r="G286">
        <f>254321396/10^6</f>
      </c>
      <c r="H286">
        <f>0</f>
      </c>
      <c r="I286">
        <f>-31404943/10^6</f>
      </c>
      <c r="J286">
        <f>0</f>
      </c>
    </row>
    <row r="287">
      <c r="A287" t="s">
        <v>296</v>
      </c>
      <c r="B287" t="s">
        <v>11</v>
      </c>
      <c r="C287">
        <f>122831046875/10^6</f>
      </c>
      <c r="D287">
        <f>0</f>
      </c>
      <c r="E287">
        <f>700500305/10^6</f>
      </c>
      <c r="F287">
        <f>0</f>
      </c>
      <c r="G287">
        <f>254271454/10^6</f>
      </c>
      <c r="H287">
        <f>0</f>
      </c>
      <c r="I287">
        <f>-31434263/10^6</f>
      </c>
      <c r="J287">
        <f>0</f>
      </c>
    </row>
    <row r="288">
      <c r="A288" t="s">
        <v>297</v>
      </c>
      <c r="B288" t="s">
        <v>11</v>
      </c>
      <c r="C288">
        <f>122807109375/10^6</f>
      </c>
      <c r="D288">
        <f>0</f>
      </c>
      <c r="E288">
        <f>700265991/10^6</f>
      </c>
      <c r="F288">
        <f>0</f>
      </c>
      <c r="G288">
        <f>254211151/10^6</f>
      </c>
      <c r="H288">
        <f>0</f>
      </c>
      <c r="I288">
        <f>-31457403/10^6</f>
      </c>
      <c r="J288">
        <f>0</f>
      </c>
    </row>
    <row r="289">
      <c r="A289" t="s">
        <v>298</v>
      </c>
      <c r="B289" t="s">
        <v>11</v>
      </c>
      <c r="C289">
        <f>122682664063/10^6</f>
      </c>
      <c r="D289">
        <f>0</f>
      </c>
      <c r="E289">
        <f>700309509/10^6</f>
      </c>
      <c r="F289">
        <f>0</f>
      </c>
      <c r="G289">
        <f>254043976/10^6</f>
      </c>
      <c r="H289">
        <f>0</f>
      </c>
      <c r="I289">
        <f>-3157184/10^5</f>
      </c>
      <c r="J289">
        <f>0</f>
      </c>
    </row>
    <row r="290">
      <c r="A290" t="s">
        <v>299</v>
      </c>
      <c r="B290" t="s">
        <v>11</v>
      </c>
      <c r="C290">
        <f>122511007813/10^6</f>
      </c>
      <c r="D290">
        <f>0</f>
      </c>
      <c r="E290">
        <f>700809326/10^6</f>
      </c>
      <c r="F290">
        <f>0</f>
      </c>
      <c r="G290">
        <f>253862152/10^6</f>
      </c>
      <c r="H290">
        <f>0</f>
      </c>
      <c r="I290">
        <f>-31682219/10^6</f>
      </c>
      <c r="J290">
        <f>0</f>
      </c>
    </row>
    <row r="291">
      <c r="A291" t="s">
        <v>300</v>
      </c>
      <c r="B291" t="s">
        <v>11</v>
      </c>
      <c r="C291">
        <f>12232109375/10^5</f>
      </c>
      <c r="D291">
        <f>0</f>
      </c>
      <c r="E291">
        <f>701793152/10^6</f>
      </c>
      <c r="F291">
        <f>0</f>
      </c>
      <c r="G291">
        <f>253727982/10^6</f>
      </c>
      <c r="H291">
        <f>0</f>
      </c>
      <c r="I291">
        <f>-31859201/10^6</f>
      </c>
      <c r="J291">
        <f>0</f>
      </c>
    </row>
    <row r="292">
      <c r="A292" t="s">
        <v>301</v>
      </c>
      <c r="B292" t="s">
        <v>11</v>
      </c>
      <c r="C292">
        <f>122087054688/10^6</f>
      </c>
      <c r="D292">
        <f>0</f>
      </c>
      <c r="E292">
        <f>70298175/10^5</f>
      </c>
      <c r="F292">
        <f>0</f>
      </c>
      <c r="G292">
        <f>253534943/10^6</f>
      </c>
      <c r="H292">
        <f>0</f>
      </c>
      <c r="I292">
        <f>-32160877/10^6</f>
      </c>
      <c r="J292">
        <f>0</f>
      </c>
    </row>
    <row r="293">
      <c r="A293" t="s">
        <v>302</v>
      </c>
      <c r="B293" t="s">
        <v>11</v>
      </c>
      <c r="C293">
        <f>121810453125/10^6</f>
      </c>
      <c r="D293">
        <f>0</f>
      </c>
      <c r="E293">
        <f>704406311/10^6</f>
      </c>
      <c r="F293">
        <f>0</f>
      </c>
      <c r="G293">
        <f>253382751/10^6</f>
      </c>
      <c r="H293">
        <f>0</f>
      </c>
      <c r="I293">
        <f>-32407421/10^6</f>
      </c>
      <c r="J293">
        <f>0</f>
      </c>
    </row>
    <row r="294">
      <c r="A294" t="s">
        <v>303</v>
      </c>
      <c r="B294" t="s">
        <v>11</v>
      </c>
      <c r="C294">
        <f>121542015625/10^6</f>
      </c>
      <c r="D294">
        <f>0</f>
      </c>
      <c r="E294">
        <f>705902527/10^6</f>
      </c>
      <c r="F294">
        <f>0</f>
      </c>
      <c r="G294">
        <f>253299576/10^6</f>
      </c>
      <c r="H294">
        <f>0</f>
      </c>
      <c r="I294">
        <f>-32711243/10^6</f>
      </c>
      <c r="J294">
        <f>0</f>
      </c>
    </row>
    <row r="295">
      <c r="A295" t="s">
        <v>304</v>
      </c>
      <c r="B295" t="s">
        <v>11</v>
      </c>
      <c r="C295">
        <f>121292179688/10^6</f>
      </c>
      <c r="D295">
        <f>0</f>
      </c>
      <c r="E295">
        <f>707283752/10^6</f>
      </c>
      <c r="F295">
        <f>0</f>
      </c>
      <c r="G295">
        <f>253211288/10^6</f>
      </c>
      <c r="H295">
        <f>0</f>
      </c>
      <c r="I295">
        <f>-33030872/10^6</f>
      </c>
      <c r="J295">
        <f>0</f>
      </c>
    </row>
    <row r="296">
      <c r="A296" t="s">
        <v>305</v>
      </c>
      <c r="B296" t="s">
        <v>11</v>
      </c>
      <c r="C296">
        <f>121028351563/10^6</f>
      </c>
      <c r="D296">
        <f>0</f>
      </c>
      <c r="E296">
        <f>708580505/10^6</f>
      </c>
      <c r="F296">
        <f>0</f>
      </c>
      <c r="G296">
        <f>2531297/10^4</f>
      </c>
      <c r="H296">
        <f>0</f>
      </c>
      <c r="I296">
        <f>-33354115/10^6</f>
      </c>
      <c r="J296">
        <f>0</f>
      </c>
    </row>
    <row r="297">
      <c r="A297" t="s">
        <v>306</v>
      </c>
      <c r="B297" t="s">
        <v>11</v>
      </c>
      <c r="C297">
        <f>120741585938/10^6</f>
      </c>
      <c r="D297">
        <f>0</f>
      </c>
      <c r="E297">
        <f>709859985/10^6</f>
      </c>
      <c r="F297">
        <f>0</f>
      </c>
      <c r="G297">
        <f>253027176/10^6</f>
      </c>
      <c r="H297">
        <f>0</f>
      </c>
      <c r="I297">
        <f>-33834908/10^6</f>
      </c>
      <c r="J297">
        <f>0</f>
      </c>
    </row>
    <row r="298">
      <c r="A298" t="s">
        <v>307</v>
      </c>
      <c r="B298" t="s">
        <v>11</v>
      </c>
      <c r="C298">
        <f>120454570313/10^6</f>
      </c>
      <c r="D298">
        <f>0</f>
      </c>
      <c r="E298">
        <f>711473389/10^6</f>
      </c>
      <c r="F298">
        <f>0</f>
      </c>
      <c r="G298">
        <f>252941147/10^6</f>
      </c>
      <c r="H298">
        <f>0</f>
      </c>
      <c r="I298">
        <f>-34212128/10^6</f>
      </c>
      <c r="J298">
        <f>0</f>
      </c>
    </row>
    <row r="299">
      <c r="A299" t="s">
        <v>308</v>
      </c>
      <c r="B299" t="s">
        <v>11</v>
      </c>
      <c r="C299">
        <f>12020103125/10^5</f>
      </c>
      <c r="D299">
        <f>0</f>
      </c>
      <c r="E299">
        <f>713179138/10^6</f>
      </c>
      <c r="F299">
        <f>0</f>
      </c>
      <c r="G299">
        <f>252902115/10^6</f>
      </c>
      <c r="H299">
        <f>0</f>
      </c>
      <c r="I299">
        <f>-3454911/10^5</f>
      </c>
      <c r="J299">
        <f>0</f>
      </c>
    </row>
    <row r="300">
      <c r="A300" t="s">
        <v>309</v>
      </c>
      <c r="B300" t="s">
        <v>11</v>
      </c>
      <c r="C300">
        <f>119956617188/10^6</f>
      </c>
      <c r="D300">
        <f>0</f>
      </c>
      <c r="E300">
        <f>714492126/10^6</f>
      </c>
      <c r="F300">
        <f>0</f>
      </c>
      <c r="G300">
        <f>252877441/10^6</f>
      </c>
      <c r="H300">
        <f>0</f>
      </c>
      <c r="I300">
        <f>-34938435/10^6</f>
      </c>
      <c r="J300">
        <f>0</f>
      </c>
    </row>
    <row r="301">
      <c r="A301" t="s">
        <v>310</v>
      </c>
      <c r="B301" t="s">
        <v>11</v>
      </c>
      <c r="C301">
        <f>119658007813/10^6</f>
      </c>
      <c r="D301">
        <f>0</f>
      </c>
      <c r="E301">
        <f>715931763/10^6</f>
      </c>
      <c r="F301">
        <f>0</f>
      </c>
      <c r="G301">
        <f>252781815/10^6</f>
      </c>
      <c r="H301">
        <f>0</f>
      </c>
      <c r="I301">
        <f>-35220814/10^6</f>
      </c>
      <c r="J301">
        <f>0</f>
      </c>
    </row>
    <row r="302">
      <c r="A302" t="s">
        <v>311</v>
      </c>
      <c r="B302" t="s">
        <v>11</v>
      </c>
      <c r="C302">
        <f>119302710938/10^6</f>
      </c>
      <c r="D302">
        <f>0</f>
      </c>
      <c r="E302">
        <f>717832764/10^6</f>
      </c>
      <c r="F302">
        <f>0</f>
      </c>
      <c r="G302">
        <f>252608917/10^6</f>
      </c>
      <c r="H302">
        <f>0</f>
      </c>
      <c r="I302">
        <f>-35450848/10^6</f>
      </c>
      <c r="J302">
        <f>0</f>
      </c>
    </row>
    <row r="303">
      <c r="A303" t="s">
        <v>312</v>
      </c>
      <c r="B303" t="s">
        <v>11</v>
      </c>
      <c r="C303">
        <f>118913742188/10^6</f>
      </c>
      <c r="D303">
        <f>0</f>
      </c>
      <c r="E303">
        <f>719868103/10^6</f>
      </c>
      <c r="F303">
        <f>0</f>
      </c>
      <c r="G303">
        <f>252477097/10^6</f>
      </c>
      <c r="H303">
        <f>0</f>
      </c>
      <c r="I303">
        <f>-35713108/10^6</f>
      </c>
      <c r="J303">
        <f>0</f>
      </c>
    </row>
    <row r="304">
      <c r="A304" t="s">
        <v>313</v>
      </c>
      <c r="B304" t="s">
        <v>11</v>
      </c>
      <c r="C304">
        <f>118486414063/10^6</f>
      </c>
      <c r="D304">
        <f>0</f>
      </c>
      <c r="E304">
        <f>722088806/10^6</f>
      </c>
      <c r="F304">
        <f>0</f>
      </c>
      <c r="G304">
        <f>252335007/10^6</f>
      </c>
      <c r="H304">
        <f>0</f>
      </c>
      <c r="I304">
        <f>-36227669/10^6</f>
      </c>
      <c r="J304">
        <f>0</f>
      </c>
    </row>
    <row r="305">
      <c r="A305" t="s">
        <v>314</v>
      </c>
      <c r="B305" t="s">
        <v>11</v>
      </c>
      <c r="C305">
        <f>118019265625/10^6</f>
      </c>
      <c r="D305">
        <f>0</f>
      </c>
      <c r="E305">
        <f>724612122/10^6</f>
      </c>
      <c r="F305">
        <f>0</f>
      </c>
      <c r="G305">
        <f>252177322/10^6</f>
      </c>
      <c r="H305">
        <f>0</f>
      </c>
      <c r="I305">
        <f>-36769928/10^6</f>
      </c>
      <c r="J305">
        <f>0</f>
      </c>
    </row>
    <row r="306">
      <c r="A306" t="s">
        <v>315</v>
      </c>
      <c r="B306" t="s">
        <v>11</v>
      </c>
      <c r="C306">
        <f>117538203125/10^6</f>
      </c>
      <c r="D306">
        <f>0</f>
      </c>
      <c r="E306">
        <f>727393555/10^6</f>
      </c>
      <c r="F306">
        <f>0</f>
      </c>
      <c r="G306">
        <f>252028336/10^6</f>
      </c>
      <c r="H306">
        <f>0</f>
      </c>
      <c r="I306">
        <f>-37265423/10^6</f>
      </c>
      <c r="J306">
        <f>0</f>
      </c>
    </row>
    <row r="307">
      <c r="A307" t="s">
        <v>316</v>
      </c>
      <c r="B307" t="s">
        <v>11</v>
      </c>
      <c r="C307">
        <f>117046632813/10^6</f>
      </c>
      <c r="D307">
        <f>0</f>
      </c>
      <c r="E307">
        <f>730360779/10^6</f>
      </c>
      <c r="F307">
        <f>0</f>
      </c>
      <c r="G307">
        <f>251858017/10^6</f>
      </c>
      <c r="H307">
        <f>0</f>
      </c>
      <c r="I307">
        <f>-37956383/10^6</f>
      </c>
      <c r="J307">
        <f>0</f>
      </c>
    </row>
    <row r="308">
      <c r="A308" t="s">
        <v>317</v>
      </c>
      <c r="B308" t="s">
        <v>11</v>
      </c>
      <c r="C308">
        <f>116477257813/10^6</f>
      </c>
      <c r="D308">
        <f>0</f>
      </c>
      <c r="E308">
        <f>733567505/10^6</f>
      </c>
      <c r="F308">
        <f>0</f>
      </c>
      <c r="G308">
        <f>251685791/10^6</f>
      </c>
      <c r="H308">
        <f>0</f>
      </c>
      <c r="I308">
        <f>-38484943/10^6</f>
      </c>
      <c r="J308">
        <f>0</f>
      </c>
    </row>
    <row r="309">
      <c r="A309" t="s">
        <v>318</v>
      </c>
      <c r="B309" t="s">
        <v>11</v>
      </c>
      <c r="C309">
        <f>115819328125/10^6</f>
      </c>
      <c r="D309">
        <f>0</f>
      </c>
      <c r="E309">
        <f>737175842/10^6</f>
      </c>
      <c r="F309">
        <f>0</f>
      </c>
      <c r="G309">
        <f>251416748/10^6</f>
      </c>
      <c r="H309">
        <f>0</f>
      </c>
      <c r="I309">
        <f>-3921656/10^5</f>
      </c>
      <c r="J309">
        <f>0</f>
      </c>
    </row>
    <row r="310">
      <c r="A310" t="s">
        <v>319</v>
      </c>
      <c r="B310" t="s">
        <v>11</v>
      </c>
      <c r="C310">
        <f>11523225/10^2</f>
      </c>
      <c r="D310">
        <f>0</f>
      </c>
      <c r="E310">
        <f>739790344/10^6</f>
      </c>
      <c r="F310">
        <f>0</f>
      </c>
      <c r="G310">
        <f>251158722/10^6</f>
      </c>
      <c r="H310">
        <f>0</f>
      </c>
      <c r="I310">
        <f>-40161251/10^6</f>
      </c>
      <c r="J310">
        <f>0</f>
      </c>
    </row>
    <row r="311">
      <c r="A311" t="s">
        <v>320</v>
      </c>
      <c r="B311" t="s">
        <v>11</v>
      </c>
      <c r="C311">
        <f>114830851563/10^6</f>
      </c>
      <c r="D311">
        <f>0</f>
      </c>
      <c r="E311">
        <f>740585938/10^6</f>
      </c>
      <c r="F311">
        <f>0</f>
      </c>
      <c r="G311">
        <f>250810623/10^6</f>
      </c>
      <c r="H311">
        <f>0</f>
      </c>
      <c r="I311">
        <f>-40162609/10^6</f>
      </c>
      <c r="J311">
        <f>0</f>
      </c>
    </row>
    <row r="312">
      <c r="A312" t="s">
        <v>321</v>
      </c>
      <c r="B312" t="s">
        <v>11</v>
      </c>
      <c r="C312">
        <f>114515484375/10^6</f>
      </c>
      <c r="D312">
        <f>0</f>
      </c>
      <c r="E312">
        <f>7417453/10^4</f>
      </c>
      <c r="F312">
        <f>0</f>
      </c>
      <c r="G312">
        <f>250226257/10^6</f>
      </c>
      <c r="H312">
        <f>0</f>
      </c>
      <c r="I312">
        <f>-39858772/10^6</f>
      </c>
      <c r="J312">
        <f>0</f>
      </c>
    </row>
    <row r="313">
      <c r="A313" t="s">
        <v>322</v>
      </c>
      <c r="B313" t="s">
        <v>11</v>
      </c>
      <c r="C313">
        <f>114266460938/10^6</f>
      </c>
      <c r="D313">
        <f>0</f>
      </c>
      <c r="E313">
        <f>742469543/10^6</f>
      </c>
      <c r="F313">
        <f>0</f>
      </c>
      <c r="G313">
        <f>249811707/10^6</f>
      </c>
      <c r="H313">
        <f>0</f>
      </c>
      <c r="I313">
        <f>-39651936/10^6</f>
      </c>
      <c r="J313">
        <f>0</f>
      </c>
    </row>
    <row r="314">
      <c r="A314" t="s">
        <v>323</v>
      </c>
      <c r="B314" t="s">
        <v>11</v>
      </c>
      <c r="C314">
        <f>114199359375/10^6</f>
      </c>
      <c r="D314">
        <f>0</f>
      </c>
      <c r="E314">
        <f>740259338/10^6</f>
      </c>
      <c r="F314">
        <f>0</f>
      </c>
      <c r="G314">
        <f>249338196/10^6</f>
      </c>
      <c r="H314">
        <f>0</f>
      </c>
      <c r="I314">
        <f>-37840122/10^6</f>
      </c>
      <c r="J314">
        <f>0</f>
      </c>
    </row>
    <row r="315">
      <c r="A315" t="s">
        <v>324</v>
      </c>
      <c r="B315" t="s">
        <v>11</v>
      </c>
      <c r="C315">
        <f>11416625/10^2</f>
      </c>
      <c r="D315">
        <f>0</f>
      </c>
      <c r="E315">
        <f>73880719/10^5</f>
      </c>
      <c r="F315">
        <f>0</f>
      </c>
      <c r="G315">
        <f>248690399/10^6</f>
      </c>
      <c r="H315">
        <f>0</f>
      </c>
      <c r="I315">
        <f>-35469299/10^6</f>
      </c>
      <c r="J315">
        <f>0</f>
      </c>
    </row>
    <row r="316">
      <c r="A316" t="s">
        <v>325</v>
      </c>
      <c r="B316" t="s">
        <v>11</v>
      </c>
      <c r="C316">
        <f>113959304688/10^6</f>
      </c>
      <c r="D316">
        <f>0</f>
      </c>
      <c r="E316">
        <f>741039795/10^6</f>
      </c>
      <c r="F316">
        <f>0</f>
      </c>
      <c r="G316">
        <f>248663528/10^6</f>
      </c>
      <c r="H316">
        <f>0</f>
      </c>
      <c r="I316">
        <f>-35010036/10^6</f>
      </c>
      <c r="J316">
        <f>0</f>
      </c>
    </row>
    <row r="317">
      <c r="A317" t="s">
        <v>326</v>
      </c>
      <c r="B317" t="s">
        <v>11</v>
      </c>
      <c r="C317">
        <f>113752773438/10^6</f>
      </c>
      <c r="D317">
        <f>0</f>
      </c>
      <c r="E317">
        <f>743740784/10^6</f>
      </c>
      <c r="F317">
        <f>0</f>
      </c>
      <c r="G317">
        <f>249068542/10^6</f>
      </c>
      <c r="H317">
        <f>0</f>
      </c>
      <c r="I317">
        <f>-35524513/10^6</f>
      </c>
      <c r="J317">
        <f>0</f>
      </c>
    </row>
    <row r="318">
      <c r="A318" t="s">
        <v>327</v>
      </c>
      <c r="B318" t="s">
        <v>11</v>
      </c>
      <c r="C318">
        <f>113761679688/10^6</f>
      </c>
      <c r="D318">
        <f>0</f>
      </c>
      <c r="E318">
        <f>744696106/10^6</f>
      </c>
      <c r="F318">
        <f>0</f>
      </c>
      <c r="G318">
        <f>249271698/10^6</f>
      </c>
      <c r="H318">
        <f>0</f>
      </c>
      <c r="I318">
        <f>-35573139/10^6</f>
      </c>
      <c r="J318">
        <f>0</f>
      </c>
    </row>
    <row r="319">
      <c r="A319" t="s">
        <v>328</v>
      </c>
      <c r="B319" t="s">
        <v>11</v>
      </c>
      <c r="C319">
        <f>113888/10^0</f>
      </c>
      <c r="D319">
        <f>0</f>
      </c>
      <c r="E319">
        <f>744635681/10^6</f>
      </c>
      <c r="F319">
        <f>0</f>
      </c>
      <c r="G319">
        <f>249585983/10^6</f>
      </c>
      <c r="H319">
        <f>0</f>
      </c>
      <c r="I319">
        <f>-3541349/10^5</f>
      </c>
      <c r="J319">
        <f>0</f>
      </c>
    </row>
    <row r="320">
      <c r="A320" t="s">
        <v>329</v>
      </c>
      <c r="B320" t="s">
        <v>11</v>
      </c>
      <c r="C320">
        <f>113970054688/10^6</f>
      </c>
      <c r="D320">
        <f>0</f>
      </c>
      <c r="E320">
        <f>744336243/10^6</f>
      </c>
      <c r="F320">
        <f>0</f>
      </c>
      <c r="G320">
        <f>250022934/10^6</f>
      </c>
      <c r="H320">
        <f>0</f>
      </c>
      <c r="I320">
        <f>-35320915/10^6</f>
      </c>
      <c r="J320">
        <f>0</f>
      </c>
    </row>
    <row r="321">
      <c r="A321" t="s">
        <v>330</v>
      </c>
      <c r="B321" t="s">
        <v>11</v>
      </c>
      <c r="C321">
        <f>113997882813/10^6</f>
      </c>
      <c r="D321">
        <f>0</f>
      </c>
      <c r="E321">
        <f>744260742/10^6</f>
      </c>
      <c r="F321">
        <f>0</f>
      </c>
      <c r="G321">
        <f>250150497/10^6</f>
      </c>
      <c r="H321">
        <f>0</f>
      </c>
      <c r="I321">
        <f>-35272011/10^6</f>
      </c>
      <c r="J321">
        <f>0</f>
      </c>
    </row>
    <row r="322">
      <c r="A322" t="s">
        <v>331</v>
      </c>
      <c r="B322" t="s">
        <v>11</v>
      </c>
      <c r="C322">
        <f>114038820313/10^6</f>
      </c>
      <c r="D322">
        <f>0</f>
      </c>
      <c r="E322">
        <f>744180481/10^6</f>
      </c>
      <c r="F322">
        <f>0</f>
      </c>
      <c r="G322">
        <f>250083588/10^6</f>
      </c>
      <c r="H322">
        <f>0</f>
      </c>
      <c r="I322">
        <f>-35252144/10^6</f>
      </c>
      <c r="J322">
        <f>0</f>
      </c>
    </row>
    <row r="323">
      <c r="A323" t="s">
        <v>332</v>
      </c>
      <c r="B323" t="s">
        <v>11</v>
      </c>
      <c r="C323">
        <f>114139929688/10^6</f>
      </c>
      <c r="D323">
        <f>0</f>
      </c>
      <c r="E323">
        <f>743757751/10^6</f>
      </c>
      <c r="F323">
        <f>0</f>
      </c>
      <c r="G323">
        <f>250123215/10^6</f>
      </c>
      <c r="H323">
        <f>0</f>
      </c>
      <c r="I323">
        <f>-35211006/10^6</f>
      </c>
      <c r="J323">
        <f>0</f>
      </c>
    </row>
    <row r="324">
      <c r="A324" t="s">
        <v>333</v>
      </c>
      <c r="B324" t="s">
        <v>11</v>
      </c>
      <c r="C324">
        <f>114311804688/10^6</f>
      </c>
      <c r="D324">
        <f>0</f>
      </c>
      <c r="E324">
        <f>743015747/10^6</f>
      </c>
      <c r="F324">
        <f>0</f>
      </c>
      <c r="G324">
        <f>250287674/10^6</f>
      </c>
      <c r="H324">
        <f>0</f>
      </c>
      <c r="I324">
        <f>-35023666/10^6</f>
      </c>
      <c r="J324">
        <f>0</f>
      </c>
    </row>
    <row r="325">
      <c r="A325" t="s">
        <v>334</v>
      </c>
      <c r="B325" t="s">
        <v>11</v>
      </c>
      <c r="C325">
        <f>114541671875/10^6</f>
      </c>
      <c r="D325">
        <f>0</f>
      </c>
      <c r="E325">
        <f>742062683/10^6</f>
      </c>
      <c r="F325">
        <f>0</f>
      </c>
      <c r="G325">
        <f>250420349/10^6</f>
      </c>
      <c r="H325">
        <f>0</f>
      </c>
      <c r="I325">
        <f>-34797314/10^6</f>
      </c>
      <c r="J325">
        <f>0</f>
      </c>
    </row>
    <row r="326">
      <c r="A326" t="s">
        <v>335</v>
      </c>
      <c r="B326" t="s">
        <v>11</v>
      </c>
      <c r="C326">
        <f>114799210938/10^6</f>
      </c>
      <c r="D326">
        <f>0</f>
      </c>
      <c r="E326">
        <f>74146521/10^5</f>
      </c>
      <c r="F326">
        <f>0</f>
      </c>
      <c r="G326">
        <f>250670105/10^6</f>
      </c>
      <c r="H326">
        <f>0</f>
      </c>
      <c r="I326">
        <f>-34717525/10^6</f>
      </c>
      <c r="J326">
        <f>0</f>
      </c>
    </row>
    <row r="327">
      <c r="A327" t="s">
        <v>336</v>
      </c>
      <c r="B327" t="s">
        <v>11</v>
      </c>
      <c r="C327">
        <f>115097585938/10^6</f>
      </c>
      <c r="D327">
        <f>0</f>
      </c>
      <c r="E327">
        <f>741169373/10^6</f>
      </c>
      <c r="F327">
        <f>0</f>
      </c>
      <c r="G327">
        <f>251079269/10^6</f>
      </c>
      <c r="H327">
        <f>0</f>
      </c>
      <c r="I327">
        <f>-34694023/10^6</f>
      </c>
      <c r="J327">
        <f>0</f>
      </c>
    </row>
    <row r="328">
      <c r="A328" t="s">
        <v>337</v>
      </c>
      <c r="B328" t="s">
        <v>11</v>
      </c>
      <c r="C328">
        <f>115488570313/10^6</f>
      </c>
      <c r="D328">
        <f>0</f>
      </c>
      <c r="E328">
        <f>740264404/10^6</f>
      </c>
      <c r="F328">
        <f>0</f>
      </c>
      <c r="G328">
        <f>251410172/10^6</f>
      </c>
      <c r="H328">
        <f>0</f>
      </c>
      <c r="I328">
        <f>-3463467/10^5</f>
      </c>
      <c r="J328">
        <f>0</f>
      </c>
    </row>
    <row r="329">
      <c r="A329" t="s">
        <v>338</v>
      </c>
      <c r="B329" t="s">
        <v>11</v>
      </c>
      <c r="C329">
        <f>115945695313/10^6</f>
      </c>
      <c r="D329">
        <f>0</f>
      </c>
      <c r="E329">
        <f>738739014/10^6</f>
      </c>
      <c r="F329">
        <f>0</f>
      </c>
      <c r="G329">
        <f>251955368/10^6</f>
      </c>
      <c r="H329">
        <f>0</f>
      </c>
      <c r="I329">
        <f>-34576229/10^6</f>
      </c>
      <c r="J329">
        <f>0</f>
      </c>
    </row>
    <row r="330">
      <c r="A330" t="s">
        <v>339</v>
      </c>
      <c r="B330" t="s">
        <v>11</v>
      </c>
      <c r="C330">
        <f>11640909375/10^5</f>
      </c>
      <c r="D330">
        <f>0</f>
      </c>
      <c r="E330">
        <f>73693396/10^5</f>
      </c>
      <c r="F330">
        <f>0</f>
      </c>
      <c r="G330">
        <f>252597427/10^6</f>
      </c>
      <c r="H330">
        <f>0</f>
      </c>
      <c r="I330">
        <f>-34551067/10^6</f>
      </c>
      <c r="J330">
        <f>0</f>
      </c>
    </row>
    <row r="331">
      <c r="A331" t="s">
        <v>340</v>
      </c>
      <c r="B331" t="s">
        <v>11</v>
      </c>
      <c r="C331">
        <f>116889015625/10^6</f>
      </c>
      <c r="D331">
        <f>0</f>
      </c>
      <c r="E331">
        <f>734760742/10^6</f>
      </c>
      <c r="F331">
        <f>0</f>
      </c>
      <c r="G331">
        <f>252969788/10^6</f>
      </c>
      <c r="H331">
        <f>0</f>
      </c>
      <c r="I331">
        <f>-34381306/10^6</f>
      </c>
      <c r="J331">
        <f>0</f>
      </c>
    </row>
    <row r="332">
      <c r="A332" t="s">
        <v>341</v>
      </c>
      <c r="B332" t="s">
        <v>11</v>
      </c>
      <c r="C332">
        <f>11741009375/10^5</f>
      </c>
      <c r="D332">
        <f>0</f>
      </c>
      <c r="E332">
        <f>73232959/10^5</f>
      </c>
      <c r="F332">
        <f>0</f>
      </c>
      <c r="G332">
        <f>253299973/10^6</f>
      </c>
      <c r="H332">
        <f>0</f>
      </c>
      <c r="I332">
        <f>-340816/10^4</f>
      </c>
      <c r="J332">
        <f>0</f>
      </c>
    </row>
    <row r="333">
      <c r="A333" t="s">
        <v>342</v>
      </c>
      <c r="B333" t="s">
        <v>11</v>
      </c>
      <c r="C333">
        <f>117990320313/10^6</f>
      </c>
      <c r="D333">
        <f>0</f>
      </c>
      <c r="E333">
        <f>729694275/10^6</f>
      </c>
      <c r="F333">
        <f>0</f>
      </c>
      <c r="G333">
        <f>253630127/10^6</f>
      </c>
      <c r="H333">
        <f>0</f>
      </c>
      <c r="I333">
        <f>-33831367/10^6</f>
      </c>
      <c r="J333">
        <f>0</f>
      </c>
    </row>
    <row r="334">
      <c r="A334" t="s">
        <v>343</v>
      </c>
      <c r="B334" t="s">
        <v>11</v>
      </c>
      <c r="C334">
        <f>118659390625/10^6</f>
      </c>
      <c r="D334">
        <f>0</f>
      </c>
      <c r="E334">
        <f>726836243/10^6</f>
      </c>
      <c r="F334">
        <f>0</f>
      </c>
      <c r="G334">
        <f>25409758/10^5</f>
      </c>
      <c r="H334">
        <f>0</f>
      </c>
      <c r="I334">
        <f>-33426018/10^6</f>
      </c>
      <c r="J334">
        <f>0</f>
      </c>
    </row>
    <row r="335">
      <c r="A335" t="s">
        <v>344</v>
      </c>
      <c r="B335" t="s">
        <v>11</v>
      </c>
      <c r="C335">
        <f>11940278125/10^5</f>
      </c>
      <c r="D335">
        <f>0</f>
      </c>
      <c r="E335">
        <f>723535339/10^6</f>
      </c>
      <c r="F335">
        <f>0</f>
      </c>
      <c r="G335">
        <f>254620316/10^6</f>
      </c>
      <c r="H335">
        <f>0</f>
      </c>
      <c r="I335">
        <f>-32989769/10^6</f>
      </c>
      <c r="J335">
        <f>0</f>
      </c>
    </row>
    <row r="336">
      <c r="A336" t="s">
        <v>345</v>
      </c>
      <c r="B336" t="s">
        <v>11</v>
      </c>
      <c r="C336">
        <f>12017178125/10^5</f>
      </c>
      <c r="D336">
        <f>0</f>
      </c>
      <c r="E336">
        <f>719412781/10^6</f>
      </c>
      <c r="F336">
        <f>0</f>
      </c>
      <c r="G336">
        <f>254925949/10^6</f>
      </c>
      <c r="H336">
        <f>0</f>
      </c>
      <c r="I336">
        <f>-32575008/10^6</f>
      </c>
      <c r="J336">
        <f>0</f>
      </c>
    </row>
    <row r="337">
      <c r="A337" t="s">
        <v>346</v>
      </c>
      <c r="B337" t="s">
        <v>11</v>
      </c>
      <c r="C337">
        <f>120937914063/10^6</f>
      </c>
      <c r="D337">
        <f>0</f>
      </c>
      <c r="E337">
        <f>71506488/10^5</f>
      </c>
      <c r="F337">
        <f>0</f>
      </c>
      <c r="G337">
        <f>25525679/10^5</f>
      </c>
      <c r="H337">
        <f>0</f>
      </c>
      <c r="I337">
        <f>-31990519/10^6</f>
      </c>
      <c r="J337">
        <f>0</f>
      </c>
    </row>
    <row r="338">
      <c r="A338" t="s">
        <v>347</v>
      </c>
      <c r="B338" t="s">
        <v>11</v>
      </c>
      <c r="C338">
        <f>121685335938/10^6</f>
      </c>
      <c r="D338">
        <f>0</f>
      </c>
      <c r="E338">
        <f>711250183/10^6</f>
      </c>
      <c r="F338">
        <f>0</f>
      </c>
      <c r="G338">
        <f>255522095/10^6</f>
      </c>
      <c r="H338">
        <f>0</f>
      </c>
      <c r="I338">
        <f>-31530096/10^6</f>
      </c>
      <c r="J338">
        <f>0</f>
      </c>
    </row>
    <row r="339">
      <c r="A339" t="s">
        <v>348</v>
      </c>
      <c r="B339" t="s">
        <v>11</v>
      </c>
      <c r="C339">
        <f>12235109375/10^5</f>
      </c>
      <c r="D339">
        <f>0</f>
      </c>
      <c r="E339">
        <f>707772644/10^6</f>
      </c>
      <c r="F339">
        <f>0</f>
      </c>
      <c r="G339">
        <f>255663864/10^6</f>
      </c>
      <c r="H339">
        <f>0</f>
      </c>
      <c r="I339">
        <f>-30953838/10^6</f>
      </c>
      <c r="J339">
        <f>0</f>
      </c>
    </row>
    <row r="340">
      <c r="A340" t="s">
        <v>349</v>
      </c>
      <c r="B340" t="s">
        <v>11</v>
      </c>
      <c r="C340">
        <f>122818757813/10^6</f>
      </c>
      <c r="D340">
        <f>0</f>
      </c>
      <c r="E340">
        <f>704649414/10^6</f>
      </c>
      <c r="F340">
        <f>0</f>
      </c>
      <c r="G340">
        <f>25587027/10^5</f>
      </c>
      <c r="H340">
        <f>0</f>
      </c>
      <c r="I340">
        <f>-30239735/10^6</f>
      </c>
      <c r="J340">
        <f>0</f>
      </c>
    </row>
    <row r="341">
      <c r="A341" t="s">
        <v>350</v>
      </c>
      <c r="B341" t="s">
        <v>11</v>
      </c>
      <c r="C341">
        <f>123055859375/10^6</f>
      </c>
      <c r="D341">
        <f>0</f>
      </c>
      <c r="E341">
        <f>702400574/10^6</f>
      </c>
      <c r="F341">
        <f>0</f>
      </c>
      <c r="G341">
        <f>255830505/10^6</f>
      </c>
      <c r="H341">
        <f>0</f>
      </c>
      <c r="I341">
        <f>-30018764/10^6</f>
      </c>
      <c r="J341">
        <f>0</f>
      </c>
    </row>
    <row r="342">
      <c r="A342" t="s">
        <v>351</v>
      </c>
      <c r="B342" t="s">
        <v>11</v>
      </c>
      <c r="C342">
        <f>1231678125/10^4</f>
      </c>
      <c r="D342">
        <f>0</f>
      </c>
      <c r="E342">
        <f>70122821/10^5</f>
      </c>
      <c r="F342">
        <f>0</f>
      </c>
      <c r="G342">
        <f>255512405/10^6</f>
      </c>
      <c r="H342">
        <f>0</f>
      </c>
      <c r="I342">
        <f>-30003885/10^6</f>
      </c>
      <c r="J342">
        <f>0</f>
      </c>
    </row>
    <row r="343">
      <c r="A343" t="s">
        <v>352</v>
      </c>
      <c r="B343" t="s">
        <v>11</v>
      </c>
      <c r="C343">
        <f>123251960938/10^6</f>
      </c>
      <c r="D343">
        <f>0</f>
      </c>
      <c r="E343">
        <f>700653564/10^6</f>
      </c>
      <c r="F343">
        <f>0</f>
      </c>
      <c r="G343">
        <f>255326981/10^6</f>
      </c>
      <c r="H343">
        <f>0</f>
      </c>
      <c r="I343">
        <f>-29928196/10^6</f>
      </c>
      <c r="J343">
        <f>0</f>
      </c>
    </row>
    <row r="344">
      <c r="A344" t="s">
        <v>353</v>
      </c>
      <c r="B344" t="s">
        <v>11</v>
      </c>
      <c r="C344">
        <f>123329804688/10^6</f>
      </c>
      <c r="D344">
        <f>0</f>
      </c>
      <c r="E344">
        <f>700037842/10^6</f>
      </c>
      <c r="F344">
        <f>0</f>
      </c>
      <c r="G344">
        <f>255317932/10^6</f>
      </c>
      <c r="H344">
        <f>0</f>
      </c>
      <c r="I344">
        <f>-30082832/10^6</f>
      </c>
      <c r="J344">
        <f>0</f>
      </c>
    </row>
    <row r="345">
      <c r="A345" t="s">
        <v>354</v>
      </c>
      <c r="B345" t="s">
        <v>11</v>
      </c>
      <c r="C345">
        <f>123388195313/10^6</f>
      </c>
      <c r="D345">
        <f>0</f>
      </c>
      <c r="E345">
        <f>699485657/10^6</f>
      </c>
      <c r="F345">
        <f>0</f>
      </c>
      <c r="G345">
        <f>25531749/10^5</f>
      </c>
      <c r="H345">
        <f>0</f>
      </c>
      <c r="I345">
        <f>-30301071/10^6</f>
      </c>
      <c r="J345">
        <f>0</f>
      </c>
    </row>
    <row r="346">
      <c r="A346" t="s">
        <v>355</v>
      </c>
      <c r="B346" t="s">
        <v>11</v>
      </c>
      <c r="C346">
        <f>123394375/10^3</f>
      </c>
      <c r="D346">
        <f>0</f>
      </c>
      <c r="E346">
        <f>699139099/10^6</f>
      </c>
      <c r="F346">
        <f>0</f>
      </c>
      <c r="G346">
        <f>255187332/10^6</f>
      </c>
      <c r="H346">
        <f>0</f>
      </c>
      <c r="I346">
        <f>-30389065/10^6</f>
      </c>
      <c r="J346">
        <f>0</f>
      </c>
    </row>
    <row r="347">
      <c r="A347" t="s">
        <v>356</v>
      </c>
      <c r="B347" t="s">
        <v>11</v>
      </c>
      <c r="C347">
        <f>123316140625/10^6</f>
      </c>
      <c r="D347">
        <f>0</f>
      </c>
      <c r="E347">
        <f>698894104/10^6</f>
      </c>
      <c r="F347">
        <f>0</f>
      </c>
      <c r="G347">
        <f>254968033/10^6</f>
      </c>
      <c r="H347">
        <f>0</f>
      </c>
      <c r="I347">
        <f>-30410969/10^6</f>
      </c>
      <c r="J347">
        <f>0</f>
      </c>
    </row>
    <row r="348">
      <c r="A348" t="s">
        <v>357</v>
      </c>
      <c r="B348" t="s">
        <v>11</v>
      </c>
      <c r="C348">
        <f>123140796875/10^6</f>
      </c>
      <c r="D348">
        <f>0</f>
      </c>
      <c r="E348">
        <f>699106018/10^6</f>
      </c>
      <c r="F348">
        <f>0</f>
      </c>
      <c r="G348">
        <f>254802521/10^6</f>
      </c>
      <c r="H348">
        <f>0</f>
      </c>
      <c r="I348">
        <f>-3048805/10^5</f>
      </c>
      <c r="J348">
        <f>0</f>
      </c>
    </row>
    <row r="349">
      <c r="A349" t="s">
        <v>358</v>
      </c>
      <c r="B349" t="s">
        <v>11</v>
      </c>
      <c r="C349">
        <f>122893617188/10^6</f>
      </c>
      <c r="D349">
        <f>0</f>
      </c>
      <c r="E349">
        <f>699901367/10^6</f>
      </c>
      <c r="F349">
        <f>0</f>
      </c>
      <c r="G349">
        <f>254515244/10^6</f>
      </c>
      <c r="H349">
        <f>0</f>
      </c>
      <c r="I349">
        <f>-30774824/10^6</f>
      </c>
      <c r="J349">
        <f>0</f>
      </c>
    </row>
    <row r="350">
      <c r="A350" t="s">
        <v>359</v>
      </c>
      <c r="B350" t="s">
        <v>11</v>
      </c>
      <c r="C350">
        <f>122620640625/10^6</f>
      </c>
      <c r="D350">
        <f>0</f>
      </c>
      <c r="E350">
        <f>701070068/10^6</f>
      </c>
      <c r="F350">
        <f>0</f>
      </c>
      <c r="G350">
        <f>254164673/10^6</f>
      </c>
      <c r="H350">
        <f>0</f>
      </c>
      <c r="I350">
        <f>-31074282/10^6</f>
      </c>
      <c r="J350">
        <f>0</f>
      </c>
    </row>
    <row r="351">
      <c r="A351" t="s">
        <v>360</v>
      </c>
      <c r="B351" t="s">
        <v>11</v>
      </c>
      <c r="C351">
        <f>1223306875/10^4</f>
      </c>
      <c r="D351">
        <f>0</f>
      </c>
      <c r="E351">
        <f>70259137/10^5</f>
      </c>
      <c r="F351">
        <f>0</f>
      </c>
      <c r="G351">
        <f>254010803/10^6</f>
      </c>
      <c r="H351">
        <f>0</f>
      </c>
      <c r="I351">
        <f>-31345623/10^6</f>
      </c>
      <c r="J351">
        <f>0</f>
      </c>
    </row>
    <row r="352">
      <c r="A352" t="s">
        <v>361</v>
      </c>
      <c r="B352" t="s">
        <v>11</v>
      </c>
      <c r="C352">
        <f>122011851563/10^6</f>
      </c>
      <c r="D352">
        <f>0</f>
      </c>
      <c r="E352">
        <f>704264832/10^6</f>
      </c>
      <c r="F352">
        <f>0</f>
      </c>
      <c r="G352">
        <f>253913208/10^6</f>
      </c>
      <c r="H352">
        <f>0</f>
      </c>
      <c r="I352">
        <f>-31732105/10^6</f>
      </c>
      <c r="J352">
        <f>0</f>
      </c>
    </row>
    <row r="353">
      <c r="A353" t="s">
        <v>362</v>
      </c>
      <c r="B353" t="s">
        <v>11</v>
      </c>
      <c r="C353">
        <f>12168040625/10^5</f>
      </c>
      <c r="D353">
        <f>0</f>
      </c>
      <c r="E353">
        <f>705881897/10^6</f>
      </c>
      <c r="F353">
        <f>0</f>
      </c>
      <c r="G353">
        <f>253803757/10^6</f>
      </c>
      <c r="H353">
        <f>0</f>
      </c>
      <c r="I353">
        <f>-32059429/10^6</f>
      </c>
      <c r="J353">
        <f>0</f>
      </c>
    </row>
    <row r="354">
      <c r="A354" t="s">
        <v>363</v>
      </c>
      <c r="B354" t="s">
        <v>11</v>
      </c>
      <c r="C354">
        <f>121361054688/10^6</f>
      </c>
      <c r="D354">
        <f>0</f>
      </c>
      <c r="E354">
        <f>707576782/10^6</f>
      </c>
      <c r="F354">
        <f>0</f>
      </c>
      <c r="G354">
        <f>25370993/10^5</f>
      </c>
      <c r="H354">
        <f>0</f>
      </c>
      <c r="I354">
        <f>-32439621/10^6</f>
      </c>
      <c r="J354">
        <f>0</f>
      </c>
    </row>
    <row r="355">
      <c r="A355" t="s">
        <v>364</v>
      </c>
      <c r="B355" t="s">
        <v>11</v>
      </c>
      <c r="C355">
        <f>121054648438/10^6</f>
      </c>
      <c r="D355">
        <f>0</f>
      </c>
      <c r="E355">
        <f>709469055/10^6</f>
      </c>
      <c r="F355">
        <f>0</f>
      </c>
      <c r="G355">
        <f>253606003/10^6</f>
      </c>
      <c r="H355">
        <f>0</f>
      </c>
      <c r="I355">
        <f>-32847958/10^6</f>
      </c>
      <c r="J355">
        <f>0</f>
      </c>
    </row>
    <row r="356">
      <c r="A356" t="s">
        <v>365</v>
      </c>
      <c r="B356" t="s">
        <v>11</v>
      </c>
      <c r="C356">
        <f>120749671875/10^6</f>
      </c>
      <c r="D356">
        <f>0</f>
      </c>
      <c r="E356">
        <f>711379822/10^6</f>
      </c>
      <c r="F356">
        <f>0</f>
      </c>
      <c r="G356">
        <f>25354538/10^5</f>
      </c>
      <c r="H356">
        <f>0</f>
      </c>
      <c r="I356">
        <f>-33203648/10^6</f>
      </c>
      <c r="J356">
        <f>0</f>
      </c>
    </row>
    <row r="357">
      <c r="A357" t="s">
        <v>366</v>
      </c>
      <c r="B357" t="s">
        <v>11</v>
      </c>
      <c r="C357">
        <f>12044196875/10^5</f>
      </c>
      <c r="D357">
        <f>0</f>
      </c>
      <c r="E357">
        <f>71306665/10^5</f>
      </c>
      <c r="F357">
        <f>0</f>
      </c>
      <c r="G357">
        <f>253531281/10^6</f>
      </c>
      <c r="H357">
        <f>0</f>
      </c>
      <c r="I357">
        <f>-33692932/10^6</f>
      </c>
      <c r="J357">
        <f>0</f>
      </c>
    </row>
    <row r="358">
      <c r="A358" t="s">
        <v>367</v>
      </c>
      <c r="B358" t="s">
        <v>11</v>
      </c>
      <c r="C358">
        <f>120130671875/10^6</f>
      </c>
      <c r="D358">
        <f>0</f>
      </c>
      <c r="E358">
        <f>714639465/10^6</f>
      </c>
      <c r="F358">
        <f>0</f>
      </c>
      <c r="G358">
        <f>253493423/10^6</f>
      </c>
      <c r="H358">
        <f>0</f>
      </c>
      <c r="I358">
        <f>-34086796/10^6</f>
      </c>
      <c r="J358">
        <f>0</f>
      </c>
    </row>
    <row r="359">
      <c r="A359" t="s">
        <v>368</v>
      </c>
      <c r="B359" t="s">
        <v>11</v>
      </c>
      <c r="C359">
        <f>119816171875/10^6</f>
      </c>
      <c r="D359">
        <f>0</f>
      </c>
      <c r="E359">
        <f>716356934/10^6</f>
      </c>
      <c r="F359">
        <f>0</f>
      </c>
      <c r="G359">
        <f>253333542/10^6</f>
      </c>
      <c r="H359">
        <f>0</f>
      </c>
      <c r="I359">
        <f>-3440258/10^5</f>
      </c>
      <c r="J359">
        <f>0</f>
      </c>
    </row>
    <row r="360">
      <c r="A360" t="s">
        <v>369</v>
      </c>
      <c r="B360" t="s">
        <v>11</v>
      </c>
      <c r="C360">
        <f>119506539063/10^6</f>
      </c>
      <c r="D360">
        <f>0</f>
      </c>
      <c r="E360">
        <f>718093323/10^6</f>
      </c>
      <c r="F360">
        <f>0</f>
      </c>
      <c r="G360">
        <f>253149307/10^6</f>
      </c>
      <c r="H360">
        <f>0</f>
      </c>
      <c r="I360">
        <f>-34748623/10^6</f>
      </c>
      <c r="J360">
        <f>0</f>
      </c>
    </row>
    <row r="361">
      <c r="A361" t="s">
        <v>370</v>
      </c>
      <c r="B361" t="s">
        <v>11</v>
      </c>
      <c r="C361">
        <f>11920784375/10^5</f>
      </c>
      <c r="D361">
        <f>0</f>
      </c>
      <c r="E361">
        <f>719694336/10^6</f>
      </c>
      <c r="F361">
        <f>0</f>
      </c>
      <c r="G361">
        <f>253060608/10^6</f>
      </c>
      <c r="H361">
        <f>0</f>
      </c>
      <c r="I361">
        <f>-35035252/10^6</f>
      </c>
      <c r="J361">
        <f>0</f>
      </c>
    </row>
    <row r="362">
      <c r="A362" t="s">
        <v>371</v>
      </c>
      <c r="B362" t="s">
        <v>11</v>
      </c>
      <c r="C362">
        <f>118922898438/10^6</f>
      </c>
      <c r="D362">
        <f>0</f>
      </c>
      <c r="E362">
        <f>721262817/10^6</f>
      </c>
      <c r="F362">
        <f>0</f>
      </c>
      <c r="G362">
        <f>252976059/10^6</f>
      </c>
      <c r="H362">
        <f>0</f>
      </c>
      <c r="I362">
        <f>-35369755/10^6</f>
      </c>
      <c r="J362">
        <f>0</f>
      </c>
    </row>
    <row r="363">
      <c r="A363" t="s">
        <v>372</v>
      </c>
      <c r="B363" t="s">
        <v>11</v>
      </c>
      <c r="C363">
        <f>1186524375/10^4</f>
      </c>
      <c r="D363">
        <f>0</f>
      </c>
      <c r="E363">
        <f>72280542/10^5</f>
      </c>
      <c r="F363">
        <f>0</f>
      </c>
      <c r="G363">
        <f>252899612/10^6</f>
      </c>
      <c r="H363">
        <f>0</f>
      </c>
      <c r="I363">
        <f>-35654736/10^6</f>
      </c>
      <c r="J363">
        <f>0</f>
      </c>
    </row>
    <row r="364">
      <c r="A364" t="s">
        <v>373</v>
      </c>
      <c r="B364" t="s">
        <v>11</v>
      </c>
      <c r="C364">
        <f>118396953125/10^6</f>
      </c>
      <c r="D364">
        <f>0</f>
      </c>
      <c r="E364">
        <f>724404236/10^6</f>
      </c>
      <c r="F364">
        <f>0</f>
      </c>
      <c r="G364">
        <f>25284317/10^5</f>
      </c>
      <c r="H364">
        <f>0</f>
      </c>
      <c r="I364">
        <f>-35952812/10^6</f>
      </c>
      <c r="J364">
        <f>0</f>
      </c>
    </row>
    <row r="365">
      <c r="A365" t="s">
        <v>374</v>
      </c>
      <c r="B365" t="s">
        <v>11</v>
      </c>
      <c r="C365">
        <f>1181504375/10^4</f>
      </c>
      <c r="D365">
        <f>0</f>
      </c>
      <c r="E365">
        <f>726087036/10^6</f>
      </c>
      <c r="F365">
        <f>0</f>
      </c>
      <c r="G365">
        <f>252776886/10^6</f>
      </c>
      <c r="H365">
        <f>0</f>
      </c>
      <c r="I365">
        <f>-3628915/10^5</f>
      </c>
      <c r="J365">
        <f>0</f>
      </c>
    </row>
    <row r="366">
      <c r="A366" t="s">
        <v>375</v>
      </c>
      <c r="B366" t="s">
        <v>11</v>
      </c>
      <c r="C366">
        <f>117920054688/10^6</f>
      </c>
      <c r="D366">
        <f>0</f>
      </c>
      <c r="E366">
        <f>727596497/10^6</f>
      </c>
      <c r="F366">
        <f>0</f>
      </c>
      <c r="G366">
        <f>252771957/10^6</f>
      </c>
      <c r="H366">
        <f>0</f>
      </c>
      <c r="I366">
        <f>-36520828/10^6</f>
      </c>
      <c r="J366">
        <f>0</f>
      </c>
    </row>
    <row r="367">
      <c r="A367" t="s">
        <v>376</v>
      </c>
      <c r="B367" t="s">
        <v>11</v>
      </c>
      <c r="C367">
        <f>117736453125/10^6</f>
      </c>
      <c r="D367">
        <f>0</f>
      </c>
      <c r="E367">
        <f>7290755/10^4</f>
      </c>
      <c r="F367">
        <f>0</f>
      </c>
      <c r="G367">
        <f>252783127/10^6</f>
      </c>
      <c r="H367">
        <f>0</f>
      </c>
      <c r="I367">
        <f>-3674596/10^5</f>
      </c>
      <c r="J367">
        <f>0</f>
      </c>
    </row>
    <row r="368">
      <c r="A368" t="s">
        <v>377</v>
      </c>
      <c r="B368" t="s">
        <v>11</v>
      </c>
      <c r="C368">
        <f>117587804688/10^6</f>
      </c>
      <c r="D368">
        <f>0</f>
      </c>
      <c r="E368">
        <f>730527405/10^6</f>
      </c>
      <c r="F368">
        <f>0</f>
      </c>
      <c r="G368">
        <f>252789276/10^6</f>
      </c>
      <c r="H368">
        <f>0</f>
      </c>
      <c r="I368">
        <f>-36954742/10^6</f>
      </c>
      <c r="J368">
        <f>0</f>
      </c>
    </row>
    <row r="369">
      <c r="A369" t="s">
        <v>378</v>
      </c>
      <c r="B369" t="s">
        <v>11</v>
      </c>
      <c r="C369">
        <f>11743396875/10^5</f>
      </c>
      <c r="D369">
        <f>0</f>
      </c>
      <c r="E369">
        <f>731551453/10^6</f>
      </c>
      <c r="F369">
        <f>0</f>
      </c>
      <c r="G369">
        <f>252951111/10^6</f>
      </c>
      <c r="H369">
        <f>0</f>
      </c>
      <c r="I369">
        <f>-37252525/10^6</f>
      </c>
      <c r="J369">
        <f>0</f>
      </c>
    </row>
    <row r="370">
      <c r="A370" t="s">
        <v>379</v>
      </c>
      <c r="B370" t="s">
        <v>11</v>
      </c>
      <c r="C370">
        <f>117267601563/10^6</f>
      </c>
      <c r="D370">
        <f>0</f>
      </c>
      <c r="E370">
        <f>732449341/10^6</f>
      </c>
      <c r="F370">
        <f>0</f>
      </c>
      <c r="G370">
        <f>25317395/10^5</f>
      </c>
      <c r="H370">
        <f>0</f>
      </c>
      <c r="I370">
        <f>-37603371/10^6</f>
      </c>
      <c r="J370">
        <f>0</f>
      </c>
    </row>
    <row r="371">
      <c r="A371" t="s">
        <v>380</v>
      </c>
      <c r="B371" t="s">
        <v>11</v>
      </c>
      <c r="C371">
        <f>117098773438/10^6</f>
      </c>
      <c r="D371">
        <f>0</f>
      </c>
      <c r="E371">
        <f>733477478/10^6</f>
      </c>
      <c r="F371">
        <f>0</f>
      </c>
      <c r="G371">
        <f>253179489/10^6</f>
      </c>
      <c r="H371">
        <f>0</f>
      </c>
      <c r="I371">
        <f>-37773209/10^6</f>
      </c>
      <c r="J371">
        <f>0</f>
      </c>
    </row>
    <row r="372">
      <c r="A372" t="s">
        <v>381</v>
      </c>
      <c r="B372" t="s">
        <v>11</v>
      </c>
      <c r="C372">
        <f>116933460938/10^6</f>
      </c>
      <c r="D372">
        <f>0</f>
      </c>
      <c r="E372">
        <f>734451233/10^6</f>
      </c>
      <c r="F372">
        <f>0</f>
      </c>
      <c r="G372">
        <f>253043457/10^6</f>
      </c>
      <c r="H372">
        <f>0</f>
      </c>
      <c r="I372">
        <f>-37866272/10^6</f>
      </c>
      <c r="J372">
        <f>0</f>
      </c>
    </row>
    <row r="373">
      <c r="A373" t="s">
        <v>382</v>
      </c>
      <c r="B373" t="s">
        <v>11</v>
      </c>
      <c r="C373">
        <f>116765484375/10^6</f>
      </c>
      <c r="D373">
        <f>0</f>
      </c>
      <c r="E373">
        <f>735501465/10^6</f>
      </c>
      <c r="F373">
        <f>0</f>
      </c>
      <c r="G373">
        <f>252973206/10^6</f>
      </c>
      <c r="H373">
        <f>0</f>
      </c>
      <c r="I373">
        <f>-37989399/10^6</f>
      </c>
      <c r="J373">
        <f>0</f>
      </c>
    </row>
    <row r="374">
      <c r="A374" t="s">
        <v>383</v>
      </c>
      <c r="B374" t="s">
        <v>11</v>
      </c>
      <c r="C374">
        <f>116596648438/10^6</f>
      </c>
      <c r="D374">
        <f>0</f>
      </c>
      <c r="E374">
        <f>736589905/10^6</f>
      </c>
      <c r="F374">
        <f>0</f>
      </c>
      <c r="G374">
        <f>252961349/10^6</f>
      </c>
      <c r="H374">
        <f>0</f>
      </c>
      <c r="I374">
        <f>-38199146/10^6</f>
      </c>
      <c r="J374">
        <f>0</f>
      </c>
    </row>
    <row r="375">
      <c r="A375" t="s">
        <v>384</v>
      </c>
      <c r="B375" t="s">
        <v>11</v>
      </c>
      <c r="C375">
        <f>116431117188/10^6</f>
      </c>
      <c r="D375">
        <f>0</f>
      </c>
      <c r="E375">
        <f>737581116/10^6</f>
      </c>
      <c r="F375">
        <f>0</f>
      </c>
      <c r="G375">
        <f>25296402/10^5</f>
      </c>
      <c r="H375">
        <f>0</f>
      </c>
      <c r="I375">
        <f>-38425598/10^6</f>
      </c>
      <c r="J375">
        <f>0</f>
      </c>
    </row>
    <row r="376">
      <c r="A376" t="s">
        <v>385</v>
      </c>
      <c r="B376" t="s">
        <v>11</v>
      </c>
      <c r="C376">
        <f>116245289063/10^6</f>
      </c>
      <c r="D376">
        <f>0</f>
      </c>
      <c r="E376">
        <f>738593689/10^6</f>
      </c>
      <c r="F376">
        <f>0</f>
      </c>
      <c r="G376">
        <f>252884048/10^6</f>
      </c>
      <c r="H376">
        <f>0</f>
      </c>
      <c r="I376">
        <f>-38579201/10^6</f>
      </c>
      <c r="J376">
        <f>0</f>
      </c>
    </row>
    <row r="377">
      <c r="A377" t="s">
        <v>386</v>
      </c>
      <c r="B377" t="s">
        <v>11</v>
      </c>
      <c r="C377">
        <f>116025710938/10^6</f>
      </c>
      <c r="D377">
        <f>0</f>
      </c>
      <c r="E377">
        <f>739795227/10^6</f>
      </c>
      <c r="F377">
        <f>0</f>
      </c>
      <c r="G377">
        <f>25266098/10^5</f>
      </c>
      <c r="H377">
        <f>0</f>
      </c>
      <c r="I377">
        <f>-3876128/10^5</f>
      </c>
      <c r="J377">
        <f>0</f>
      </c>
    </row>
    <row r="378">
      <c r="A378" t="s">
        <v>387</v>
      </c>
      <c r="B378" t="s">
        <v>11</v>
      </c>
      <c r="C378">
        <f>115809640625/10^6</f>
      </c>
      <c r="D378">
        <f>0</f>
      </c>
      <c r="E378">
        <f>741180237/10^6</f>
      </c>
      <c r="F378">
        <f>0</f>
      </c>
      <c r="G378">
        <f>252524094/10^6</f>
      </c>
      <c r="H378">
        <f>0</f>
      </c>
      <c r="I378">
        <f>-38900616/10^6</f>
      </c>
      <c r="J378">
        <f>0</f>
      </c>
    </row>
    <row r="379">
      <c r="A379" t="s">
        <v>388</v>
      </c>
      <c r="B379" t="s">
        <v>11</v>
      </c>
      <c r="C379">
        <f>115649265625/10^6</f>
      </c>
      <c r="D379">
        <f>0</f>
      </c>
      <c r="E379">
        <f>742383728/10^6</f>
      </c>
      <c r="F379">
        <f>0</f>
      </c>
      <c r="G379">
        <f>252617004/10^6</f>
      </c>
      <c r="H379">
        <f>0</f>
      </c>
      <c r="I379">
        <f>-39053471/10^6</f>
      </c>
      <c r="J379">
        <f>0</f>
      </c>
    </row>
    <row r="380">
      <c r="A380" t="s">
        <v>389</v>
      </c>
      <c r="B380" t="s">
        <v>11</v>
      </c>
      <c r="C380">
        <f>115550867188/10^6</f>
      </c>
      <c r="D380">
        <f>0</f>
      </c>
      <c r="E380">
        <f>743134644/10^6</f>
      </c>
      <c r="F380">
        <f>0</f>
      </c>
      <c r="G380">
        <f>252742554/10^6</f>
      </c>
      <c r="H380">
        <f>0</f>
      </c>
      <c r="I380">
        <f>-39282692/10^6</f>
      </c>
      <c r="J380">
        <f>0</f>
      </c>
    </row>
    <row r="381">
      <c r="A381" t="s">
        <v>390</v>
      </c>
      <c r="B381" t="s">
        <v>11</v>
      </c>
      <c r="C381">
        <f>115467421875/10^6</f>
      </c>
      <c r="D381">
        <f>0</f>
      </c>
      <c r="E381">
        <f>743504333/10^6</f>
      </c>
      <c r="F381">
        <f>0</f>
      </c>
      <c r="G381">
        <f>252720306/10^6</f>
      </c>
      <c r="H381">
        <f>0</f>
      </c>
      <c r="I381">
        <f>-39243095/10^6</f>
      </c>
      <c r="J381">
        <f>0</f>
      </c>
    </row>
    <row r="382">
      <c r="A382" t="s">
        <v>391</v>
      </c>
      <c r="B382" t="s">
        <v>11</v>
      </c>
      <c r="C382">
        <f>115371585938/10^6</f>
      </c>
      <c r="D382">
        <f>0</f>
      </c>
      <c r="E382">
        <f>743780701/10^6</f>
      </c>
      <c r="F382">
        <f>0</f>
      </c>
      <c r="G382">
        <f>252600525/10^6</f>
      </c>
      <c r="H382">
        <f>0</f>
      </c>
      <c r="I382">
        <f>-3891589/10^5</f>
      </c>
      <c r="J382">
        <f>0</f>
      </c>
    </row>
    <row r="383">
      <c r="A383" t="s">
        <v>392</v>
      </c>
      <c r="B383" t="s">
        <v>11</v>
      </c>
      <c r="C383">
        <f>115283710938/10^6</f>
      </c>
      <c r="D383">
        <f>0</f>
      </c>
      <c r="E383">
        <f>744282654/10^6</f>
      </c>
      <c r="F383">
        <f>0</f>
      </c>
      <c r="G383">
        <f>252543167/10^6</f>
      </c>
      <c r="H383">
        <f>0</f>
      </c>
      <c r="I383">
        <f>-38741127/10^6</f>
      </c>
      <c r="J383">
        <f>0</f>
      </c>
    </row>
    <row r="384">
      <c r="A384" t="s">
        <v>393</v>
      </c>
      <c r="B384" t="s">
        <v>11</v>
      </c>
      <c r="C384">
        <f>115198789063/10^6</f>
      </c>
      <c r="D384">
        <f>0</f>
      </c>
      <c r="E384">
        <f>744955811/10^6</f>
      </c>
      <c r="F384">
        <f>0</f>
      </c>
      <c r="G384">
        <f>252574036/10^6</f>
      </c>
      <c r="H384">
        <f>0</f>
      </c>
      <c r="I384">
        <f>-38825573/10^6</f>
      </c>
      <c r="J384">
        <f>0</f>
      </c>
    </row>
    <row r="385">
      <c r="A385" t="s">
        <v>394</v>
      </c>
      <c r="B385" t="s">
        <v>11</v>
      </c>
      <c r="C385">
        <f>115116601563/10^6</f>
      </c>
      <c r="D385">
        <f>0</f>
      </c>
      <c r="E385">
        <f>745431274/10^6</f>
      </c>
      <c r="F385">
        <f>0</f>
      </c>
      <c r="G385">
        <f>252597076/10^6</f>
      </c>
      <c r="H385">
        <f>0</f>
      </c>
      <c r="I385">
        <f>-38922371/10^6</f>
      </c>
      <c r="J385">
        <f>0</f>
      </c>
    </row>
    <row r="386">
      <c r="A386" t="s">
        <v>395</v>
      </c>
      <c r="B386" t="s">
        <v>11</v>
      </c>
      <c r="C386">
        <f>1150880625/10^4</f>
      </c>
      <c r="D386">
        <f>0</f>
      </c>
      <c r="E386">
        <f>745554382/10^6</f>
      </c>
      <c r="F386">
        <f>0</f>
      </c>
      <c r="G386">
        <f>25262085/10^5</f>
      </c>
      <c r="H386">
        <f>0</f>
      </c>
      <c r="I386">
        <f>-38903847/10^6</f>
      </c>
      <c r="J386">
        <f>0</f>
      </c>
    </row>
    <row r="387">
      <c r="A387" t="s">
        <v>396</v>
      </c>
      <c r="B387" t="s">
        <v>11</v>
      </c>
      <c r="C387">
        <f>115110359375/10^6</f>
      </c>
      <c r="D387">
        <f>0</f>
      </c>
      <c r="E387">
        <f>745634033/10^6</f>
      </c>
      <c r="F387">
        <f>0</f>
      </c>
      <c r="G387">
        <f>252679535/10^6</f>
      </c>
      <c r="H387">
        <f>0</f>
      </c>
      <c r="I387">
        <f>-38821613/10^6</f>
      </c>
      <c r="J387">
        <f>0</f>
      </c>
    </row>
    <row r="388">
      <c r="A388" t="s">
        <v>397</v>
      </c>
      <c r="B388" t="s">
        <v>11</v>
      </c>
      <c r="C388">
        <f>115134921875/10^6</f>
      </c>
      <c r="D388">
        <f>0</f>
      </c>
      <c r="E388">
        <f>745876892/10^6</f>
      </c>
      <c r="F388">
        <f>0</f>
      </c>
      <c r="G388">
        <f>252725555/10^6</f>
      </c>
      <c r="H388">
        <f>0</f>
      </c>
      <c r="I388">
        <f>-38808167/10^6</f>
      </c>
      <c r="J388">
        <f>0</f>
      </c>
    </row>
    <row r="389">
      <c r="A389" t="s">
        <v>398</v>
      </c>
      <c r="B389" t="s">
        <v>11</v>
      </c>
      <c r="C389">
        <f>1151695625/10^4</f>
      </c>
      <c r="D389">
        <f>0</f>
      </c>
      <c r="E389">
        <f>745975647/10^6</f>
      </c>
      <c r="F389">
        <f>0</f>
      </c>
      <c r="G389">
        <f>252735199/10^6</f>
      </c>
      <c r="H389">
        <f>0</f>
      </c>
      <c r="I389">
        <f>-38813473/10^6</f>
      </c>
      <c r="J389">
        <f>0</f>
      </c>
    </row>
    <row r="390">
      <c r="A390" t="s">
        <v>399</v>
      </c>
      <c r="B390" t="s">
        <v>11</v>
      </c>
      <c r="C390">
        <f>115239015625/10^6</f>
      </c>
      <c r="D390">
        <f>0</f>
      </c>
      <c r="E390">
        <f>745859558/10^6</f>
      </c>
      <c r="F390">
        <f>0</f>
      </c>
      <c r="G390">
        <f>252727386/10^6</f>
      </c>
      <c r="H390">
        <f>0</f>
      </c>
      <c r="I390">
        <f>-38728127/10^6</f>
      </c>
      <c r="J390">
        <f>0</f>
      </c>
    </row>
    <row r="391">
      <c r="A391" t="s">
        <v>400</v>
      </c>
      <c r="B391" t="s">
        <v>11</v>
      </c>
      <c r="C391">
        <f>115332695313/10^6</f>
      </c>
      <c r="D391">
        <f>0</f>
      </c>
      <c r="E391">
        <f>745796936/10^6</f>
      </c>
      <c r="F391">
        <f>0</f>
      </c>
      <c r="G391">
        <f>252790024/10^6</f>
      </c>
      <c r="H391">
        <f>0</f>
      </c>
      <c r="I391">
        <f>-38972271/10^6</f>
      </c>
      <c r="J391">
        <f>0</f>
      </c>
    </row>
    <row r="392">
      <c r="A392" t="s">
        <v>401</v>
      </c>
      <c r="B392" t="s">
        <v>11</v>
      </c>
      <c r="C392">
        <f>115433914063/10^6</f>
      </c>
      <c r="D392">
        <f>0</f>
      </c>
      <c r="E392">
        <f>745613403/10^6</f>
      </c>
      <c r="F392">
        <f>0</f>
      </c>
      <c r="G392">
        <f>252944229/10^6</f>
      </c>
      <c r="H392">
        <f>0</f>
      </c>
      <c r="I392">
        <f>-39640015/10^6</f>
      </c>
      <c r="J392">
        <f>0</f>
      </c>
    </row>
    <row r="393">
      <c r="A393" t="s">
        <v>402</v>
      </c>
      <c r="B393" t="s">
        <v>11</v>
      </c>
      <c r="C393">
        <f>115537992188/10^6</f>
      </c>
      <c r="D393">
        <f>0</f>
      </c>
      <c r="E393">
        <f>745145508/10^6</f>
      </c>
      <c r="F393">
        <f>0</f>
      </c>
      <c r="G393">
        <f>253053604/10^6</f>
      </c>
      <c r="H393">
        <f>0</f>
      </c>
      <c r="I393">
        <f>-40053761/10^6</f>
      </c>
      <c r="J393">
        <f>0</f>
      </c>
    </row>
    <row r="394">
      <c r="A394" t="s">
        <v>403</v>
      </c>
      <c r="B394" t="s">
        <v>11</v>
      </c>
      <c r="C394">
        <f>115655976563/10^6</f>
      </c>
      <c r="D394">
        <f>0</f>
      </c>
      <c r="E394">
        <f>744629883/10^6</f>
      </c>
      <c r="F394">
        <f>0</f>
      </c>
      <c r="G394">
        <f>253063705/10^6</f>
      </c>
      <c r="H394">
        <f>0</f>
      </c>
      <c r="I394">
        <f>-40257149/10^6</f>
      </c>
      <c r="J394">
        <f>0</f>
      </c>
    </row>
    <row r="395">
      <c r="A395" t="s">
        <v>404</v>
      </c>
      <c r="B395" t="s">
        <v>11</v>
      </c>
      <c r="C395">
        <f>115809835938/10^6</f>
      </c>
      <c r="D395">
        <f>0</f>
      </c>
      <c r="E395">
        <f>74402002/10^5</f>
      </c>
      <c r="F395">
        <f>0</f>
      </c>
      <c r="G395">
        <f>253044067/10^6</f>
      </c>
      <c r="H395">
        <f>0</f>
      </c>
      <c r="I395">
        <f>-4056097/10^5</f>
      </c>
      <c r="J395">
        <f>0</f>
      </c>
    </row>
    <row r="396">
      <c r="A396" t="s">
        <v>405</v>
      </c>
      <c r="B396" t="s">
        <v>11</v>
      </c>
      <c r="C396">
        <f>116005460938/10^6</f>
      </c>
      <c r="D396">
        <f>0</f>
      </c>
      <c r="E396">
        <f>74316449/10^5</f>
      </c>
      <c r="F396">
        <f>0</f>
      </c>
      <c r="G396">
        <f>253174042/10^6</f>
      </c>
      <c r="H396">
        <f>0</f>
      </c>
      <c r="I396">
        <f>-40566895/10^6</f>
      </c>
      <c r="J396">
        <f>0</f>
      </c>
    </row>
    <row r="397">
      <c r="A397" t="s">
        <v>406</v>
      </c>
      <c r="B397" t="s">
        <v>11</v>
      </c>
      <c r="C397">
        <f>116238570313/10^6</f>
      </c>
      <c r="D397">
        <f>0</f>
      </c>
      <c r="E397">
        <f>742062927/10^6</f>
      </c>
      <c r="F397">
        <f>0</f>
      </c>
      <c r="G397">
        <f>253452118/10^6</f>
      </c>
      <c r="H397">
        <f>0</f>
      </c>
      <c r="I397">
        <f>-40348518/10^6</f>
      </c>
      <c r="J397">
        <f>0</f>
      </c>
    </row>
    <row r="398">
      <c r="A398" t="s">
        <v>407</v>
      </c>
      <c r="B398" t="s">
        <v>11</v>
      </c>
      <c r="C398">
        <f>116505328125/10^6</f>
      </c>
      <c r="D398">
        <f>0</f>
      </c>
      <c r="E398">
        <f>740640869/10^6</f>
      </c>
      <c r="F398">
        <f>0</f>
      </c>
      <c r="G398">
        <f>253651718/10^6</f>
      </c>
      <c r="H398">
        <f>0</f>
      </c>
      <c r="I398">
        <f>-40197472/10^6</f>
      </c>
      <c r="J398">
        <f>0</f>
      </c>
    </row>
    <row r="399">
      <c r="A399" t="s">
        <v>408</v>
      </c>
      <c r="B399" t="s">
        <v>11</v>
      </c>
      <c r="C399">
        <f>116801359375/10^6</f>
      </c>
      <c r="D399">
        <f>0</f>
      </c>
      <c r="E399">
        <f>739039673/10^6</f>
      </c>
      <c r="F399">
        <f>0</f>
      </c>
      <c r="G399">
        <f>253833603/10^6</f>
      </c>
      <c r="H399">
        <f>0</f>
      </c>
      <c r="I399">
        <f>-39915501/10^6</f>
      </c>
      <c r="J399">
        <f>0</f>
      </c>
    </row>
    <row r="400">
      <c r="A400" t="s">
        <v>409</v>
      </c>
      <c r="B400" t="s">
        <v>11</v>
      </c>
      <c r="C400">
        <f>117155515625/10^6</f>
      </c>
      <c r="D400">
        <f>0</f>
      </c>
      <c r="E400">
        <f>737419434/10^6</f>
      </c>
      <c r="F400">
        <f>0</f>
      </c>
      <c r="G400">
        <f>254038681/10^6</f>
      </c>
      <c r="H400">
        <f>0</f>
      </c>
      <c r="I400">
        <f>-39621346/10^6</f>
      </c>
      <c r="J400">
        <f>0</f>
      </c>
    </row>
    <row r="401">
      <c r="A401" t="s">
        <v>410</v>
      </c>
      <c r="B401" t="s">
        <v>11</v>
      </c>
      <c r="C401">
        <f>117584273438/10^6</f>
      </c>
      <c r="D401">
        <f>0</f>
      </c>
      <c r="E401">
        <f>735511902/10^6</f>
      </c>
      <c r="F401">
        <f>0</f>
      </c>
      <c r="G401">
        <f>254251999/10^6</f>
      </c>
      <c r="H401">
        <f>0</f>
      </c>
      <c r="I401">
        <f>-39242737/10^6</f>
      </c>
      <c r="J401">
        <f>0</f>
      </c>
    </row>
    <row r="402">
      <c r="A402" t="s">
        <v>411</v>
      </c>
      <c r="B402" t="s">
        <v>11</v>
      </c>
      <c r="C402">
        <f>118066890625/10^6</f>
      </c>
      <c r="D402">
        <f>0</f>
      </c>
      <c r="E402">
        <f>733078308/10^6</f>
      </c>
      <c r="F402">
        <f>0</f>
      </c>
      <c r="G402">
        <f>254478973/10^6</f>
      </c>
      <c r="H402">
        <f>0</f>
      </c>
      <c r="I402">
        <f>-38665844/10^6</f>
      </c>
      <c r="J402">
        <f>0</f>
      </c>
    </row>
    <row r="403">
      <c r="A403" t="s">
        <v>412</v>
      </c>
      <c r="B403" t="s">
        <v>11</v>
      </c>
      <c r="C403">
        <f>118642257813/10^6</f>
      </c>
      <c r="D403">
        <f>0</f>
      </c>
      <c r="E403">
        <f>730337402/10^6</f>
      </c>
      <c r="F403">
        <f>0</f>
      </c>
      <c r="G403">
        <f>25470137/10^5</f>
      </c>
      <c r="H403">
        <f>0</f>
      </c>
      <c r="I403">
        <f>-38170494/10^6</f>
      </c>
      <c r="J403">
        <f>0</f>
      </c>
    </row>
    <row r="404">
      <c r="A404" t="s">
        <v>413</v>
      </c>
      <c r="B404" t="s">
        <v>11</v>
      </c>
      <c r="C404">
        <f>119352828125/10^6</f>
      </c>
      <c r="D404">
        <f>0</f>
      </c>
      <c r="E404">
        <f>727256042/10^6</f>
      </c>
      <c r="F404">
        <f>0</f>
      </c>
      <c r="G404">
        <f>255223373/10^6</f>
      </c>
      <c r="H404">
        <f>0</f>
      </c>
      <c r="I404">
        <f>-37522823/10^6</f>
      </c>
      <c r="J404">
        <f>0</f>
      </c>
    </row>
    <row r="405">
      <c r="A405" t="s">
        <v>414</v>
      </c>
      <c r="B405" t="s">
        <v>11</v>
      </c>
      <c r="C405">
        <f>120146226563/10^6</f>
      </c>
      <c r="D405">
        <f>0</f>
      </c>
      <c r="E405">
        <f>723378296/10^6</f>
      </c>
      <c r="F405">
        <f>0</f>
      </c>
      <c r="G405">
        <f>255821045/10^6</f>
      </c>
      <c r="H405">
        <f>0</f>
      </c>
      <c r="I405">
        <f>-36860764/10^6</f>
      </c>
      <c r="J405">
        <f>0</f>
      </c>
    </row>
    <row r="406">
      <c r="A406" t="s">
        <v>415</v>
      </c>
      <c r="B406" t="s">
        <v>11</v>
      </c>
      <c r="C406">
        <f>120943585938/10^6</f>
      </c>
      <c r="D406">
        <f>0</f>
      </c>
      <c r="E406">
        <f>719012817/10^6</f>
      </c>
      <c r="F406">
        <f>0</f>
      </c>
      <c r="G406">
        <f>256140961/10^6</f>
      </c>
      <c r="H406">
        <f>0</f>
      </c>
      <c r="I406">
        <f>-3614463/10^5</f>
      </c>
      <c r="J406">
        <f>0</f>
      </c>
    </row>
    <row r="407">
      <c r="A407" t="s">
        <v>416</v>
      </c>
      <c r="B407" t="s">
        <v>11</v>
      </c>
      <c r="C407">
        <f>121682429688/10^6</f>
      </c>
      <c r="D407">
        <f>0</f>
      </c>
      <c r="E407">
        <f>714869629/10^6</f>
      </c>
      <c r="F407">
        <f>0</f>
      </c>
      <c r="G407">
        <f>256529297/10^6</f>
      </c>
      <c r="H407">
        <f>0</f>
      </c>
      <c r="I407">
        <f>-35001072/10^6</f>
      </c>
      <c r="J407">
        <f>0</f>
      </c>
    </row>
    <row r="408">
      <c r="A408" t="s">
        <v>417</v>
      </c>
      <c r="B408" t="s">
        <v>11</v>
      </c>
      <c r="C408">
        <f>122317234375/10^6</f>
      </c>
      <c r="D408">
        <f>0</f>
      </c>
      <c r="E408">
        <f>711114502/10^6</f>
      </c>
      <c r="F408">
        <f>0</f>
      </c>
      <c r="G408">
        <f>256822174/10^6</f>
      </c>
      <c r="H408">
        <f>0</f>
      </c>
      <c r="I408">
        <f>-34152248/10^6</f>
      </c>
      <c r="J408">
        <f>0</f>
      </c>
    </row>
    <row r="409">
      <c r="A409" t="s">
        <v>418</v>
      </c>
      <c r="B409" t="s">
        <v>11</v>
      </c>
      <c r="C409">
        <f>12280921875/10^5</f>
      </c>
      <c r="D409">
        <f>0</f>
      </c>
      <c r="E409">
        <f>707932068/10^6</f>
      </c>
      <c r="F409">
        <f>0</f>
      </c>
      <c r="G409">
        <f>256821289/10^6</f>
      </c>
      <c r="H409">
        <f>0</f>
      </c>
      <c r="I409">
        <f>-33485157/10^6</f>
      </c>
      <c r="J409">
        <f>0</f>
      </c>
    </row>
    <row r="410">
      <c r="A410" t="s">
        <v>419</v>
      </c>
      <c r="B410" t="s">
        <v>11</v>
      </c>
      <c r="C410">
        <f>123110679688/10^6</f>
      </c>
      <c r="D410">
        <f>0</f>
      </c>
      <c r="E410">
        <f>705633362/10^6</f>
      </c>
      <c r="F410">
        <f>0</f>
      </c>
      <c r="G410">
        <f>256861267/10^6</f>
      </c>
      <c r="H410">
        <f>0</f>
      </c>
      <c r="I410">
        <f>-32666195/10^6</f>
      </c>
      <c r="J410">
        <f>0</f>
      </c>
    </row>
    <row r="411">
      <c r="A411" t="s">
        <v>420</v>
      </c>
      <c r="B411" t="s">
        <v>11</v>
      </c>
      <c r="C411">
        <f>123238945313/10^6</f>
      </c>
      <c r="D411">
        <f>0</f>
      </c>
      <c r="E411">
        <f>704172058/10^6</f>
      </c>
      <c r="F411">
        <f>0</f>
      </c>
      <c r="G411">
        <f>256742889/10^6</f>
      </c>
      <c r="H411">
        <f>0</f>
      </c>
      <c r="I411">
        <f>-32332996/10^6</f>
      </c>
      <c r="J411">
        <f>0</f>
      </c>
    </row>
    <row r="412">
      <c r="A412" t="s">
        <v>421</v>
      </c>
      <c r="B412" t="s">
        <v>11</v>
      </c>
      <c r="C412">
        <f>123287679688/10^6</f>
      </c>
      <c r="D412">
        <f>0</f>
      </c>
      <c r="E412">
        <f>703235718/10^6</f>
      </c>
      <c r="F412">
        <f>0</f>
      </c>
      <c r="G412">
        <f>256333374/10^6</f>
      </c>
      <c r="H412">
        <f>0</f>
      </c>
      <c r="I412">
        <f>-32210522/10^6</f>
      </c>
      <c r="J412">
        <f>0</f>
      </c>
    </row>
    <row r="413">
      <c r="A413" t="s">
        <v>422</v>
      </c>
      <c r="B413" t="s">
        <v>11</v>
      </c>
      <c r="C413">
        <f>123317320313/10^6</f>
      </c>
      <c r="D413">
        <f>0</f>
      </c>
      <c r="E413">
        <f>702652893/10^6</f>
      </c>
      <c r="F413">
        <f>0</f>
      </c>
      <c r="G413">
        <f>25606723/10^5</f>
      </c>
      <c r="H413">
        <f>0</f>
      </c>
      <c r="I413">
        <f>-32051865/10^6</f>
      </c>
      <c r="J413">
        <f>0</f>
      </c>
    </row>
    <row r="414">
      <c r="A414" t="s">
        <v>423</v>
      </c>
      <c r="B414" t="s">
        <v>11</v>
      </c>
      <c r="C414">
        <f>123336320313/10^6</f>
      </c>
      <c r="D414">
        <f>0</f>
      </c>
      <c r="E414">
        <f>70244165/10^5</f>
      </c>
      <c r="F414">
        <f>0</f>
      </c>
      <c r="G414">
        <f>256017426/10^6</f>
      </c>
      <c r="H414">
        <f>0</f>
      </c>
      <c r="I414">
        <f>-32148453/10^6</f>
      </c>
      <c r="J414">
        <f>0</f>
      </c>
    </row>
    <row r="415">
      <c r="A415" t="s">
        <v>424</v>
      </c>
      <c r="B415" t="s">
        <v>11</v>
      </c>
      <c r="C415">
        <f>1233279375/10^4</f>
      </c>
      <c r="D415">
        <f>0</f>
      </c>
      <c r="E415">
        <f>702352722/10^6</f>
      </c>
      <c r="F415">
        <f>0</f>
      </c>
      <c r="G415">
        <f>255980515/10^6</f>
      </c>
      <c r="H415">
        <f>0</f>
      </c>
      <c r="I415">
        <f>-32285393/10^6</f>
      </c>
      <c r="J415">
        <f>0</f>
      </c>
    </row>
    <row r="416">
      <c r="A416" t="s">
        <v>425</v>
      </c>
      <c r="B416" t="s">
        <v>11</v>
      </c>
      <c r="C416">
        <f>123243179688/10^6</f>
      </c>
      <c r="D416">
        <f>0</f>
      </c>
      <c r="E416">
        <f>702242859/10^6</f>
      </c>
      <c r="F416">
        <f>0</f>
      </c>
      <c r="G416">
        <f>255819199/10^6</f>
      </c>
      <c r="H416">
        <f>0</f>
      </c>
      <c r="I416">
        <f>-32373844/10^6</f>
      </c>
      <c r="J416">
        <f>0</f>
      </c>
    </row>
    <row r="417">
      <c r="A417" t="s">
        <v>426</v>
      </c>
      <c r="B417" t="s">
        <v>11</v>
      </c>
      <c r="C417">
        <f>12307115625/10^5</f>
      </c>
      <c r="D417">
        <f>0</f>
      </c>
      <c r="E417">
        <f>702463928/10^6</f>
      </c>
      <c r="F417">
        <f>0</f>
      </c>
      <c r="G417">
        <f>255518463/10^6</f>
      </c>
      <c r="H417">
        <f>0</f>
      </c>
      <c r="I417">
        <f>-32483944/10^6</f>
      </c>
      <c r="J417">
        <f>0</f>
      </c>
    </row>
    <row r="418">
      <c r="A418" t="s">
        <v>427</v>
      </c>
      <c r="B418" t="s">
        <v>11</v>
      </c>
      <c r="C418">
        <f>122860375/10^3</f>
      </c>
      <c r="D418">
        <f>0</f>
      </c>
      <c r="E418">
        <f>703185852/10^6</f>
      </c>
      <c r="F418">
        <f>0</f>
      </c>
      <c r="G418">
        <f>255309067/10^6</f>
      </c>
      <c r="H418">
        <f>0</f>
      </c>
      <c r="I418">
        <f>-32608097/10^6</f>
      </c>
      <c r="J418">
        <f>0</f>
      </c>
    </row>
    <row r="419">
      <c r="A419" t="s">
        <v>428</v>
      </c>
      <c r="B419" t="s">
        <v>11</v>
      </c>
      <c r="C419">
        <f>12262278125/10^5</f>
      </c>
      <c r="D419">
        <f>0</f>
      </c>
      <c r="E419">
        <f>704247803/10^6</f>
      </c>
      <c r="F419">
        <f>0</f>
      </c>
      <c r="G419">
        <f>255185822/10^6</f>
      </c>
      <c r="H419">
        <f>0</f>
      </c>
      <c r="I419">
        <f>-32865948/10^6</f>
      </c>
      <c r="J419">
        <f>0</f>
      </c>
    </row>
    <row r="420">
      <c r="A420" t="s">
        <v>429</v>
      </c>
      <c r="B420" t="s">
        <v>11</v>
      </c>
      <c r="C420">
        <f>122336023438/10^6</f>
      </c>
      <c r="D420">
        <f>0</f>
      </c>
      <c r="E420">
        <f>705598389/10^6</f>
      </c>
      <c r="F420">
        <f>0</f>
      </c>
      <c r="G420">
        <f>255041977/10^6</f>
      </c>
      <c r="H420">
        <f>0</f>
      </c>
      <c r="I420">
        <f>-33123394/10^6</f>
      </c>
      <c r="J420">
        <f>0</f>
      </c>
    </row>
    <row r="421">
      <c r="A421" t="s">
        <v>430</v>
      </c>
      <c r="B421" t="s">
        <v>11</v>
      </c>
      <c r="C421">
        <f>122019140625/10^6</f>
      </c>
      <c r="D421">
        <f>0</f>
      </c>
      <c r="E421">
        <f>70725647/10^5</f>
      </c>
      <c r="F421">
        <f>0</f>
      </c>
      <c r="G421">
        <f>254924591/10^6</f>
      </c>
      <c r="H421">
        <f>0</f>
      </c>
      <c r="I421">
        <f>-33424835/10^6</f>
      </c>
      <c r="J421">
        <f>0</f>
      </c>
    </row>
    <row r="422">
      <c r="A422" t="s">
        <v>431</v>
      </c>
      <c r="B422" t="s">
        <v>11</v>
      </c>
      <c r="C422">
        <f>121693265625/10^6</f>
      </c>
      <c r="D422">
        <f>0</f>
      </c>
      <c r="E422">
        <f>709090698/10^6</f>
      </c>
      <c r="F422">
        <f>0</f>
      </c>
      <c r="G422">
        <f>2548069/10^4</f>
      </c>
      <c r="H422">
        <f>0</f>
      </c>
      <c r="I422">
        <f>-33902/10^3</f>
      </c>
      <c r="J422">
        <f>0</f>
      </c>
    </row>
    <row r="423">
      <c r="A423" t="s">
        <v>432</v>
      </c>
      <c r="B423" t="s">
        <v>11</v>
      </c>
      <c r="C423">
        <f>12136134375/10^5</f>
      </c>
      <c r="D423">
        <f>0</f>
      </c>
      <c r="E423">
        <f>710915527/10^6</f>
      </c>
      <c r="F423">
        <f>0</f>
      </c>
      <c r="G423">
        <f>254698151/10^6</f>
      </c>
      <c r="H423">
        <f>0</f>
      </c>
      <c r="I423">
        <f>-34285275/10^6</f>
      </c>
      <c r="J423">
        <f>0</f>
      </c>
    </row>
    <row r="424">
      <c r="A424" t="s">
        <v>433</v>
      </c>
      <c r="B424" t="s">
        <v>11</v>
      </c>
      <c r="C424">
        <f>121021875/10^3</f>
      </c>
      <c r="D424">
        <f>0</f>
      </c>
      <c r="E424">
        <f>712578308/10^6</f>
      </c>
      <c r="F424">
        <f>0</f>
      </c>
      <c r="G424">
        <f>254562912/10^6</f>
      </c>
      <c r="H424">
        <f>0</f>
      </c>
      <c r="I424">
        <f>-34688667/10^6</f>
      </c>
      <c r="J424">
        <f>0</f>
      </c>
    </row>
    <row r="425">
      <c r="A425" t="s">
        <v>434</v>
      </c>
      <c r="B425" t="s">
        <v>11</v>
      </c>
      <c r="C425">
        <f>120653695313/10^6</f>
      </c>
      <c r="D425">
        <f>0</f>
      </c>
      <c r="E425">
        <f>714253113/10^6</f>
      </c>
      <c r="F425">
        <f>0</f>
      </c>
      <c r="G425">
        <f>25441803/10^5</f>
      </c>
      <c r="H425">
        <f>0</f>
      </c>
      <c r="I425">
        <f>-35126591/10^6</f>
      </c>
      <c r="J425">
        <f>0</f>
      </c>
    </row>
    <row r="426">
      <c r="A426" t="s">
        <v>435</v>
      </c>
      <c r="B426" t="s">
        <v>11</v>
      </c>
      <c r="C426">
        <f>120282695313/10^6</f>
      </c>
      <c r="D426">
        <f>0</f>
      </c>
      <c r="E426">
        <f>716363708/10^6</f>
      </c>
      <c r="F426">
        <f>0</f>
      </c>
      <c r="G426">
        <f>254297058/10^6</f>
      </c>
      <c r="H426">
        <f>0</f>
      </c>
      <c r="I426">
        <f>-35517269/10^6</f>
      </c>
      <c r="J426">
        <f>0</f>
      </c>
    </row>
    <row r="427">
      <c r="A427" t="s">
        <v>436</v>
      </c>
      <c r="B427" t="s">
        <v>11</v>
      </c>
      <c r="C427">
        <f>11994753125/10^5</f>
      </c>
      <c r="D427">
        <f>0</f>
      </c>
      <c r="E427">
        <f>718507446/10^6</f>
      </c>
      <c r="F427">
        <f>0</f>
      </c>
      <c r="G427">
        <f>254139801/10^6</f>
      </c>
      <c r="H427">
        <f>0</f>
      </c>
      <c r="I427">
        <f>-36028233/10^6</f>
      </c>
      <c r="J427">
        <f>0</f>
      </c>
    </row>
    <row r="428">
      <c r="A428" t="s">
        <v>437</v>
      </c>
      <c r="B428" t="s">
        <v>11</v>
      </c>
      <c r="C428">
        <f>119620296875/10^6</f>
      </c>
      <c r="D428">
        <f>0</f>
      </c>
      <c r="E428">
        <f>720157104/10^6</f>
      </c>
      <c r="F428">
        <f>0</f>
      </c>
      <c r="G428">
        <f>254010239/10^6</f>
      </c>
      <c r="H428">
        <f>0</f>
      </c>
      <c r="I428">
        <f>-36463177/10^6</f>
      </c>
      <c r="J428">
        <f>0</f>
      </c>
    </row>
    <row r="429">
      <c r="A429" t="s">
        <v>438</v>
      </c>
      <c r="B429" t="s">
        <v>11</v>
      </c>
      <c r="C429">
        <f>119272515625/10^6</f>
      </c>
      <c r="D429">
        <f>0</f>
      </c>
      <c r="E429">
        <f>721897461/10^6</f>
      </c>
      <c r="F429">
        <f>0</f>
      </c>
      <c r="G429">
        <f>253883621/10^6</f>
      </c>
      <c r="H429">
        <f>0</f>
      </c>
      <c r="I429">
        <f>-3689291/10^5</f>
      </c>
      <c r="J429">
        <f>0</f>
      </c>
    </row>
    <row r="430">
      <c r="A430" t="s">
        <v>439</v>
      </c>
      <c r="B430" t="s">
        <v>11</v>
      </c>
      <c r="C430">
        <f>118887632813/10^6</f>
      </c>
      <c r="D430">
        <f>0</f>
      </c>
      <c r="E430">
        <f>724195068/10^6</f>
      </c>
      <c r="F430">
        <f>0</f>
      </c>
      <c r="G430">
        <f>253739655/10^6</f>
      </c>
      <c r="H430">
        <f>0</f>
      </c>
      <c r="I430">
        <f>-37334484/10^6</f>
      </c>
      <c r="J430">
        <f>0</f>
      </c>
    </row>
    <row r="431">
      <c r="A431" t="s">
        <v>440</v>
      </c>
      <c r="B431" t="s">
        <v>11</v>
      </c>
      <c r="C431">
        <f>118477179688/10^6</f>
      </c>
      <c r="D431">
        <f>0</f>
      </c>
      <c r="E431">
        <f>726726379/10^6</f>
      </c>
      <c r="F431">
        <f>0</f>
      </c>
      <c r="G431">
        <f>253644684/10^6</f>
      </c>
      <c r="H431">
        <f>0</f>
      </c>
      <c r="I431">
        <f>-37793007/10^6</f>
      </c>
      <c r="J431">
        <f>0</f>
      </c>
    </row>
    <row r="432">
      <c r="A432" t="s">
        <v>441</v>
      </c>
      <c r="B432" t="s">
        <v>11</v>
      </c>
      <c r="C432">
        <f>118099273438/10^6</f>
      </c>
      <c r="D432">
        <f>0</f>
      </c>
      <c r="E432">
        <f>728988708/10^6</f>
      </c>
      <c r="F432">
        <f>0</f>
      </c>
      <c r="G432">
        <f>253551468/10^6</f>
      </c>
      <c r="H432">
        <f>0</f>
      </c>
      <c r="I432">
        <f>-3847467/10^5</f>
      </c>
      <c r="J432">
        <f>0</f>
      </c>
    </row>
    <row r="433">
      <c r="A433" t="s">
        <v>442</v>
      </c>
      <c r="B433" t="s">
        <v>11</v>
      </c>
      <c r="C433">
        <f>117763328125/10^6</f>
      </c>
      <c r="D433">
        <f>0</f>
      </c>
      <c r="E433">
        <f>730926025/10^6</f>
      </c>
      <c r="F433">
        <f>0</f>
      </c>
      <c r="G433">
        <f>253466522/10^6</f>
      </c>
      <c r="H433">
        <f>0</f>
      </c>
      <c r="I433">
        <f>-39010193/10^6</f>
      </c>
      <c r="J433">
        <f>0</f>
      </c>
    </row>
    <row r="434">
      <c r="A434" t="s">
        <v>443</v>
      </c>
      <c r="B434" t="s">
        <v>11</v>
      </c>
      <c r="C434">
        <f>117425210938/10^6</f>
      </c>
      <c r="D434">
        <f>0</f>
      </c>
      <c r="E434">
        <f>733088135/10^6</f>
      </c>
      <c r="F434">
        <f>0</f>
      </c>
      <c r="G434">
        <f>253376907/10^6</f>
      </c>
      <c r="H434">
        <f>0</f>
      </c>
      <c r="I434">
        <f>-39426865/10^6</f>
      </c>
      <c r="J434">
        <f>0</f>
      </c>
    </row>
    <row r="435">
      <c r="A435" t="s">
        <v>444</v>
      </c>
      <c r="B435" t="s">
        <v>11</v>
      </c>
      <c r="C435">
        <f>117057539063/10^6</f>
      </c>
      <c r="D435">
        <f>0</f>
      </c>
      <c r="E435">
        <f>735409363/10^6</f>
      </c>
      <c r="F435">
        <f>0</f>
      </c>
      <c r="G435">
        <f>253274673/10^6</f>
      </c>
      <c r="H435">
        <f>0</f>
      </c>
      <c r="I435">
        <f>-39874626/10^6</f>
      </c>
      <c r="J435">
        <f>0</f>
      </c>
    </row>
    <row r="436">
      <c r="A436" t="s">
        <v>445</v>
      </c>
      <c r="B436" t="s">
        <v>11</v>
      </c>
      <c r="C436">
        <f>11665921875/10^5</f>
      </c>
      <c r="D436">
        <f>0</f>
      </c>
      <c r="E436">
        <f>737698914/10^6</f>
      </c>
      <c r="F436">
        <f>0</f>
      </c>
      <c r="G436">
        <f>25320549/10^5</f>
      </c>
      <c r="H436">
        <f>0</f>
      </c>
      <c r="I436">
        <f>-40283733/10^6</f>
      </c>
      <c r="J436">
        <f>0</f>
      </c>
    </row>
    <row r="437">
      <c r="A437" t="s">
        <v>446</v>
      </c>
      <c r="B437" t="s">
        <v>11</v>
      </c>
      <c r="C437">
        <f>116251617188/10^6</f>
      </c>
      <c r="D437">
        <f>0</f>
      </c>
      <c r="E437">
        <f>7402995/10^4</f>
      </c>
      <c r="F437">
        <f>0</f>
      </c>
      <c r="G437">
        <f>253162689/10^6</f>
      </c>
      <c r="H437">
        <f>0</f>
      </c>
      <c r="I437">
        <f>-40841591/10^6</f>
      </c>
      <c r="J437">
        <f>0</f>
      </c>
    </row>
    <row r="438">
      <c r="A438" t="s">
        <v>447</v>
      </c>
      <c r="B438" t="s">
        <v>11</v>
      </c>
      <c r="C438">
        <f>115877023438/10^6</f>
      </c>
      <c r="D438">
        <f>0</f>
      </c>
      <c r="E438">
        <f>742854431/10^6</f>
      </c>
      <c r="F438">
        <f>0</f>
      </c>
      <c r="G438">
        <f>25309523/10^5</f>
      </c>
      <c r="H438">
        <f>0</f>
      </c>
      <c r="I438">
        <f>-41232407/10^6</f>
      </c>
      <c r="J438">
        <f>0</f>
      </c>
    </row>
    <row r="439">
      <c r="A439" t="s">
        <v>448</v>
      </c>
      <c r="B439" t="s">
        <v>11</v>
      </c>
      <c r="C439">
        <f>115548335938/10^6</f>
      </c>
      <c r="D439">
        <f>0</f>
      </c>
      <c r="E439">
        <f>744632385/10^6</f>
      </c>
      <c r="F439">
        <f>0</f>
      </c>
      <c r="G439">
        <f>252938065/10^6</f>
      </c>
      <c r="H439">
        <f>0</f>
      </c>
      <c r="I439">
        <f>-41576439/10^6</f>
      </c>
      <c r="J439">
        <f>0</f>
      </c>
    </row>
    <row r="440">
      <c r="A440" t="s">
        <v>449</v>
      </c>
      <c r="B440" t="s">
        <v>11</v>
      </c>
      <c r="C440">
        <f>11528365625/10^5</f>
      </c>
      <c r="D440">
        <f>0</f>
      </c>
      <c r="E440">
        <f>744867004/10^6</f>
      </c>
      <c r="F440">
        <f>0</f>
      </c>
      <c r="G440">
        <f>252803482/10^6</f>
      </c>
      <c r="H440">
        <f>0</f>
      </c>
      <c r="I440">
        <f>-42132328/10^6</f>
      </c>
      <c r="J440">
        <f>0</f>
      </c>
    </row>
    <row r="441">
      <c r="A441" t="s">
        <v>450</v>
      </c>
      <c r="B441" t="s">
        <v>11</v>
      </c>
      <c r="C441">
        <f>115134609375/10^6</f>
      </c>
      <c r="D441">
        <f>0</f>
      </c>
      <c r="E441">
        <f>744226929/10^6</f>
      </c>
      <c r="F441">
        <f>0</f>
      </c>
      <c r="G441">
        <f>25262178/10^5</f>
      </c>
      <c r="H441">
        <f>0</f>
      </c>
      <c r="I441">
        <f>-41971836/10^6</f>
      </c>
      <c r="J441">
        <f>0</f>
      </c>
    </row>
    <row r="442">
      <c r="A442" t="s">
        <v>451</v>
      </c>
      <c r="B442" t="s">
        <v>11</v>
      </c>
      <c r="C442">
        <f>115036429688/10^6</f>
      </c>
      <c r="D442">
        <f>0</f>
      </c>
      <c r="E442">
        <f>745160583/10^6</f>
      </c>
      <c r="F442">
        <f>0</f>
      </c>
      <c r="G442">
        <f>252180511/10^6</f>
      </c>
      <c r="H442">
        <f>0</f>
      </c>
      <c r="I442">
        <f>-40985207/10^6</f>
      </c>
      <c r="J442">
        <f>0</f>
      </c>
    </row>
    <row r="443">
      <c r="A443" t="s">
        <v>452</v>
      </c>
      <c r="B443" t="s">
        <v>11</v>
      </c>
      <c r="C443">
        <f>114868796875/10^6</f>
      </c>
      <c r="D443">
        <f>0</f>
      </c>
      <c r="E443">
        <f>747523926/10^6</f>
      </c>
      <c r="F443">
        <f>0</f>
      </c>
      <c r="G443">
        <f>251909195/10^6</f>
      </c>
      <c r="H443">
        <f>0</f>
      </c>
      <c r="I443">
        <f>-40399376/10^6</f>
      </c>
      <c r="J443">
        <f>0</f>
      </c>
    </row>
    <row r="444">
      <c r="A444" t="s">
        <v>453</v>
      </c>
      <c r="B444" t="s">
        <v>11</v>
      </c>
      <c r="C444">
        <f>114639492188/10^6</f>
      </c>
      <c r="D444">
        <f>0</f>
      </c>
      <c r="E444">
        <f>749185364/10^6</f>
      </c>
      <c r="F444">
        <f>0</f>
      </c>
      <c r="G444">
        <f>252143112/10^6</f>
      </c>
      <c r="H444">
        <f>0</f>
      </c>
      <c r="I444">
        <f>-4067754/10^5</f>
      </c>
      <c r="J444">
        <f>0</f>
      </c>
    </row>
    <row r="445">
      <c r="A445" t="s">
        <v>454</v>
      </c>
      <c r="B445" t="s">
        <v>11</v>
      </c>
      <c r="C445">
        <f>114442117188/10^6</f>
      </c>
      <c r="D445">
        <f>0</f>
      </c>
      <c r="E445">
        <f>749835815/10^6</f>
      </c>
      <c r="F445">
        <f>0</f>
      </c>
      <c r="G445">
        <f>252421677/10^6</f>
      </c>
      <c r="H445">
        <f>0</f>
      </c>
      <c r="I445">
        <f>-41152687/10^6</f>
      </c>
      <c r="J445">
        <f>0</f>
      </c>
    </row>
    <row r="446">
      <c r="A446" t="s">
        <v>455</v>
      </c>
      <c r="B446" t="s">
        <v>11</v>
      </c>
      <c r="C446">
        <f>114357679688/10^6</f>
      </c>
      <c r="D446">
        <f>0</f>
      </c>
      <c r="E446">
        <f>750076294/10^6</f>
      </c>
      <c r="F446">
        <f>0</f>
      </c>
      <c r="G446">
        <f>25247905/10^5</f>
      </c>
      <c r="H446">
        <f>0</f>
      </c>
      <c r="I446">
        <f>-40719608/10^6</f>
      </c>
      <c r="J446">
        <f>0</f>
      </c>
    </row>
    <row r="447">
      <c r="A447" t="s">
        <v>456</v>
      </c>
      <c r="B447" t="s">
        <v>11</v>
      </c>
      <c r="C447">
        <f>11433478125/10^5</f>
      </c>
      <c r="D447">
        <f>0</f>
      </c>
      <c r="E447">
        <f>750299622/10^6</f>
      </c>
      <c r="F447">
        <f>0</f>
      </c>
      <c r="G447">
        <f>25252739/10^5</f>
      </c>
      <c r="H447">
        <f>0</f>
      </c>
      <c r="I447">
        <f>-39360638/10^6</f>
      </c>
      <c r="J447">
        <f>0</f>
      </c>
    </row>
    <row r="448">
      <c r="A448" t="s">
        <v>457</v>
      </c>
      <c r="B448" t="s">
        <v>11</v>
      </c>
      <c r="C448">
        <f>114256875/10^3</f>
      </c>
      <c r="D448">
        <f>0</f>
      </c>
      <c r="E448">
        <f>75072522/10^5</f>
      </c>
      <c r="F448">
        <f>0</f>
      </c>
      <c r="G448">
        <f>252577377/10^6</f>
      </c>
      <c r="H448">
        <f>0</f>
      </c>
      <c r="I448">
        <f>-38559067/10^6</f>
      </c>
      <c r="J448">
        <f>0</f>
      </c>
    </row>
    <row r="449">
      <c r="A449" t="s">
        <v>458</v>
      </c>
      <c r="B449" t="s">
        <v>11</v>
      </c>
      <c r="C449">
        <f>114154445313/10^6</f>
      </c>
      <c r="D449">
        <f>0</f>
      </c>
      <c r="E449">
        <f>751152161/10^6</f>
      </c>
      <c r="F449">
        <f>0</f>
      </c>
      <c r="G449">
        <f>252530472/10^6</f>
      </c>
      <c r="H449">
        <f>0</f>
      </c>
      <c r="I449">
        <f>-38632183/10^6</f>
      </c>
      <c r="J449">
        <f>0</f>
      </c>
    </row>
    <row r="450">
      <c r="A450" t="s">
        <v>459</v>
      </c>
      <c r="B450" t="s">
        <v>11</v>
      </c>
      <c r="C450">
        <f>114099671875/10^6</f>
      </c>
      <c r="D450">
        <f>0</f>
      </c>
      <c r="E450">
        <f>751304932/10^6</f>
      </c>
      <c r="F450">
        <f>0</f>
      </c>
      <c r="G450">
        <f>252481445/10^6</f>
      </c>
      <c r="H450">
        <f>0</f>
      </c>
      <c r="I450">
        <f>-38688492/10^6</f>
      </c>
      <c r="J450">
        <f>0</f>
      </c>
    </row>
    <row r="451">
      <c r="A451" t="s">
        <v>460</v>
      </c>
      <c r="B451" t="s">
        <v>11</v>
      </c>
      <c r="C451">
        <f>114063171875/10^6</f>
      </c>
      <c r="D451">
        <f>0</f>
      </c>
      <c r="E451">
        <f>751321899/10^6</f>
      </c>
      <c r="F451">
        <f>0</f>
      </c>
      <c r="G451">
        <f>252432816/10^6</f>
      </c>
      <c r="H451">
        <f>0</f>
      </c>
      <c r="I451">
        <f>-38576241/10^6</f>
      </c>
      <c r="J451">
        <f>0</f>
      </c>
    </row>
    <row r="452">
      <c r="A452" t="s">
        <v>461</v>
      </c>
      <c r="B452" t="s">
        <v>11</v>
      </c>
      <c r="C452">
        <f>114025210938/10^6</f>
      </c>
      <c r="D452">
        <f>0</f>
      </c>
      <c r="E452">
        <f>751424622/10^6</f>
      </c>
      <c r="F452">
        <f>0</f>
      </c>
      <c r="G452">
        <f>252297501/10^6</f>
      </c>
      <c r="H452">
        <f>0</f>
      </c>
      <c r="I452">
        <f>-38441803/10^6</f>
      </c>
      <c r="J452">
        <f>0</f>
      </c>
    </row>
    <row r="453">
      <c r="A453" t="s">
        <v>462</v>
      </c>
      <c r="B453" t="s">
        <v>11</v>
      </c>
      <c r="C453">
        <f>11403346875/10^5</f>
      </c>
      <c r="D453">
        <f>0</f>
      </c>
      <c r="E453">
        <f>75140387/10^5</f>
      </c>
      <c r="F453">
        <f>0</f>
      </c>
      <c r="G453">
        <f>252228577/10^6</f>
      </c>
      <c r="H453">
        <f>0</f>
      </c>
      <c r="I453">
        <f>-38355755/10^6</f>
      </c>
      <c r="J453">
        <f>0</f>
      </c>
    </row>
    <row r="454">
      <c r="A454" t="s">
        <v>463</v>
      </c>
      <c r="B454" t="s">
        <v>11</v>
      </c>
      <c r="C454">
        <f>114117328125/10^6</f>
      </c>
      <c r="D454">
        <f>0</f>
      </c>
      <c r="E454">
        <f>75124585/10^5</f>
      </c>
      <c r="F454">
        <f>0</f>
      </c>
      <c r="G454">
        <f>252298187/10^6</f>
      </c>
      <c r="H454">
        <f>0</f>
      </c>
      <c r="I454">
        <f>-38399841/10^6</f>
      </c>
      <c r="J454">
        <f>0</f>
      </c>
    </row>
    <row r="455">
      <c r="A455" t="s">
        <v>464</v>
      </c>
      <c r="B455" t="s">
        <v>11</v>
      </c>
      <c r="C455">
        <f>114262523438/10^6</f>
      </c>
      <c r="D455">
        <f>0</f>
      </c>
      <c r="E455">
        <f>75105249/10^5</f>
      </c>
      <c r="F455">
        <f>0</f>
      </c>
      <c r="G455">
        <f>252337936/10^6</f>
      </c>
      <c r="H455">
        <f>0</f>
      </c>
      <c r="I455">
        <f>-38467506/10^6</f>
      </c>
      <c r="J455">
        <f>0</f>
      </c>
    </row>
    <row r="456">
      <c r="A456" t="s">
        <v>465</v>
      </c>
      <c r="B456" t="s">
        <v>11</v>
      </c>
      <c r="C456">
        <f>114462898438/10^6</f>
      </c>
      <c r="D456">
        <f>0</f>
      </c>
      <c r="E456">
        <f>750450928/10^6</f>
      </c>
      <c r="F456">
        <f>0</f>
      </c>
      <c r="G456">
        <f>252487778/10^6</f>
      </c>
      <c r="H456">
        <f>0</f>
      </c>
      <c r="I456">
        <f>-38405544/10^6</f>
      </c>
      <c r="J456">
        <f>0</f>
      </c>
    </row>
    <row r="457">
      <c r="A457" t="s">
        <v>466</v>
      </c>
      <c r="B457" t="s">
        <v>11</v>
      </c>
      <c r="C457">
        <f>114725/10^0</f>
      </c>
      <c r="D457">
        <f>0</f>
      </c>
      <c r="E457">
        <f>749174561/10^6</f>
      </c>
      <c r="F457">
        <f>0</f>
      </c>
      <c r="G457">
        <f>25282663/10^5</f>
      </c>
      <c r="H457">
        <f>0</f>
      </c>
      <c r="I457">
        <f>-38289787/10^6</f>
      </c>
      <c r="J457">
        <f>0</f>
      </c>
    </row>
    <row r="458">
      <c r="A458" t="s">
        <v>467</v>
      </c>
      <c r="B458" t="s">
        <v>11</v>
      </c>
      <c r="C458">
        <f>115050742188/10^6</f>
      </c>
      <c r="D458">
        <f>0</f>
      </c>
      <c r="E458">
        <f>747406677/10^6</f>
      </c>
      <c r="F458">
        <f>0</f>
      </c>
      <c r="G458">
        <f>253077774/10^6</f>
      </c>
      <c r="H458">
        <f>0</f>
      </c>
      <c r="I458">
        <f>-38187981/10^6</f>
      </c>
      <c r="J458">
        <f>0</f>
      </c>
    </row>
    <row r="459">
      <c r="A459" t="s">
        <v>468</v>
      </c>
      <c r="B459" t="s">
        <v>11</v>
      </c>
      <c r="C459">
        <f>11541765625/10^5</f>
      </c>
      <c r="D459">
        <f>0</f>
      </c>
      <c r="E459">
        <f>745533264/10^6</f>
      </c>
      <c r="F459">
        <f>0</f>
      </c>
      <c r="G459">
        <f>253245941/10^6</f>
      </c>
      <c r="H459">
        <f>0</f>
      </c>
      <c r="I459">
        <f>-37950813/10^6</f>
      </c>
      <c r="J459">
        <f>0</f>
      </c>
    </row>
    <row r="460">
      <c r="A460" t="s">
        <v>469</v>
      </c>
      <c r="B460" t="s">
        <v>11</v>
      </c>
      <c r="C460">
        <f>115802617188/10^6</f>
      </c>
      <c r="D460">
        <f>0</f>
      </c>
      <c r="E460">
        <f>743819092/10^6</f>
      </c>
      <c r="F460">
        <f>0</f>
      </c>
      <c r="G460">
        <f>253407181/10^6</f>
      </c>
      <c r="H460">
        <f>0</f>
      </c>
      <c r="I460">
        <f>-37689713/10^6</f>
      </c>
      <c r="J460">
        <f>0</f>
      </c>
    </row>
    <row r="461">
      <c r="A461" t="s">
        <v>470</v>
      </c>
      <c r="B461" t="s">
        <v>11</v>
      </c>
      <c r="C461">
        <f>11626390625/10^5</f>
      </c>
      <c r="D461">
        <f>0</f>
      </c>
      <c r="E461">
        <f>741981995/10^6</f>
      </c>
      <c r="F461">
        <f>0</f>
      </c>
      <c r="G461">
        <f>25370546/10^5</f>
      </c>
      <c r="H461">
        <f>0</f>
      </c>
      <c r="I461">
        <f>-37418869/10^6</f>
      </c>
      <c r="J461">
        <f>0</f>
      </c>
    </row>
    <row r="462">
      <c r="A462" t="s">
        <v>471</v>
      </c>
      <c r="B462" t="s">
        <v>11</v>
      </c>
      <c r="C462">
        <f>116874695313/10^6</f>
      </c>
      <c r="D462">
        <f>0</f>
      </c>
      <c r="E462">
        <f>739505554/10^6</f>
      </c>
      <c r="F462">
        <f>0</f>
      </c>
      <c r="G462">
        <f>254138977/10^6</f>
      </c>
      <c r="H462">
        <f>0</f>
      </c>
      <c r="I462">
        <f>-37117653/10^6</f>
      </c>
      <c r="J462">
        <f>0</f>
      </c>
    </row>
    <row r="463">
      <c r="A463" t="s">
        <v>472</v>
      </c>
      <c r="B463" t="s">
        <v>11</v>
      </c>
      <c r="C463">
        <f>117622015625/10^6</f>
      </c>
      <c r="D463">
        <f>0</f>
      </c>
      <c r="E463">
        <f>736221252/10^6</f>
      </c>
      <c r="F463">
        <f>0</f>
      </c>
      <c r="G463">
        <f>254501526/10^6</f>
      </c>
      <c r="H463">
        <f>0</f>
      </c>
      <c r="I463">
        <f>-36799446/10^6</f>
      </c>
      <c r="J463">
        <f>0</f>
      </c>
    </row>
    <row r="464">
      <c r="A464" t="s">
        <v>473</v>
      </c>
      <c r="B464" t="s">
        <v>11</v>
      </c>
      <c r="C464">
        <f>11847153125/10^5</f>
      </c>
      <c r="D464">
        <f>0</f>
      </c>
      <c r="E464">
        <f>732392334/10^6</f>
      </c>
      <c r="F464">
        <f>0</f>
      </c>
      <c r="G464">
        <f>255158737/10^6</f>
      </c>
      <c r="H464">
        <f>0</f>
      </c>
      <c r="I464">
        <f>-3607061/10^5</f>
      </c>
      <c r="J464">
        <f>0</f>
      </c>
    </row>
    <row r="465">
      <c r="A465" t="s">
        <v>474</v>
      </c>
      <c r="B465" t="s">
        <v>11</v>
      </c>
      <c r="C465">
        <f>11940378125/10^5</f>
      </c>
      <c r="D465">
        <f>0</f>
      </c>
      <c r="E465">
        <f>728159119/10^6</f>
      </c>
      <c r="F465">
        <f>0</f>
      </c>
      <c r="G465">
        <f>255919373/10^6</f>
      </c>
      <c r="H465">
        <f>0</f>
      </c>
      <c r="I465">
        <f>-35286724/10^6</f>
      </c>
      <c r="J465">
        <f>0</f>
      </c>
    </row>
    <row r="466">
      <c r="A466" t="s">
        <v>475</v>
      </c>
      <c r="B466" t="s">
        <v>11</v>
      </c>
      <c r="C466">
        <f>120387875/10^3</f>
      </c>
      <c r="D466">
        <f>0</f>
      </c>
      <c r="E466">
        <f>723215698/10^6</f>
      </c>
      <c r="F466">
        <f>0</f>
      </c>
      <c r="G466">
        <f>25633847/10^5</f>
      </c>
      <c r="H466">
        <f>0</f>
      </c>
      <c r="I466">
        <f>-34620918/10^6</f>
      </c>
      <c r="J466">
        <f>0</f>
      </c>
    </row>
    <row r="467">
      <c r="A467" t="s">
        <v>476</v>
      </c>
      <c r="B467" t="s">
        <v>11</v>
      </c>
      <c r="C467">
        <f>121382882813/10^6</f>
      </c>
      <c r="D467">
        <f>0</f>
      </c>
      <c r="E467">
        <f>717725281/10^6</f>
      </c>
      <c r="F467">
        <f>0</f>
      </c>
      <c r="G467">
        <f>256822205/10^6</f>
      </c>
      <c r="H467">
        <f>0</f>
      </c>
      <c r="I467">
        <f>-33680317/10^6</f>
      </c>
      <c r="J467">
        <f>0</f>
      </c>
    </row>
    <row r="468">
      <c r="A468" t="s">
        <v>477</v>
      </c>
      <c r="B468" t="s">
        <v>11</v>
      </c>
      <c r="C468">
        <f>122321289063/10^6</f>
      </c>
      <c r="D468">
        <f>0</f>
      </c>
      <c r="E468">
        <f>71242572/10^5</f>
      </c>
      <c r="F468">
        <f>0</f>
      </c>
      <c r="G468">
        <f>257202179/10^6</f>
      </c>
      <c r="H468">
        <f>0</f>
      </c>
      <c r="I468">
        <f>-32941547/10^6</f>
      </c>
      <c r="J468">
        <f>0</f>
      </c>
    </row>
    <row r="469">
      <c r="A469" t="s">
        <v>478</v>
      </c>
      <c r="B469" t="s">
        <v>11</v>
      </c>
      <c r="C469">
        <f>123083382813/10^6</f>
      </c>
      <c r="D469">
        <f>0</f>
      </c>
      <c r="E469">
        <f>707851807/10^6</f>
      </c>
      <c r="F469">
        <f>0</f>
      </c>
      <c r="G469">
        <f>257271912/10^6</f>
      </c>
      <c r="H469">
        <f>0</f>
      </c>
      <c r="I469">
        <f>-3215834/10^5</f>
      </c>
      <c r="J469">
        <f>0</f>
      </c>
    </row>
    <row r="470">
      <c r="A470" t="s">
        <v>479</v>
      </c>
      <c r="B470" t="s">
        <v>11</v>
      </c>
      <c r="C470">
        <f>1235413125/10^4</f>
      </c>
      <c r="D470">
        <f>0</f>
      </c>
      <c r="E470">
        <f>704629333/10^6</f>
      </c>
      <c r="F470">
        <f>0</f>
      </c>
      <c r="G470">
        <f>257383667/10^6</f>
      </c>
      <c r="H470">
        <f>0</f>
      </c>
      <c r="I470">
        <f>-31191006/10^6</f>
      </c>
      <c r="J470">
        <f>0</f>
      </c>
    </row>
    <row r="471">
      <c r="A471" t="s">
        <v>480</v>
      </c>
      <c r="B471" t="s">
        <v>11</v>
      </c>
      <c r="C471">
        <f>123693703125/10^6</f>
      </c>
      <c r="D471">
        <f>0</f>
      </c>
      <c r="E471">
        <f>703038513/10^6</f>
      </c>
      <c r="F471">
        <f>0</f>
      </c>
      <c r="G471">
        <f>257315491/10^6</f>
      </c>
      <c r="H471">
        <f>0</f>
      </c>
      <c r="I471">
        <f>-30870438/10^6</f>
      </c>
      <c r="J471">
        <f>0</f>
      </c>
    </row>
    <row r="472">
      <c r="A472" t="s">
        <v>481</v>
      </c>
      <c r="B472" t="s">
        <v>11</v>
      </c>
      <c r="C472">
        <f>123707835938/10^6</f>
      </c>
      <c r="D472">
        <f>0</f>
      </c>
      <c r="E472">
        <f>702306763/10^6</f>
      </c>
      <c r="F472">
        <f>0</f>
      </c>
      <c r="G472">
        <f>256996704/10^6</f>
      </c>
      <c r="H472">
        <f>0</f>
      </c>
      <c r="I472">
        <f>-30848118/10^6</f>
      </c>
      <c r="J472">
        <f>0</f>
      </c>
    </row>
    <row r="473">
      <c r="A473" t="s">
        <v>482</v>
      </c>
      <c r="B473" t="s">
        <v>11</v>
      </c>
      <c r="C473">
        <f>12373446875/10^5</f>
      </c>
      <c r="D473">
        <f>0</f>
      </c>
      <c r="E473">
        <f>701681091/10^6</f>
      </c>
      <c r="F473">
        <f>0</f>
      </c>
      <c r="G473">
        <f>256785797/10^6</f>
      </c>
      <c r="H473">
        <f>0</f>
      </c>
      <c r="I473">
        <f>-3073999/10^5</f>
      </c>
      <c r="J473">
        <f>0</f>
      </c>
    </row>
    <row r="474">
      <c r="A474" t="s">
        <v>483</v>
      </c>
      <c r="B474" t="s">
        <v>11</v>
      </c>
      <c r="C474">
        <f>123758914063/10^6</f>
      </c>
      <c r="D474">
        <f>0</f>
      </c>
      <c r="E474">
        <f>701140198/10^6</f>
      </c>
      <c r="F474">
        <f>0</f>
      </c>
      <c r="G474">
        <f>25662973/10^5</f>
      </c>
      <c r="H474">
        <f>0</f>
      </c>
      <c r="I474">
        <f>-30862486/10^6</f>
      </c>
      <c r="J474">
        <f>0</f>
      </c>
    </row>
    <row r="475">
      <c r="A475" t="s">
        <v>484</v>
      </c>
      <c r="B475" t="s">
        <v>11</v>
      </c>
      <c r="C475">
        <f>123722992188/10^6</f>
      </c>
      <c r="D475">
        <f>0</f>
      </c>
      <c r="E475">
        <f>700727478/10^6</f>
      </c>
      <c r="F475">
        <f>0</f>
      </c>
      <c r="G475">
        <f>25646521/10^5</f>
      </c>
      <c r="H475">
        <f>0</f>
      </c>
      <c r="I475">
        <f>-31034575/10^6</f>
      </c>
      <c r="J475">
        <f>0</f>
      </c>
    </row>
    <row r="476">
      <c r="A476" t="s">
        <v>485</v>
      </c>
      <c r="B476" t="s">
        <v>11</v>
      </c>
      <c r="C476">
        <f>12362909375/10^5</f>
      </c>
      <c r="D476">
        <f>0</f>
      </c>
      <c r="E476">
        <f>700450867/10^6</f>
      </c>
      <c r="F476">
        <f>0</f>
      </c>
      <c r="G476">
        <f>256260864/10^6</f>
      </c>
      <c r="H476">
        <f>0</f>
      </c>
      <c r="I476">
        <f>-3114728/10^5</f>
      </c>
      <c r="J476">
        <f>0</f>
      </c>
    </row>
    <row r="477">
      <c r="A477" t="s">
        <v>486</v>
      </c>
      <c r="B477" t="s">
        <v>11</v>
      </c>
      <c r="C477">
        <f>123492421875/10^6</f>
      </c>
      <c r="D477">
        <f>0</f>
      </c>
      <c r="E477">
        <f>700596741/10^6</f>
      </c>
      <c r="F477">
        <f>0</f>
      </c>
      <c r="G477">
        <f>25592041/10^5</f>
      </c>
      <c r="H477">
        <f>0</f>
      </c>
      <c r="I477">
        <f>-3129582/10^5</f>
      </c>
      <c r="J477">
        <f>0</f>
      </c>
    </row>
    <row r="478">
      <c r="A478" t="s">
        <v>487</v>
      </c>
      <c r="B478" t="s">
        <v>11</v>
      </c>
      <c r="C478">
        <f>123334640625/10^6</f>
      </c>
      <c r="D478">
        <f>0</f>
      </c>
      <c r="E478">
        <f>701257324/10^6</f>
      </c>
      <c r="F478">
        <f>0</f>
      </c>
      <c r="G478">
        <f>255674332/10^6</f>
      </c>
      <c r="H478">
        <f>0</f>
      </c>
      <c r="I478">
        <f>-314426/10^4</f>
      </c>
      <c r="J478">
        <f>0</f>
      </c>
    </row>
    <row r="479">
      <c r="A479" t="s">
        <v>488</v>
      </c>
      <c r="B479" t="s">
        <v>11</v>
      </c>
      <c r="C479">
        <f>12315453125/10^5</f>
      </c>
      <c r="D479">
        <f>0</f>
      </c>
      <c r="E479">
        <f>702110229/10^6</f>
      </c>
      <c r="F479">
        <f>0</f>
      </c>
      <c r="G479">
        <f>255540054/10^6</f>
      </c>
      <c r="H479">
        <f>0</f>
      </c>
      <c r="I479">
        <f>-31663193/10^6</f>
      </c>
      <c r="J479">
        <f>0</f>
      </c>
    </row>
    <row r="480">
      <c r="A480" t="s">
        <v>489</v>
      </c>
      <c r="B480" t="s">
        <v>11</v>
      </c>
      <c r="C480">
        <f>122915398438/10^6</f>
      </c>
      <c r="D480">
        <f>0</f>
      </c>
      <c r="E480">
        <f>703135254/10^6</f>
      </c>
      <c r="F480">
        <f>0</f>
      </c>
      <c r="G480">
        <f>255378281/10^6</f>
      </c>
      <c r="H480">
        <f>0</f>
      </c>
      <c r="I480">
        <f>-31882097/10^6</f>
      </c>
      <c r="J480">
        <f>0</f>
      </c>
    </row>
    <row r="481">
      <c r="A481" t="s">
        <v>490</v>
      </c>
      <c r="B481" t="s">
        <v>11</v>
      </c>
      <c r="C481">
        <f>122618171875/10^6</f>
      </c>
      <c r="D481">
        <f>0</f>
      </c>
      <c r="E481">
        <f>704583374/10^6</f>
      </c>
      <c r="F481">
        <f>0</f>
      </c>
      <c r="G481">
        <f>255275131/10^6</f>
      </c>
      <c r="H481">
        <f>0</f>
      </c>
      <c r="I481">
        <f>-32152271/10^6</f>
      </c>
      <c r="J481">
        <f>0</f>
      </c>
    </row>
    <row r="482">
      <c r="A482" t="s">
        <v>491</v>
      </c>
      <c r="B482" t="s">
        <v>11</v>
      </c>
      <c r="C482">
        <f>12229528125/10^5</f>
      </c>
      <c r="D482">
        <f>0</f>
      </c>
      <c r="E482">
        <f>706378418/10^6</f>
      </c>
      <c r="F482">
        <f>0</f>
      </c>
      <c r="G482">
        <f>25521579/10^5</f>
      </c>
      <c r="H482">
        <f>0</f>
      </c>
      <c r="I482">
        <f>-32566628/10^6</f>
      </c>
      <c r="J482">
        <f>0</f>
      </c>
    </row>
    <row r="483">
      <c r="A483" t="s">
        <v>492</v>
      </c>
      <c r="B483" t="s">
        <v>11</v>
      </c>
      <c r="C483">
        <f>121966875/10^3</f>
      </c>
      <c r="D483">
        <f>0</f>
      </c>
      <c r="E483">
        <f>708231873/10^6</f>
      </c>
      <c r="F483">
        <f>0</f>
      </c>
      <c r="G483">
        <f>255146118/10^6</f>
      </c>
      <c r="H483">
        <f>0</f>
      </c>
      <c r="I483">
        <f>-3290255/10^5</f>
      </c>
      <c r="J483">
        <f>0</f>
      </c>
    </row>
    <row r="484">
      <c r="A484" t="s">
        <v>493</v>
      </c>
      <c r="B484" t="s">
        <v>11</v>
      </c>
      <c r="C484">
        <f>12162603125/10^5</f>
      </c>
      <c r="D484">
        <f>0</f>
      </c>
      <c r="E484">
        <f>710041199/10^6</f>
      </c>
      <c r="F484">
        <f>0</f>
      </c>
      <c r="G484">
        <f>255010788/10^6</f>
      </c>
      <c r="H484">
        <f>0</f>
      </c>
      <c r="I484">
        <f>-33308662/10^6</f>
      </c>
      <c r="J484">
        <f>0</f>
      </c>
    </row>
    <row r="485">
      <c r="A485" t="s">
        <v>494</v>
      </c>
      <c r="B485" t="s">
        <v>11</v>
      </c>
      <c r="C485">
        <f>121267710938/10^6</f>
      </c>
      <c r="D485">
        <f>0</f>
      </c>
      <c r="E485">
        <f>71191333/10^5</f>
      </c>
      <c r="F485">
        <f>0</f>
      </c>
      <c r="G485">
        <f>254854004/10^6</f>
      </c>
      <c r="H485">
        <f>0</f>
      </c>
      <c r="I485">
        <f>-33762707/10^6</f>
      </c>
      <c r="J485">
        <f>0</f>
      </c>
    </row>
    <row r="486">
      <c r="A486" t="s">
        <v>495</v>
      </c>
      <c r="B486" t="s">
        <v>11</v>
      </c>
      <c r="C486">
        <f>120939164063/10^6</f>
      </c>
      <c r="D486">
        <f>0</f>
      </c>
      <c r="E486">
        <f>713825317/10^6</f>
      </c>
      <c r="F486">
        <f>0</f>
      </c>
      <c r="G486">
        <f>254782364/10^6</f>
      </c>
      <c r="H486">
        <f>0</f>
      </c>
      <c r="I486">
        <f>-34111259/10^6</f>
      </c>
      <c r="J486">
        <f>0</f>
      </c>
    </row>
    <row r="487">
      <c r="A487" t="s">
        <v>496</v>
      </c>
      <c r="B487" t="s">
        <v>11</v>
      </c>
      <c r="C487">
        <f>12065646875/10^5</f>
      </c>
      <c r="D487">
        <f>0</f>
      </c>
      <c r="E487">
        <f>71557489/10^5</f>
      </c>
      <c r="F487">
        <f>0</f>
      </c>
      <c r="G487">
        <f>254735489/10^6</f>
      </c>
      <c r="H487">
        <f>0</f>
      </c>
      <c r="I487">
        <f>-34529732/10^6</f>
      </c>
      <c r="J487">
        <f>0</f>
      </c>
    </row>
    <row r="488">
      <c r="A488" t="s">
        <v>497</v>
      </c>
      <c r="B488" t="s">
        <v>11</v>
      </c>
      <c r="C488">
        <f>120373742188/10^6</f>
      </c>
      <c r="D488">
        <f>0</f>
      </c>
      <c r="E488">
        <f>717045166/10^6</f>
      </c>
      <c r="F488">
        <f>0</f>
      </c>
      <c r="G488">
        <f>254682587/10^6</f>
      </c>
      <c r="H488">
        <f>0</f>
      </c>
      <c r="I488">
        <f>-34876808/10^6</f>
      </c>
      <c r="J488">
        <f>0</f>
      </c>
    </row>
    <row r="489">
      <c r="A489" t="s">
        <v>498</v>
      </c>
      <c r="B489" t="s">
        <v>11</v>
      </c>
      <c r="C489">
        <f>1200924375/10^4</f>
      </c>
      <c r="D489">
        <f>0</f>
      </c>
      <c r="E489">
        <f>718406494/10^6</f>
      </c>
      <c r="F489">
        <f>0</f>
      </c>
      <c r="G489">
        <f>254624527/10^6</f>
      </c>
      <c r="H489">
        <f>0</f>
      </c>
      <c r="I489">
        <f>-35271172/10^6</f>
      </c>
      <c r="J489">
        <f>0</f>
      </c>
    </row>
    <row r="490">
      <c r="A490" t="s">
        <v>499</v>
      </c>
      <c r="B490" t="s">
        <v>11</v>
      </c>
      <c r="C490">
        <f>119852867188/10^6</f>
      </c>
      <c r="D490">
        <f>0</f>
      </c>
      <c r="E490">
        <f>719938538/10^6</f>
      </c>
      <c r="F490">
        <f>0</f>
      </c>
      <c r="G490">
        <f>254561234/10^6</f>
      </c>
      <c r="H490">
        <f>0</f>
      </c>
      <c r="I490">
        <f>-3575713/10^5</f>
      </c>
      <c r="J490">
        <f>0</f>
      </c>
    </row>
    <row r="491">
      <c r="A491" t="s">
        <v>500</v>
      </c>
      <c r="B491" t="s">
        <v>11</v>
      </c>
      <c r="C491">
        <f>119643859375/10^6</f>
      </c>
      <c r="D491">
        <f>0</f>
      </c>
      <c r="E491">
        <f>721416321/10^6</f>
      </c>
      <c r="F491">
        <f>0</f>
      </c>
      <c r="G491">
        <f>254527695/10^6</f>
      </c>
      <c r="H491">
        <f>0</f>
      </c>
      <c r="I491">
        <f>-35951744/10^6</f>
      </c>
      <c r="J491">
        <f>0</f>
      </c>
    </row>
    <row r="492">
      <c r="A492" t="s">
        <v>501</v>
      </c>
      <c r="B492" t="s">
        <v>11</v>
      </c>
      <c r="C492">
        <f>119418929688/10^6</f>
      </c>
      <c r="D492">
        <f>0</f>
      </c>
      <c r="E492">
        <f>722652344/10^6</f>
      </c>
      <c r="F492">
        <f>0</f>
      </c>
      <c r="G492">
        <f>254497055/10^6</f>
      </c>
      <c r="H492">
        <f>0</f>
      </c>
      <c r="I492">
        <f>-35939133/10^6</f>
      </c>
      <c r="J492">
        <f>0</f>
      </c>
    </row>
    <row r="493">
      <c r="A493" t="s">
        <v>502</v>
      </c>
      <c r="B493" t="s">
        <v>11</v>
      </c>
      <c r="C493">
        <f>119184914063/10^6</f>
      </c>
      <c r="D493">
        <f>0</f>
      </c>
      <c r="E493">
        <f>724011475/10^6</f>
      </c>
      <c r="F493">
        <f>0</f>
      </c>
      <c r="G493">
        <f>254469757/10^6</f>
      </c>
      <c r="H493">
        <f>0</f>
      </c>
      <c r="I493">
        <f>-36024025/10^6</f>
      </c>
      <c r="J493">
        <f>0</f>
      </c>
    </row>
    <row r="494">
      <c r="A494" t="s">
        <v>503</v>
      </c>
      <c r="B494" t="s">
        <v>11</v>
      </c>
      <c r="C494">
        <f>118976914063/10^6</f>
      </c>
      <c r="D494">
        <f>0</f>
      </c>
      <c r="E494">
        <f>725518005/10^6</f>
      </c>
      <c r="F494">
        <f>0</f>
      </c>
      <c r="G494">
        <f>254468872/10^6</f>
      </c>
      <c r="H494">
        <f>0</f>
      </c>
      <c r="I494">
        <f>-36379082/10^6</f>
      </c>
      <c r="J494">
        <f>0</f>
      </c>
    </row>
    <row r="495">
      <c r="A495" t="s">
        <v>504</v>
      </c>
      <c r="B495" t="s">
        <v>11</v>
      </c>
      <c r="C495">
        <f>118798125/10^3</f>
      </c>
      <c r="D495">
        <f>0</f>
      </c>
      <c r="E495">
        <f>726842896/10^6</f>
      </c>
      <c r="F495">
        <f>0</f>
      </c>
      <c r="G495">
        <f>254471359/10^6</f>
      </c>
      <c r="H495">
        <f>0</f>
      </c>
      <c r="I495">
        <f>-36775402/10^6</f>
      </c>
      <c r="J495">
        <f>0</f>
      </c>
    </row>
    <row r="496">
      <c r="A496" t="s">
        <v>505</v>
      </c>
      <c r="B496" t="s">
        <v>11</v>
      </c>
      <c r="C496">
        <f>11865634375/10^5</f>
      </c>
      <c r="D496">
        <f>0</f>
      </c>
      <c r="E496">
        <f>72785321/10^5</f>
      </c>
      <c r="F496">
        <f>0</f>
      </c>
      <c r="G496">
        <f>254464844/10^6</f>
      </c>
      <c r="H496">
        <f>0</f>
      </c>
      <c r="I496">
        <f>-36973064/10^6</f>
      </c>
      <c r="J496">
        <f>0</f>
      </c>
    </row>
    <row r="497">
      <c r="A497" t="s">
        <v>506</v>
      </c>
      <c r="B497" t="s">
        <v>11</v>
      </c>
      <c r="C497">
        <f>118547/10^0</f>
      </c>
      <c r="D497">
        <f>0</f>
      </c>
      <c r="E497">
        <f>728715759/10^6</f>
      </c>
      <c r="F497">
        <f>0</f>
      </c>
      <c r="G497">
        <f>254451172/10^6</f>
      </c>
      <c r="H497">
        <f>0</f>
      </c>
      <c r="I497">
        <f>-37166687/10^6</f>
      </c>
      <c r="J497">
        <f>0</f>
      </c>
    </row>
    <row r="498">
      <c r="A498" t="s">
        <v>507</v>
      </c>
      <c r="B498" t="s">
        <v>11</v>
      </c>
      <c r="C498">
        <f>118434328125/10^6</f>
      </c>
      <c r="D498">
        <f>0</f>
      </c>
      <c r="E498">
        <f>729593994/10^6</f>
      </c>
      <c r="F498">
        <f>0</f>
      </c>
      <c r="G498">
        <f>25444191/10^5</f>
      </c>
      <c r="H498">
        <f>0</f>
      </c>
      <c r="I498">
        <f>-37354866/10^6</f>
      </c>
      <c r="J498">
        <f>0</f>
      </c>
    </row>
    <row r="499">
      <c r="A499" t="s">
        <v>508</v>
      </c>
      <c r="B499" t="s">
        <v>11</v>
      </c>
      <c r="C499">
        <f>11830190625/10^5</f>
      </c>
      <c r="D499">
        <f>0</f>
      </c>
      <c r="E499">
        <f>730378357/10^6</f>
      </c>
      <c r="F499">
        <f>0</f>
      </c>
      <c r="G499">
        <f>254453857/10^6</f>
      </c>
      <c r="H499">
        <f>0</f>
      </c>
      <c r="I499">
        <f>-37468517/10^6</f>
      </c>
      <c r="J499">
        <f>0</f>
      </c>
    </row>
    <row r="500">
      <c r="A500" t="s">
        <v>509</v>
      </c>
      <c r="B500" t="s">
        <v>11</v>
      </c>
      <c r="C500">
        <f>118142757813/10^6</f>
      </c>
      <c r="D500">
        <f>0</f>
      </c>
      <c r="E500">
        <f>731271179/10^6</f>
      </c>
      <c r="F500">
        <f>0</f>
      </c>
      <c r="G500">
        <f>254472168/10^6</f>
      </c>
      <c r="H500">
        <f>0</f>
      </c>
      <c r="I500">
        <f>-37561653/10^6</f>
      </c>
      <c r="J500">
        <f>0</f>
      </c>
    </row>
    <row r="501">
      <c r="A501" t="s">
        <v>510</v>
      </c>
      <c r="B501" t="s">
        <v>11</v>
      </c>
      <c r="C501">
        <f>117948390625/10^6</f>
      </c>
      <c r="D501">
        <f>0</f>
      </c>
      <c r="E501">
        <f>732527649/10^6</f>
      </c>
      <c r="F501">
        <f>0</f>
      </c>
      <c r="G501">
        <f>2544561/10^4</f>
      </c>
      <c r="H501">
        <f>0</f>
      </c>
      <c r="I501">
        <f>-37743385/10^6</f>
      </c>
      <c r="J501">
        <f>0</f>
      </c>
    </row>
    <row r="502">
      <c r="A502" t="s">
        <v>511</v>
      </c>
      <c r="B502" t="s">
        <v>11</v>
      </c>
      <c r="C502">
        <f>117735398438/10^6</f>
      </c>
      <c r="D502">
        <f>0</f>
      </c>
      <c r="E502">
        <f>733890076/10^6</f>
      </c>
      <c r="F502">
        <f>0</f>
      </c>
      <c r="G502">
        <f>254426331/10^6</f>
      </c>
      <c r="H502">
        <f>0</f>
      </c>
      <c r="I502">
        <f>-3803479/10^5</f>
      </c>
      <c r="J502">
        <f>0</f>
      </c>
    </row>
    <row r="503">
      <c r="A503" t="s">
        <v>512</v>
      </c>
      <c r="B503" t="s">
        <v>11</v>
      </c>
      <c r="C503">
        <f>117509890625/10^6</f>
      </c>
      <c r="D503">
        <f>0</f>
      </c>
      <c r="E503">
        <f>735211975/10^6</f>
      </c>
      <c r="F503">
        <f>0</f>
      </c>
      <c r="G503">
        <f>254400986/10^6</f>
      </c>
      <c r="H503">
        <f>0</f>
      </c>
      <c r="I503">
        <f>-38263638/10^6</f>
      </c>
      <c r="J503">
        <f>0</f>
      </c>
    </row>
    <row r="504">
      <c r="A504" t="s">
        <v>513</v>
      </c>
      <c r="B504" t="s">
        <v>11</v>
      </c>
      <c r="C504">
        <f>11724928125/10^5</f>
      </c>
      <c r="D504">
        <f>0</f>
      </c>
      <c r="E504">
        <f>736661072/10^6</f>
      </c>
      <c r="F504">
        <f>0</f>
      </c>
      <c r="G504">
        <f>254321945/10^6</f>
      </c>
      <c r="H504">
        <f>0</f>
      </c>
      <c r="I504">
        <f>-38535023/10^6</f>
      </c>
      <c r="J504">
        <f>0</f>
      </c>
    </row>
    <row r="505">
      <c r="A505" t="s">
        <v>514</v>
      </c>
      <c r="B505" t="s">
        <v>11</v>
      </c>
      <c r="C505">
        <f>11697771875/10^5</f>
      </c>
      <c r="D505">
        <f>0</f>
      </c>
      <c r="E505">
        <f>738255066/10^6</f>
      </c>
      <c r="F505">
        <f>0</f>
      </c>
      <c r="G505">
        <f>254224121/10^6</f>
      </c>
      <c r="H505">
        <f>0</f>
      </c>
      <c r="I505">
        <f>-3884148/10^5</f>
      </c>
      <c r="J505">
        <f>0</f>
      </c>
    </row>
    <row r="506">
      <c r="A506" t="s">
        <v>515</v>
      </c>
      <c r="B506" t="s">
        <v>11</v>
      </c>
      <c r="C506">
        <f>116726945313/10^6</f>
      </c>
      <c r="D506">
        <f>0</f>
      </c>
      <c r="E506">
        <f>739769287/10^6</f>
      </c>
      <c r="F506">
        <f>0</f>
      </c>
      <c r="G506">
        <f>254164093/10^6</f>
      </c>
      <c r="H506">
        <f>0</f>
      </c>
      <c r="I506">
        <f>-39079502/10^6</f>
      </c>
      <c r="J506">
        <f>0</f>
      </c>
    </row>
    <row r="507">
      <c r="A507" t="s">
        <v>516</v>
      </c>
      <c r="B507" t="s">
        <v>11</v>
      </c>
      <c r="C507">
        <f>116436882813/10^6</f>
      </c>
      <c r="D507">
        <f>0</f>
      </c>
      <c r="E507">
        <f>741266174/10^6</f>
      </c>
      <c r="F507">
        <f>0</f>
      </c>
      <c r="G507">
        <f>254145172/10^6</f>
      </c>
      <c r="H507">
        <f>0</f>
      </c>
      <c r="I507">
        <f>-39354382/10^6</f>
      </c>
      <c r="J507">
        <f>0</f>
      </c>
    </row>
    <row r="508">
      <c r="A508" t="s">
        <v>517</v>
      </c>
      <c r="B508" t="s">
        <v>11</v>
      </c>
      <c r="C508">
        <f>116074585938/10^6</f>
      </c>
      <c r="D508">
        <f>0</f>
      </c>
      <c r="E508">
        <f>74309198/10^5</f>
      </c>
      <c r="F508">
        <f>0</f>
      </c>
      <c r="G508">
        <f>254100739/10^6</f>
      </c>
      <c r="H508">
        <f>0</f>
      </c>
      <c r="I508">
        <f>-39578079/10^6</f>
      </c>
      <c r="J508">
        <f>0</f>
      </c>
    </row>
    <row r="509">
      <c r="A509" t="s">
        <v>518</v>
      </c>
      <c r="B509" t="s">
        <v>11</v>
      </c>
      <c r="C509">
        <f>115731921875/10^6</f>
      </c>
      <c r="D509">
        <f>0</f>
      </c>
      <c r="E509">
        <f>74502832/10^5</f>
      </c>
      <c r="F509">
        <f>0</f>
      </c>
      <c r="G509">
        <f>253859161/10^6</f>
      </c>
      <c r="H509">
        <f>0</f>
      </c>
      <c r="I509">
        <f>-39912079/10^6</f>
      </c>
      <c r="J509">
        <f>0</f>
      </c>
    </row>
    <row r="510">
      <c r="A510" t="s">
        <v>519</v>
      </c>
      <c r="B510" t="s">
        <v>11</v>
      </c>
      <c r="C510">
        <f>115471859375/10^6</f>
      </c>
      <c r="D510">
        <f>0</f>
      </c>
      <c r="E510">
        <f>746522583/10^6</f>
      </c>
      <c r="F510">
        <f>0</f>
      </c>
      <c r="G510">
        <f>253568802/10^6</f>
      </c>
      <c r="H510">
        <f>0</f>
      </c>
      <c r="I510">
        <f>-40354721/10^6</f>
      </c>
      <c r="J510">
        <f>0</f>
      </c>
    </row>
    <row r="511">
      <c r="A511" t="s">
        <v>520</v>
      </c>
      <c r="B511" t="s">
        <v>11</v>
      </c>
      <c r="C511">
        <f>115252382813/10^6</f>
      </c>
      <c r="D511">
        <f>0</f>
      </c>
      <c r="E511">
        <f>747522339/10^6</f>
      </c>
      <c r="F511">
        <f>0</f>
      </c>
      <c r="G511">
        <f>253462387/10^6</f>
      </c>
      <c r="H511">
        <f>0</f>
      </c>
      <c r="I511">
        <f>-40399567/10^6</f>
      </c>
      <c r="J511">
        <f>0</f>
      </c>
    </row>
    <row r="512">
      <c r="A512" t="s">
        <v>521</v>
      </c>
      <c r="B512" t="s">
        <v>11</v>
      </c>
      <c r="C512">
        <f>115041804688/10^6</f>
      </c>
      <c r="D512">
        <f>0</f>
      </c>
      <c r="E512">
        <f>748370544/10^6</f>
      </c>
      <c r="F512">
        <f>0</f>
      </c>
      <c r="G512">
        <f>253413834/10^6</f>
      </c>
      <c r="H512">
        <f>0</f>
      </c>
      <c r="I512">
        <f>-40163944/10^6</f>
      </c>
      <c r="J512">
        <f>0</f>
      </c>
    </row>
    <row r="513">
      <c r="A513" t="s">
        <v>522</v>
      </c>
      <c r="B513" t="s">
        <v>11</v>
      </c>
      <c r="C513">
        <f>114862445313/10^6</f>
      </c>
      <c r="D513">
        <f>0</f>
      </c>
      <c r="E513">
        <f>749393982/10^6</f>
      </c>
      <c r="F513">
        <f>0</f>
      </c>
      <c r="G513">
        <f>253322067/10^6</f>
      </c>
      <c r="H513">
        <f>0</f>
      </c>
      <c r="I513">
        <f>-40040501/10^6</f>
      </c>
      <c r="J513">
        <f>0</f>
      </c>
    </row>
    <row r="514">
      <c r="A514" t="s">
        <v>523</v>
      </c>
      <c r="B514" t="s">
        <v>11</v>
      </c>
      <c r="C514">
        <f>1147450625/10^4</f>
      </c>
      <c r="D514">
        <f>0</f>
      </c>
      <c r="E514">
        <f>749978027/10^6</f>
      </c>
      <c r="F514">
        <f>0</f>
      </c>
      <c r="G514">
        <f>253268814/10^6</f>
      </c>
      <c r="H514">
        <f>0</f>
      </c>
      <c r="I514">
        <f>-40017784/10^6</f>
      </c>
      <c r="J514">
        <f>0</f>
      </c>
    </row>
    <row r="515">
      <c r="A515" t="s">
        <v>524</v>
      </c>
      <c r="B515" t="s">
        <v>11</v>
      </c>
      <c r="C515">
        <f>114664875/10^3</f>
      </c>
      <c r="D515">
        <f>0</f>
      </c>
      <c r="E515">
        <f>749389709/10^6</f>
      </c>
      <c r="F515">
        <f>0</f>
      </c>
      <c r="G515">
        <f>25329451/10^5</f>
      </c>
      <c r="H515">
        <f>0</f>
      </c>
      <c r="I515">
        <f>-40045883/10^6</f>
      </c>
      <c r="J515">
        <f>0</f>
      </c>
    </row>
    <row r="516">
      <c r="A516" t="s">
        <v>525</v>
      </c>
      <c r="B516" t="s">
        <v>11</v>
      </c>
      <c r="C516">
        <f>114542109375/10^6</f>
      </c>
      <c r="D516">
        <f>0</f>
      </c>
      <c r="E516">
        <f>748731995/10^6</f>
      </c>
      <c r="F516">
        <f>0</f>
      </c>
      <c r="G516">
        <f>253062195/10^6</f>
      </c>
      <c r="H516">
        <f>0</f>
      </c>
      <c r="I516">
        <f>-39819157/10^6</f>
      </c>
      <c r="J516">
        <f>0</f>
      </c>
    </row>
    <row r="517">
      <c r="A517" t="s">
        <v>526</v>
      </c>
      <c r="B517" t="s">
        <v>11</v>
      </c>
      <c r="C517">
        <f>11437440625/10^5</f>
      </c>
      <c r="D517">
        <f>0</f>
      </c>
      <c r="E517">
        <f>74898114/10^5</f>
      </c>
      <c r="F517">
        <f>0</f>
      </c>
      <c r="G517">
        <f>252432297/10^6</f>
      </c>
      <c r="H517">
        <f>0</f>
      </c>
      <c r="I517">
        <f>-39205734/10^6</f>
      </c>
      <c r="J517">
        <f>0</f>
      </c>
    </row>
    <row r="518">
      <c r="A518" t="s">
        <v>527</v>
      </c>
      <c r="B518" t="s">
        <v>11</v>
      </c>
      <c r="C518">
        <f>114226445313/10^6</f>
      </c>
      <c r="D518">
        <f>0</f>
      </c>
      <c r="E518">
        <f>749760864/10^6</f>
      </c>
      <c r="F518">
        <f>0</f>
      </c>
      <c r="G518">
        <f>252051819/10^6</f>
      </c>
      <c r="H518">
        <f>0</f>
      </c>
      <c r="I518">
        <f>-38826309/10^6</f>
      </c>
      <c r="J518">
        <f>0</f>
      </c>
    </row>
    <row r="519">
      <c r="A519" t="s">
        <v>528</v>
      </c>
      <c r="B519" t="s">
        <v>11</v>
      </c>
      <c r="C519">
        <f>114101375/10^3</f>
      </c>
      <c r="D519">
        <f>0</f>
      </c>
      <c r="E519">
        <f>750716125/10^6</f>
      </c>
      <c r="F519">
        <f>0</f>
      </c>
      <c r="G519">
        <f>252086227/10^6</f>
      </c>
      <c r="H519">
        <f>0</f>
      </c>
      <c r="I519">
        <f>-38884155/10^6</f>
      </c>
      <c r="J519">
        <f>0</f>
      </c>
    </row>
    <row r="520">
      <c r="A520" t="s">
        <v>529</v>
      </c>
      <c r="B520" t="s">
        <v>11</v>
      </c>
      <c r="C520">
        <f>114016390625/10^6</f>
      </c>
      <c r="D520">
        <f>0</f>
      </c>
      <c r="E520">
        <f>751334045/10^6</f>
      </c>
      <c r="F520">
        <f>0</f>
      </c>
      <c r="G520">
        <f>252084686/10^6</f>
      </c>
      <c r="H520">
        <f>0</f>
      </c>
      <c r="I520">
        <f>-38953484/10^6</f>
      </c>
      <c r="J520">
        <f>0</f>
      </c>
    </row>
    <row r="521">
      <c r="A521" t="s">
        <v>530</v>
      </c>
      <c r="B521" t="s">
        <v>11</v>
      </c>
      <c r="C521">
        <f>11404140625/10^5</f>
      </c>
      <c r="D521">
        <f>0</f>
      </c>
      <c r="E521">
        <f>751510132/10^6</f>
      </c>
      <c r="F521">
        <f>0</f>
      </c>
      <c r="G521">
        <f>252137222/10^6</f>
      </c>
      <c r="H521">
        <f>0</f>
      </c>
      <c r="I521">
        <f>-38918118/10^6</f>
      </c>
      <c r="J521">
        <f>0</f>
      </c>
    </row>
    <row r="522">
      <c r="A522" t="s">
        <v>531</v>
      </c>
      <c r="B522" t="s">
        <v>11</v>
      </c>
      <c r="C522">
        <f>114167867188/10^6</f>
      </c>
      <c r="D522">
        <f>0</f>
      </c>
      <c r="E522">
        <f>751684937/10^6</f>
      </c>
      <c r="F522">
        <f>0</f>
      </c>
      <c r="G522">
        <f>252341217/10^6</f>
      </c>
      <c r="H522">
        <f>0</f>
      </c>
      <c r="I522">
        <f>-38810699/10^6</f>
      </c>
      <c r="J522">
        <f>0</f>
      </c>
    </row>
    <row r="523">
      <c r="A523" t="s">
        <v>532</v>
      </c>
      <c r="B523" t="s">
        <v>11</v>
      </c>
      <c r="C523">
        <f>114337632813/10^6</f>
      </c>
      <c r="D523">
        <f>0</f>
      </c>
      <c r="E523">
        <f>751531433/10^6</f>
      </c>
      <c r="F523">
        <f>0</f>
      </c>
      <c r="G523">
        <f>252485458/10^6</f>
      </c>
      <c r="H523">
        <f>0</f>
      </c>
      <c r="I523">
        <f>-38762268/10^6</f>
      </c>
      <c r="J523">
        <f>0</f>
      </c>
    </row>
    <row r="524">
      <c r="A524" t="s">
        <v>533</v>
      </c>
      <c r="B524" t="s">
        <v>11</v>
      </c>
      <c r="C524">
        <f>11453209375/10^5</f>
      </c>
      <c r="D524">
        <f>0</f>
      </c>
      <c r="E524">
        <f>750712891/10^6</f>
      </c>
      <c r="F524">
        <f>0</f>
      </c>
      <c r="G524">
        <f>252621002/10^6</f>
      </c>
      <c r="H524">
        <f>0</f>
      </c>
      <c r="I524">
        <f>-39012001/10^6</f>
      </c>
      <c r="J524">
        <f>0</f>
      </c>
    </row>
    <row r="525">
      <c r="A525" t="s">
        <v>534</v>
      </c>
      <c r="B525" t="s">
        <v>11</v>
      </c>
      <c r="C525">
        <f>11474365625/10^5</f>
      </c>
      <c r="D525">
        <f>0</f>
      </c>
      <c r="E525">
        <f>74966803/10^5</f>
      </c>
      <c r="F525">
        <f>0</f>
      </c>
      <c r="G525">
        <f>252773788/10^6</f>
      </c>
      <c r="H525">
        <f>0</f>
      </c>
      <c r="I525">
        <f>-39332951/10^6</f>
      </c>
      <c r="J525">
        <f>0</f>
      </c>
    </row>
    <row r="526">
      <c r="A526" t="s">
        <v>535</v>
      </c>
      <c r="B526" t="s">
        <v>11</v>
      </c>
      <c r="C526">
        <f>114964625/10^3</f>
      </c>
      <c r="D526">
        <f>0</f>
      </c>
      <c r="E526">
        <f>748684204/10^6</f>
      </c>
      <c r="F526">
        <f>0</f>
      </c>
      <c r="G526">
        <f>252917206/10^6</f>
      </c>
      <c r="H526">
        <f>0</f>
      </c>
      <c r="I526">
        <f>-39345242/10^6</f>
      </c>
      <c r="J526">
        <f>0</f>
      </c>
    </row>
    <row r="527">
      <c r="A527" t="s">
        <v>536</v>
      </c>
      <c r="B527" t="s">
        <v>11</v>
      </c>
      <c r="C527">
        <f>115198085938/10^6</f>
      </c>
      <c r="D527">
        <f>0</f>
      </c>
      <c r="E527">
        <f>747551941/10^6</f>
      </c>
      <c r="F527">
        <f>0</f>
      </c>
      <c r="G527">
        <f>253088669/10^6</f>
      </c>
      <c r="H527">
        <f>0</f>
      </c>
      <c r="I527">
        <f>-39243412/10^6</f>
      </c>
      <c r="J527">
        <f>0</f>
      </c>
    </row>
    <row r="528">
      <c r="A528" t="s">
        <v>537</v>
      </c>
      <c r="B528" t="s">
        <v>11</v>
      </c>
      <c r="C528">
        <f>115460617188/10^6</f>
      </c>
      <c r="D528">
        <f>0</f>
      </c>
      <c r="E528">
        <f>746038513/10^6</f>
      </c>
      <c r="F528">
        <f>0</f>
      </c>
      <c r="G528">
        <f>253265869/10^6</f>
      </c>
      <c r="H528">
        <f>0</f>
      </c>
      <c r="I528">
        <f>-39170761/10^6</f>
      </c>
      <c r="J528">
        <f>0</f>
      </c>
    </row>
    <row r="529">
      <c r="A529" t="s">
        <v>538</v>
      </c>
      <c r="B529" t="s">
        <v>11</v>
      </c>
      <c r="C529">
        <f>115793085938/10^6</f>
      </c>
      <c r="D529">
        <f>0</f>
      </c>
      <c r="E529">
        <f>744304199/10^6</f>
      </c>
      <c r="F529">
        <f>0</f>
      </c>
      <c r="G529">
        <f>253472305/10^6</f>
      </c>
      <c r="H529">
        <f>0</f>
      </c>
      <c r="I529">
        <f>-38934441/10^6</f>
      </c>
      <c r="J529">
        <f>0</f>
      </c>
    </row>
    <row r="530">
      <c r="A530" t="s">
        <v>539</v>
      </c>
      <c r="B530" t="s">
        <v>11</v>
      </c>
      <c r="C530">
        <f>116218375/10^3</f>
      </c>
      <c r="D530">
        <f>0</f>
      </c>
      <c r="E530">
        <f>742887512/10^6</f>
      </c>
      <c r="F530">
        <f>0</f>
      </c>
      <c r="G530">
        <f>253621536/10^6</f>
      </c>
      <c r="H530">
        <f>0</f>
      </c>
      <c r="I530">
        <f>-3869244/10^5</f>
      </c>
      <c r="J530">
        <f>0</f>
      </c>
    </row>
    <row r="531">
      <c r="A531" t="s">
        <v>540</v>
      </c>
      <c r="B531" t="s">
        <v>11</v>
      </c>
      <c r="C531">
        <f>116714460938/10^6</f>
      </c>
      <c r="D531">
        <f>0</f>
      </c>
      <c r="E531">
        <f>741629761/10^6</f>
      </c>
      <c r="F531">
        <f>0</f>
      </c>
      <c r="G531">
        <f>254031433/10^6</f>
      </c>
      <c r="H531">
        <f>0</f>
      </c>
      <c r="I531">
        <f>-38365299/10^6</f>
      </c>
      <c r="J531">
        <f>0</f>
      </c>
    </row>
    <row r="532">
      <c r="A532" t="s">
        <v>541</v>
      </c>
      <c r="B532" t="s">
        <v>11</v>
      </c>
      <c r="C532">
        <f>117269320313/10^6</f>
      </c>
      <c r="D532">
        <f>0</f>
      </c>
      <c r="E532">
        <f>739617615/10^6</f>
      </c>
      <c r="F532">
        <f>0</f>
      </c>
      <c r="G532">
        <f>254844284/10^6</f>
      </c>
      <c r="H532">
        <f>0</f>
      </c>
      <c r="I532">
        <f>-37856239/10^6</f>
      </c>
      <c r="J532">
        <f>0</f>
      </c>
    </row>
    <row r="533">
      <c r="A533" t="s">
        <v>542</v>
      </c>
      <c r="B533" t="s">
        <v>11</v>
      </c>
      <c r="C533">
        <f>117896070313/10^6</f>
      </c>
      <c r="D533">
        <f>0</f>
      </c>
      <c r="E533">
        <f>736734558/10^6</f>
      </c>
      <c r="F533">
        <f>0</f>
      </c>
      <c r="G533">
        <f>255424973/10^6</f>
      </c>
      <c r="H533">
        <f>0</f>
      </c>
      <c r="I533">
        <f>-3742215/10^5</f>
      </c>
      <c r="J533">
        <f>0</f>
      </c>
    </row>
    <row r="534">
      <c r="A534" t="s">
        <v>543</v>
      </c>
      <c r="B534" t="s">
        <v>11</v>
      </c>
      <c r="C534">
        <f>118608195313/10^6</f>
      </c>
      <c r="D534">
        <f>0</f>
      </c>
      <c r="E534">
        <f>733510315/10^6</f>
      </c>
      <c r="F534">
        <f>0</f>
      </c>
      <c r="G534">
        <f>255896957/10^6</f>
      </c>
      <c r="H534">
        <f>0</f>
      </c>
      <c r="I534">
        <f>-36813961/10^6</f>
      </c>
      <c r="J534">
        <f>0</f>
      </c>
    </row>
    <row r="535">
      <c r="A535" t="s">
        <v>544</v>
      </c>
      <c r="B535" t="s">
        <v>11</v>
      </c>
      <c r="C535">
        <f>119399460938/10^6</f>
      </c>
      <c r="D535">
        <f>0</f>
      </c>
      <c r="E535">
        <f>729979248/10^6</f>
      </c>
      <c r="F535">
        <f>0</f>
      </c>
      <c r="G535">
        <f>256449188/10^6</f>
      </c>
      <c r="H535">
        <f>0</f>
      </c>
      <c r="I535">
        <f>-36170258/10^6</f>
      </c>
      <c r="J535">
        <f>0</f>
      </c>
    </row>
    <row r="536">
      <c r="A536" t="s">
        <v>545</v>
      </c>
      <c r="B536" t="s">
        <v>11</v>
      </c>
      <c r="C536">
        <f>120208539063/10^6</f>
      </c>
      <c r="D536">
        <f>0</f>
      </c>
      <c r="E536">
        <f>725924744/10^6</f>
      </c>
      <c r="F536">
        <f>0</f>
      </c>
      <c r="G536">
        <f>25681073/10^5</f>
      </c>
      <c r="H536">
        <f>0</f>
      </c>
      <c r="I536">
        <f>-35554272/10^6</f>
      </c>
      <c r="J536">
        <f>0</f>
      </c>
    </row>
    <row r="537">
      <c r="A537" t="s">
        <v>546</v>
      </c>
      <c r="B537" t="s">
        <v>11</v>
      </c>
      <c r="C537">
        <f>120964679688/10^6</f>
      </c>
      <c r="D537">
        <f>0</f>
      </c>
      <c r="E537">
        <f>721633728/10^6</f>
      </c>
      <c r="F537">
        <f>0</f>
      </c>
      <c r="G537">
        <f>257209167/10^6</f>
      </c>
      <c r="H537">
        <f>0</f>
      </c>
      <c r="I537">
        <f>-34643631/10^6</f>
      </c>
      <c r="J537">
        <f>0</f>
      </c>
    </row>
    <row r="538">
      <c r="A538" t="s">
        <v>547</v>
      </c>
      <c r="B538" t="s">
        <v>11</v>
      </c>
      <c r="C538">
        <f>121651625/10^3</f>
      </c>
      <c r="D538">
        <f>0</f>
      </c>
      <c r="E538">
        <f>71772583/10^5</f>
      </c>
      <c r="F538">
        <f>0</f>
      </c>
      <c r="G538">
        <f>257522034/10^6</f>
      </c>
      <c r="H538">
        <f>0</f>
      </c>
      <c r="I538">
        <f>-33942806/10^6</f>
      </c>
      <c r="J538">
        <f>0</f>
      </c>
    </row>
    <row r="539">
      <c r="A539" t="s">
        <v>548</v>
      </c>
      <c r="B539" t="s">
        <v>11</v>
      </c>
      <c r="C539">
        <f>122239953125/10^6</f>
      </c>
      <c r="D539">
        <f>0</f>
      </c>
      <c r="E539">
        <f>714416809/10^6</f>
      </c>
      <c r="F539">
        <f>0</f>
      </c>
      <c r="G539">
        <f>257649658/10^6</f>
      </c>
      <c r="H539">
        <f>0</f>
      </c>
      <c r="I539">
        <f>-33301449/10^6</f>
      </c>
      <c r="J539">
        <f>0</f>
      </c>
    </row>
    <row r="540">
      <c r="A540" t="s">
        <v>549</v>
      </c>
      <c r="B540" t="s">
        <v>11</v>
      </c>
      <c r="C540">
        <f>122645460938/10^6</f>
      </c>
      <c r="D540">
        <f>0</f>
      </c>
      <c r="E540">
        <f>711755371/10^6</f>
      </c>
      <c r="F540">
        <f>0</f>
      </c>
      <c r="G540">
        <f>257829559/10^6</f>
      </c>
      <c r="H540">
        <f>0</f>
      </c>
      <c r="I540">
        <f>-32530739/10^6</f>
      </c>
      <c r="J540">
        <f>0</f>
      </c>
    </row>
    <row r="541">
      <c r="A541" t="s">
        <v>550</v>
      </c>
      <c r="B541" t="s">
        <v>11</v>
      </c>
      <c r="C541">
        <f>1228234375/10^4</f>
      </c>
      <c r="D541">
        <f>0</f>
      </c>
      <c r="E541">
        <f>70996991/10^5</f>
      </c>
      <c r="F541">
        <f>0</f>
      </c>
      <c r="G541">
        <f>257803619/10^6</f>
      </c>
      <c r="H541">
        <f>0</f>
      </c>
      <c r="I541">
        <f>-32210045/10^6</f>
      </c>
      <c r="J541">
        <f>0</f>
      </c>
    </row>
    <row r="542">
      <c r="A542" t="s">
        <v>551</v>
      </c>
      <c r="B542" t="s">
        <v>11</v>
      </c>
      <c r="C542">
        <f>122851664063/10^6</f>
      </c>
      <c r="D542">
        <f>0</f>
      </c>
      <c r="E542">
        <f>708981873/10^6</f>
      </c>
      <c r="F542">
        <f>0</f>
      </c>
      <c r="G542">
        <f>257549774/10^6</f>
      </c>
      <c r="H542">
        <f>0</f>
      </c>
      <c r="I542">
        <f>-3200676/10^5</f>
      </c>
      <c r="J542">
        <f>0</f>
      </c>
    </row>
    <row r="543">
      <c r="A543" t="s">
        <v>552</v>
      </c>
      <c r="B543" t="s">
        <v>11</v>
      </c>
      <c r="C543">
        <f>122863148438/10^6</f>
      </c>
      <c r="D543">
        <f>0</f>
      </c>
      <c r="E543">
        <f>708466431/10^6</f>
      </c>
      <c r="F543">
        <f>0</f>
      </c>
      <c r="G543">
        <f>25739325/10^5</f>
      </c>
      <c r="H543">
        <f>0</f>
      </c>
      <c r="I543">
        <f>-31815859/10^6</f>
      </c>
      <c r="J543">
        <f>0</f>
      </c>
    </row>
    <row r="544">
      <c r="A544" t="s">
        <v>553</v>
      </c>
      <c r="B544" t="s">
        <v>11</v>
      </c>
      <c r="C544">
        <f>122894195313/10^6</f>
      </c>
      <c r="D544">
        <f>0</f>
      </c>
      <c r="E544">
        <f>708217407/10^6</f>
      </c>
      <c r="F544">
        <f>0</f>
      </c>
      <c r="G544">
        <f>257307983/10^6</f>
      </c>
      <c r="H544">
        <f>0</f>
      </c>
      <c r="I544">
        <f>-32060371/10^6</f>
      </c>
      <c r="J544">
        <f>0</f>
      </c>
    </row>
    <row r="545">
      <c r="A545" t="s">
        <v>554</v>
      </c>
      <c r="B545" t="s">
        <v>11</v>
      </c>
      <c r="C545">
        <f>122912679688/10^6</f>
      </c>
      <c r="D545">
        <f>0</f>
      </c>
      <c r="E545">
        <f>707928162/10^6</f>
      </c>
      <c r="F545">
        <f>0</f>
      </c>
      <c r="G545">
        <f>257226318/10^6</f>
      </c>
      <c r="H545">
        <f>0</f>
      </c>
      <c r="I545">
        <f>-32372288/10^6</f>
      </c>
      <c r="J545">
        <f>0</f>
      </c>
    </row>
    <row r="546">
      <c r="A546" t="s">
        <v>555</v>
      </c>
      <c r="B546" t="s">
        <v>11</v>
      </c>
      <c r="C546">
        <f>122920210938/10^6</f>
      </c>
      <c r="D546">
        <f>0</f>
      </c>
      <c r="E546">
        <f>707441589/10^6</f>
      </c>
      <c r="F546">
        <f>0</f>
      </c>
      <c r="G546">
        <f>257059418/10^6</f>
      </c>
      <c r="H546">
        <f>0</f>
      </c>
      <c r="I546">
        <f>-32497799/10^6</f>
      </c>
      <c r="J546">
        <f>0</f>
      </c>
    </row>
    <row r="547">
      <c r="A547" t="s">
        <v>556</v>
      </c>
      <c r="B547" t="s">
        <v>11</v>
      </c>
      <c r="C547">
        <f>122894054688/10^6</f>
      </c>
      <c r="D547">
        <f>0</f>
      </c>
      <c r="E547">
        <f>707130493/10^6</f>
      </c>
      <c r="F547">
        <f>0</f>
      </c>
      <c r="G547">
        <f>25675412/10^5</f>
      </c>
      <c r="H547">
        <f>0</f>
      </c>
      <c r="I547">
        <f>-3264101/10^5</f>
      </c>
      <c r="J547">
        <f>0</f>
      </c>
    </row>
    <row r="548">
      <c r="A548" t="s">
        <v>557</v>
      </c>
      <c r="B548" t="s">
        <v>11</v>
      </c>
      <c r="C548">
        <f>122798367188/10^6</f>
      </c>
      <c r="D548">
        <f>0</f>
      </c>
      <c r="E548">
        <f>707185486/10^6</f>
      </c>
      <c r="F548">
        <f>0</f>
      </c>
      <c r="G548">
        <f>256534027/10^6</f>
      </c>
      <c r="H548">
        <f>0</f>
      </c>
      <c r="I548">
        <f>-32792542/10^6</f>
      </c>
      <c r="J548">
        <f>0</f>
      </c>
    </row>
    <row r="549">
      <c r="A549" t="s">
        <v>558</v>
      </c>
      <c r="B549" t="s">
        <v>11</v>
      </c>
      <c r="C549">
        <f>122649289063/10^6</f>
      </c>
      <c r="D549">
        <f>0</f>
      </c>
      <c r="E549">
        <f>707526978/10^6</f>
      </c>
      <c r="F549">
        <f>0</f>
      </c>
      <c r="G549">
        <f>25637793/10^5</f>
      </c>
      <c r="H549">
        <f>0</f>
      </c>
      <c r="I549">
        <f>-32877811/10^6</f>
      </c>
      <c r="J549">
        <f>0</f>
      </c>
    </row>
    <row r="550">
      <c r="A550" t="s">
        <v>559</v>
      </c>
      <c r="B550" t="s">
        <v>11</v>
      </c>
      <c r="C550">
        <f>122438382813/10^6</f>
      </c>
      <c r="D550">
        <f>0</f>
      </c>
      <c r="E550">
        <f>708345459/10^6</f>
      </c>
      <c r="F550">
        <f>0</f>
      </c>
      <c r="G550">
        <f>256199585/10^6</f>
      </c>
      <c r="H550">
        <f>0</f>
      </c>
      <c r="I550">
        <f>-32910767/10^6</f>
      </c>
      <c r="J550">
        <f>0</f>
      </c>
    </row>
    <row r="551">
      <c r="A551" t="s">
        <v>560</v>
      </c>
      <c r="B551" t="s">
        <v>11</v>
      </c>
      <c r="C551">
        <f>122149859375/10^6</f>
      </c>
      <c r="D551">
        <f>0</f>
      </c>
      <c r="E551">
        <f>709667053/10^6</f>
      </c>
      <c r="F551">
        <f>0</f>
      </c>
      <c r="G551">
        <f>256060608/10^6</f>
      </c>
      <c r="H551">
        <f>0</f>
      </c>
      <c r="I551">
        <f>-33171062/10^6</f>
      </c>
      <c r="J551">
        <f>0</f>
      </c>
    </row>
    <row r="552">
      <c r="A552" t="s">
        <v>561</v>
      </c>
      <c r="B552" t="s">
        <v>11</v>
      </c>
      <c r="C552">
        <f>121834734375/10^6</f>
      </c>
      <c r="D552">
        <f>0</f>
      </c>
      <c r="E552">
        <f>711260132/10^6</f>
      </c>
      <c r="F552">
        <f>0</f>
      </c>
      <c r="G552">
        <f>255900345/10^6</f>
      </c>
      <c r="H552">
        <f>0</f>
      </c>
      <c r="I552">
        <f>-33679089/10^6</f>
      </c>
      <c r="J552">
        <f>0</f>
      </c>
    </row>
    <row r="553">
      <c r="A553" t="s">
        <v>562</v>
      </c>
      <c r="B553" t="s">
        <v>11</v>
      </c>
      <c r="C553">
        <f>121527414063/10^6</f>
      </c>
      <c r="D553">
        <f>0</f>
      </c>
      <c r="E553">
        <f>712969116/10^6</f>
      </c>
      <c r="F553">
        <f>0</f>
      </c>
      <c r="G553">
        <f>255768265/10^6</f>
      </c>
      <c r="H553">
        <f>0</f>
      </c>
      <c r="I553">
        <f>-34056175/10^6</f>
      </c>
      <c r="J553">
        <f>0</f>
      </c>
    </row>
    <row r="554">
      <c r="A554" t="s">
        <v>563</v>
      </c>
      <c r="B554" t="s">
        <v>11</v>
      </c>
      <c r="C554">
        <f>121231289063/10^6</f>
      </c>
      <c r="D554">
        <f>0</f>
      </c>
      <c r="E554">
        <f>714688904/10^6</f>
      </c>
      <c r="F554">
        <f>0</f>
      </c>
      <c r="G554">
        <f>255668304/10^6</f>
      </c>
      <c r="H554">
        <f>0</f>
      </c>
      <c r="I554">
        <f>-34489475/10^6</f>
      </c>
      <c r="J554">
        <f>0</f>
      </c>
    </row>
    <row r="555">
      <c r="A555" t="s">
        <v>564</v>
      </c>
      <c r="B555" t="s">
        <v>11</v>
      </c>
      <c r="C555">
        <f>120925875/10^3</f>
      </c>
      <c r="D555">
        <f>0</f>
      </c>
      <c r="E555">
        <f>716499756/10^6</f>
      </c>
      <c r="F555">
        <f>0</f>
      </c>
      <c r="G555">
        <f>255554611/10^6</f>
      </c>
      <c r="H555">
        <f>0</f>
      </c>
      <c r="I555">
        <f>-34987091/10^6</f>
      </c>
      <c r="J555">
        <f>0</f>
      </c>
    </row>
    <row r="556">
      <c r="A556" t="s">
        <v>565</v>
      </c>
      <c r="B556" t="s">
        <v>11</v>
      </c>
      <c r="C556">
        <f>120563835938/10^6</f>
      </c>
      <c r="D556">
        <f>0</f>
      </c>
      <c r="E556">
        <f>71842865/10^5</f>
      </c>
      <c r="F556">
        <f>0</f>
      </c>
      <c r="G556">
        <f>255482071/10^6</f>
      </c>
      <c r="H556">
        <f>0</f>
      </c>
      <c r="I556">
        <f>-35359039/10^6</f>
      </c>
      <c r="J556">
        <f>0</f>
      </c>
    </row>
    <row r="557">
      <c r="A557" t="s">
        <v>566</v>
      </c>
      <c r="B557" t="s">
        <v>11</v>
      </c>
      <c r="C557">
        <f>12020040625/10^5</f>
      </c>
      <c r="D557">
        <f>0</f>
      </c>
      <c r="E557">
        <f>720235413/10^6</f>
      </c>
      <c r="F557">
        <f>0</f>
      </c>
      <c r="G557">
        <f>255425568/10^6</f>
      </c>
      <c r="H557">
        <f>0</f>
      </c>
      <c r="I557">
        <f>-35772911/10^6</f>
      </c>
      <c r="J557">
        <f>0</f>
      </c>
    </row>
    <row r="558">
      <c r="A558" t="s">
        <v>567</v>
      </c>
      <c r="B558" t="s">
        <v>11</v>
      </c>
      <c r="C558">
        <f>119919125/10^3</f>
      </c>
      <c r="D558">
        <f>0</f>
      </c>
      <c r="E558">
        <f>72187323/10^5</f>
      </c>
      <c r="F558">
        <f>0</f>
      </c>
      <c r="G558">
        <f>255365311/10^6</f>
      </c>
      <c r="H558">
        <f>0</f>
      </c>
      <c r="I558">
        <f>-3614278/10^5</f>
      </c>
      <c r="J558">
        <f>0</f>
      </c>
    </row>
    <row r="559">
      <c r="A559" t="s">
        <v>568</v>
      </c>
      <c r="B559" t="s">
        <v>11</v>
      </c>
      <c r="C559">
        <f>119668976563/10^6</f>
      </c>
      <c r="D559">
        <f>0</f>
      </c>
      <c r="E559">
        <f>723544495/10^6</f>
      </c>
      <c r="F559">
        <f>0</f>
      </c>
      <c r="G559">
        <f>255290634/10^6</f>
      </c>
      <c r="H559">
        <f>0</f>
      </c>
      <c r="I559">
        <f>-36615826/10^6</f>
      </c>
      <c r="J559">
        <f>0</f>
      </c>
    </row>
    <row r="560">
      <c r="A560" t="s">
        <v>569</v>
      </c>
      <c r="B560" t="s">
        <v>11</v>
      </c>
      <c r="C560">
        <f>119396554688/10^6</f>
      </c>
      <c r="D560">
        <f>0</f>
      </c>
      <c r="E560">
        <f>72527179/10^5</f>
      </c>
      <c r="F560">
        <f>0</f>
      </c>
      <c r="G560">
        <f>255215942/10^6</f>
      </c>
      <c r="H560">
        <f>0</f>
      </c>
      <c r="I560">
        <f>-37151413/10^6</f>
      </c>
      <c r="J560">
        <f>0</f>
      </c>
    </row>
    <row r="561">
      <c r="A561" t="s">
        <v>570</v>
      </c>
      <c r="B561" t="s">
        <v>11</v>
      </c>
      <c r="C561">
        <f>119117539063/10^6</f>
      </c>
      <c r="D561">
        <f>0</f>
      </c>
      <c r="E561">
        <f>726896851/10^6</f>
      </c>
      <c r="F561">
        <f>0</f>
      </c>
      <c r="G561">
        <f>255134918/10^6</f>
      </c>
      <c r="H561">
        <f>0</f>
      </c>
      <c r="I561">
        <f>-37497643/10^6</f>
      </c>
      <c r="J561">
        <f>0</f>
      </c>
    </row>
    <row r="562">
      <c r="A562" t="s">
        <v>571</v>
      </c>
      <c r="B562" t="s">
        <v>11</v>
      </c>
      <c r="C562">
        <f>118834851563/10^6</f>
      </c>
      <c r="D562">
        <f>0</f>
      </c>
      <c r="E562">
        <f>728466125/10^6</f>
      </c>
      <c r="F562">
        <f>0</f>
      </c>
      <c r="G562">
        <f>255019836/10^6</f>
      </c>
      <c r="H562">
        <f>0</f>
      </c>
      <c r="I562">
        <f>-37836559/10^6</f>
      </c>
      <c r="J562">
        <f>0</f>
      </c>
    </row>
    <row r="563">
      <c r="A563" t="s">
        <v>572</v>
      </c>
      <c r="B563" t="s">
        <v>11</v>
      </c>
      <c r="C563">
        <f>118554265625/10^6</f>
      </c>
      <c r="D563">
        <f>0</f>
      </c>
      <c r="E563">
        <f>730134033/10^6</f>
      </c>
      <c r="F563">
        <f>0</f>
      </c>
      <c r="G563">
        <f>254926941/10^6</f>
      </c>
      <c r="H563">
        <f>0</f>
      </c>
      <c r="I563">
        <f>-38164577/10^6</f>
      </c>
      <c r="J563">
        <f>0</f>
      </c>
    </row>
    <row r="564">
      <c r="A564" t="s">
        <v>573</v>
      </c>
      <c r="B564" t="s">
        <v>11</v>
      </c>
      <c r="C564">
        <f>118261984375/10^6</f>
      </c>
      <c r="D564">
        <f>0</f>
      </c>
      <c r="E564">
        <f>731892639/10^6</f>
      </c>
      <c r="F564">
        <f>0</f>
      </c>
      <c r="G564">
        <f>254808014/10^6</f>
      </c>
      <c r="H564">
        <f>0</f>
      </c>
      <c r="I564">
        <f>-38554867/10^6</f>
      </c>
      <c r="J564">
        <f>0</f>
      </c>
    </row>
    <row r="565">
      <c r="A565" t="s">
        <v>574</v>
      </c>
      <c r="B565" t="s">
        <v>11</v>
      </c>
      <c r="C565">
        <f>117929039063/10^6</f>
      </c>
      <c r="D565">
        <f>0</f>
      </c>
      <c r="E565">
        <f>733812561/10^6</f>
      </c>
      <c r="F565">
        <f>0</f>
      </c>
      <c r="G565">
        <f>254666809/10^6</f>
      </c>
      <c r="H565">
        <f>0</f>
      </c>
      <c r="I565">
        <f>-38960564/10^6</f>
      </c>
      <c r="J565">
        <f>0</f>
      </c>
    </row>
    <row r="566">
      <c r="A566" t="s">
        <v>575</v>
      </c>
      <c r="B566" t="s">
        <v>11</v>
      </c>
      <c r="C566">
        <f>117593546875/10^6</f>
      </c>
      <c r="D566">
        <f>0</f>
      </c>
      <c r="E566">
        <f>735867065/10^6</f>
      </c>
      <c r="F566">
        <f>0</f>
      </c>
      <c r="G566">
        <f>254589584/10^6</f>
      </c>
      <c r="H566">
        <f>0</f>
      </c>
      <c r="I566">
        <f>-3933271/10^5</f>
      </c>
      <c r="J566">
        <f>0</f>
      </c>
    </row>
    <row r="567">
      <c r="A567" t="s">
        <v>576</v>
      </c>
      <c r="B567" t="s">
        <v>11</v>
      </c>
      <c r="C567">
        <f>117285039063/10^6</f>
      </c>
      <c r="D567">
        <f>0</f>
      </c>
      <c r="E567">
        <f>737774719/10^6</f>
      </c>
      <c r="F567">
        <f>0</f>
      </c>
      <c r="G567">
        <f>254539871/10^6</f>
      </c>
      <c r="H567">
        <f>0</f>
      </c>
      <c r="I567">
        <f>-39848351/10^6</f>
      </c>
      <c r="J567">
        <f>0</f>
      </c>
    </row>
    <row r="568">
      <c r="A568" t="s">
        <v>577</v>
      </c>
      <c r="B568" t="s">
        <v>11</v>
      </c>
      <c r="C568">
        <f>116948617188/10^6</f>
      </c>
      <c r="D568">
        <f>0</f>
      </c>
      <c r="E568">
        <f>739651123/10^6</f>
      </c>
      <c r="F568">
        <f>0</f>
      </c>
      <c r="G568">
        <f>254470383/10^6</f>
      </c>
      <c r="H568">
        <f>0</f>
      </c>
      <c r="I568">
        <f>-40272308/10^6</f>
      </c>
      <c r="J568">
        <f>0</f>
      </c>
    </row>
    <row r="569">
      <c r="A569" t="s">
        <v>578</v>
      </c>
      <c r="B569" t="s">
        <v>11</v>
      </c>
      <c r="C569">
        <f>116547359375/10^6</f>
      </c>
      <c r="D569">
        <f>0</f>
      </c>
      <c r="E569">
        <f>74186615/10^5</f>
      </c>
      <c r="F569">
        <f>0</f>
      </c>
      <c r="G569">
        <f>254364655/10^6</f>
      </c>
      <c r="H569">
        <f>0</f>
      </c>
      <c r="I569">
        <f>-40645027/10^6</f>
      </c>
      <c r="J569">
        <f>0</f>
      </c>
    </row>
    <row r="570">
      <c r="A570" t="s">
        <v>579</v>
      </c>
      <c r="B570" t="s">
        <v>11</v>
      </c>
      <c r="C570">
        <f>11610925/10^2</f>
      </c>
      <c r="D570">
        <f>0</f>
      </c>
      <c r="E570">
        <f>744331543/10^6</f>
      </c>
      <c r="F570">
        <f>0</f>
      </c>
      <c r="G570">
        <f>254279846/10^6</f>
      </c>
      <c r="H570">
        <f>0</f>
      </c>
      <c r="I570">
        <f>-41027756/10^6</f>
      </c>
      <c r="J570">
        <f>0</f>
      </c>
    </row>
    <row r="571">
      <c r="A571" t="s">
        <v>580</v>
      </c>
      <c r="B571" t="s">
        <v>11</v>
      </c>
      <c r="C571">
        <f>115677015625/10^6</f>
      </c>
      <c r="D571">
        <f>0</f>
      </c>
      <c r="E571">
        <f>746716492/10^6</f>
      </c>
      <c r="F571">
        <f>0</f>
      </c>
      <c r="G571">
        <f>25411998/10^5</f>
      </c>
      <c r="H571">
        <f>0</f>
      </c>
      <c r="I571">
        <f>-41398838/10^6</f>
      </c>
      <c r="J571">
        <f>0</f>
      </c>
    </row>
    <row r="572">
      <c r="A572" t="s">
        <v>581</v>
      </c>
      <c r="B572" t="s">
        <v>11</v>
      </c>
      <c r="C572">
        <f>115262789063/10^6</f>
      </c>
      <c r="D572">
        <f>0</f>
      </c>
      <c r="E572">
        <f>749021057/10^6</f>
      </c>
      <c r="F572">
        <f>0</f>
      </c>
      <c r="G572">
        <f>253798462/10^6</f>
      </c>
      <c r="H572">
        <f>0</f>
      </c>
      <c r="I572">
        <f>-42013828/10^6</f>
      </c>
      <c r="J572">
        <f>0</f>
      </c>
    </row>
    <row r="573">
      <c r="A573" t="s">
        <v>582</v>
      </c>
      <c r="B573" t="s">
        <v>11</v>
      </c>
      <c r="C573">
        <f>1148788125/10^4</f>
      </c>
      <c r="D573">
        <f>0</f>
      </c>
      <c r="E573">
        <f>751082031/10^6</f>
      </c>
      <c r="F573">
        <f>0</f>
      </c>
      <c r="G573">
        <f>253561142/10^6</f>
      </c>
      <c r="H573">
        <f>0</f>
      </c>
      <c r="I573">
        <f>-42399204/10^6</f>
      </c>
      <c r="J573">
        <f>0</f>
      </c>
    </row>
    <row r="574">
      <c r="A574" t="s">
        <v>583</v>
      </c>
      <c r="B574" t="s">
        <v>11</v>
      </c>
      <c r="C574">
        <f>114612632813/10^6</f>
      </c>
      <c r="D574">
        <f>0</f>
      </c>
      <c r="E574">
        <f>751719299/10^6</f>
      </c>
      <c r="F574">
        <f>0</f>
      </c>
      <c r="G574">
        <f>253477386/10^6</f>
      </c>
      <c r="H574">
        <f>0</f>
      </c>
      <c r="I574">
        <f>-42459419/10^6</f>
      </c>
      <c r="J574">
        <f>0</f>
      </c>
    </row>
    <row r="575">
      <c r="A575" t="s">
        <v>584</v>
      </c>
      <c r="B575" t="s">
        <v>11</v>
      </c>
      <c r="C575">
        <f>114504546875/10^6</f>
      </c>
      <c r="D575">
        <f>0</f>
      </c>
      <c r="E575">
        <f>750909851/10^6</f>
      </c>
      <c r="F575">
        <f>0</f>
      </c>
      <c r="G575">
        <f>253429932/10^6</f>
      </c>
      <c r="H575">
        <f>0</f>
      </c>
      <c r="I575">
        <f>-42688675/10^6</f>
      </c>
      <c r="J575">
        <f>0</f>
      </c>
    </row>
    <row r="576">
      <c r="A576" t="s">
        <v>585</v>
      </c>
      <c r="B576" t="s">
        <v>11</v>
      </c>
      <c r="C576">
        <f>114455992188/10^6</f>
      </c>
      <c r="D576">
        <f>0</f>
      </c>
      <c r="E576">
        <f>750331421/10^6</f>
      </c>
      <c r="F576">
        <f>0</f>
      </c>
      <c r="G576">
        <f>25320845/10^5</f>
      </c>
      <c r="H576">
        <f>0</f>
      </c>
      <c r="I576">
        <f>-42316666/10^6</f>
      </c>
      <c r="J576">
        <f>0</f>
      </c>
    </row>
    <row r="577">
      <c r="A577" t="s">
        <v>586</v>
      </c>
      <c r="B577" t="s">
        <v>11</v>
      </c>
      <c r="C577">
        <f>114399007813/10^6</f>
      </c>
      <c r="D577">
        <f>0</f>
      </c>
      <c r="E577">
        <f>750342834/10^6</f>
      </c>
      <c r="F577">
        <f>0</f>
      </c>
      <c r="G577">
        <f>252742813/10^6</f>
      </c>
      <c r="H577">
        <f>0</f>
      </c>
      <c r="I577">
        <f>-41155247/10^6</f>
      </c>
      <c r="J577">
        <f>0</f>
      </c>
    </row>
    <row r="578">
      <c r="A578" t="s">
        <v>587</v>
      </c>
      <c r="B578" t="s">
        <v>11</v>
      </c>
      <c r="C578">
        <f>114306421875/10^6</f>
      </c>
      <c r="D578">
        <f>0</f>
      </c>
      <c r="E578">
        <f>750974915/10^6</f>
      </c>
      <c r="F578">
        <f>0</f>
      </c>
      <c r="G578">
        <f>252408096/10^6</f>
      </c>
      <c r="H578">
        <f>0</f>
      </c>
      <c r="I578">
        <f>-40365685/10^6</f>
      </c>
      <c r="J578">
        <f>0</f>
      </c>
    </row>
    <row r="579">
      <c r="A579" t="s">
        <v>588</v>
      </c>
      <c r="B579" t="s">
        <v>11</v>
      </c>
      <c r="C579">
        <f>114182203125/10^6</f>
      </c>
      <c r="D579">
        <f>0</f>
      </c>
      <c r="E579">
        <f>750869019/10^6</f>
      </c>
      <c r="F579">
        <f>0</f>
      </c>
      <c r="G579">
        <f>252320389/10^6</f>
      </c>
      <c r="H579">
        <f>0</f>
      </c>
      <c r="I579">
        <f>-40060448/10^6</f>
      </c>
      <c r="J579">
        <f>0</f>
      </c>
    </row>
    <row r="580">
      <c r="A580" t="s">
        <v>589</v>
      </c>
      <c r="B580" t="s">
        <v>11</v>
      </c>
      <c r="C580">
        <f>11415078125/10^5</f>
      </c>
      <c r="D580">
        <f>0</f>
      </c>
      <c r="E580">
        <f>74752301/10^5</f>
      </c>
      <c r="F580">
        <f>0</f>
      </c>
      <c r="G580">
        <f>252310287/10^6</f>
      </c>
      <c r="H580">
        <f>0</f>
      </c>
      <c r="I580">
        <f>-39867828/10^6</f>
      </c>
      <c r="J580">
        <f>0</f>
      </c>
    </row>
    <row r="581">
      <c r="A581" t="s">
        <v>590</v>
      </c>
      <c r="B581" t="s">
        <v>11</v>
      </c>
      <c r="C581">
        <f>114245734375/10^6</f>
      </c>
      <c r="D581">
        <f>0</f>
      </c>
      <c r="E581">
        <f>7442948/10^4</f>
      </c>
      <c r="F581">
        <f>0</f>
      </c>
      <c r="G581">
        <f>252029724/10^6</f>
      </c>
      <c r="H581">
        <f>0</f>
      </c>
      <c r="I581">
        <f>-39150471/10^6</f>
      </c>
      <c r="J581">
        <f>0</f>
      </c>
    </row>
    <row r="582">
      <c r="A582" t="s">
        <v>591</v>
      </c>
      <c r="B582" t="s">
        <v>11</v>
      </c>
      <c r="C582">
        <f>114320554688/10^6</f>
      </c>
      <c r="D582">
        <f>0</f>
      </c>
      <c r="E582">
        <f>745234863/10^6</f>
      </c>
      <c r="F582">
        <f>0</f>
      </c>
      <c r="G582">
        <f>251202835/10^6</f>
      </c>
      <c r="H582">
        <f>0</f>
      </c>
      <c r="I582">
        <f>-37402508/10^6</f>
      </c>
      <c r="J582">
        <f>0</f>
      </c>
    </row>
    <row r="583">
      <c r="A583" t="s">
        <v>592</v>
      </c>
      <c r="B583" t="s">
        <v>11</v>
      </c>
      <c r="C583">
        <f>114309859375/10^6</f>
      </c>
      <c r="D583">
        <f>0</f>
      </c>
      <c r="E583">
        <f>7477229/10^4</f>
      </c>
      <c r="F583">
        <f>0</f>
      </c>
      <c r="G583">
        <f>250735748/10^6</f>
      </c>
      <c r="H583">
        <f>0</f>
      </c>
      <c r="I583">
        <f>-36333904/10^6</f>
      </c>
      <c r="J583">
        <f>0</f>
      </c>
    </row>
    <row r="584">
      <c r="A584" t="s">
        <v>593</v>
      </c>
      <c r="B584" t="s">
        <v>11</v>
      </c>
      <c r="C584">
        <f>1142674375/10^4</f>
      </c>
      <c r="D584">
        <f>0</f>
      </c>
      <c r="E584">
        <f>749180115/10^6</f>
      </c>
      <c r="F584">
        <f>0</f>
      </c>
      <c r="G584">
        <f>251344269/10^6</f>
      </c>
      <c r="H584">
        <f>0</f>
      </c>
      <c r="I584">
        <f>-36921787/10^6</f>
      </c>
      <c r="J584">
        <f>0</f>
      </c>
    </row>
    <row r="585">
      <c r="A585" t="s">
        <v>594</v>
      </c>
      <c r="B585" t="s">
        <v>11</v>
      </c>
      <c r="C585">
        <f>114225773438/10^6</f>
      </c>
      <c r="D585">
        <f>0</f>
      </c>
      <c r="E585">
        <f>75015033/10^5</f>
      </c>
      <c r="F585">
        <f>0</f>
      </c>
      <c r="G585">
        <f>252065491/10^6</f>
      </c>
      <c r="H585">
        <f>0</f>
      </c>
      <c r="I585">
        <f>-37602497/10^6</f>
      </c>
      <c r="J585">
        <f>0</f>
      </c>
    </row>
    <row r="586">
      <c r="A586" t="s">
        <v>595</v>
      </c>
      <c r="B586" t="s">
        <v>11</v>
      </c>
      <c r="C586">
        <f>11419140625/10^5</f>
      </c>
      <c r="D586">
        <f>0</f>
      </c>
      <c r="E586">
        <f>750948425/10^6</f>
      </c>
      <c r="F586">
        <f>0</f>
      </c>
      <c r="G586">
        <f>252261307/10^6</f>
      </c>
      <c r="H586">
        <f>0</f>
      </c>
      <c r="I586">
        <f>-3771925/10^5</f>
      </c>
      <c r="J586">
        <f>0</f>
      </c>
    </row>
    <row r="587">
      <c r="A587" t="s">
        <v>596</v>
      </c>
      <c r="B587" t="s">
        <v>11</v>
      </c>
      <c r="C587">
        <f>114162976563/10^6</f>
      </c>
      <c r="D587">
        <f>0</f>
      </c>
      <c r="E587">
        <f>751444885/10^6</f>
      </c>
      <c r="F587">
        <f>0</f>
      </c>
      <c r="G587">
        <f>252383606/10^6</f>
      </c>
      <c r="H587">
        <f>0</f>
      </c>
      <c r="I587">
        <f>-37832508/10^6</f>
      </c>
      <c r="J587">
        <f>0</f>
      </c>
    </row>
    <row r="588">
      <c r="A588" t="s">
        <v>597</v>
      </c>
      <c r="B588" t="s">
        <v>11</v>
      </c>
      <c r="C588">
        <f>11413025/10^2</f>
      </c>
      <c r="D588">
        <f>0</f>
      </c>
      <c r="E588">
        <f>751785706/10^6</f>
      </c>
      <c r="F588">
        <f>0</f>
      </c>
      <c r="G588">
        <f>252548553/10^6</f>
      </c>
      <c r="H588">
        <f>0</f>
      </c>
      <c r="I588">
        <f>-37969772/10^6</f>
      </c>
      <c r="J588">
        <f>0</f>
      </c>
    </row>
    <row r="589">
      <c r="A589" t="s">
        <v>598</v>
      </c>
      <c r="B589" t="s">
        <v>11</v>
      </c>
      <c r="C589">
        <f>114099398438/10^6</f>
      </c>
      <c r="D589">
        <f>0</f>
      </c>
      <c r="E589">
        <f>752261597/10^6</f>
      </c>
      <c r="F589">
        <f>0</f>
      </c>
      <c r="G589">
        <f>252644196/10^6</f>
      </c>
      <c r="H589">
        <f>0</f>
      </c>
      <c r="I589">
        <f>-38037399/10^6</f>
      </c>
      <c r="J589">
        <f>0</f>
      </c>
    </row>
    <row r="590">
      <c r="A590" t="s">
        <v>599</v>
      </c>
      <c r="B590" t="s">
        <v>11</v>
      </c>
      <c r="C590">
        <f>114099085938/10^6</f>
      </c>
      <c r="D590">
        <f>0</f>
      </c>
      <c r="E590">
        <f>752678406/10^6</f>
      </c>
      <c r="F590">
        <f>0</f>
      </c>
      <c r="G590">
        <f>252725906/10^6</f>
      </c>
      <c r="H590">
        <f>0</f>
      </c>
      <c r="I590">
        <f>-38120777/10^6</f>
      </c>
      <c r="J590">
        <f>0</f>
      </c>
    </row>
    <row r="591">
      <c r="A591" t="s">
        <v>600</v>
      </c>
      <c r="B591" t="s">
        <v>11</v>
      </c>
      <c r="C591">
        <f>114161515625/10^6</f>
      </c>
      <c r="D591">
        <f>0</f>
      </c>
      <c r="E591">
        <f>752559143/10^6</f>
      </c>
      <c r="F591">
        <f>0</f>
      </c>
      <c r="G591">
        <f>252819809/10^6</f>
      </c>
      <c r="H591">
        <f>0</f>
      </c>
      <c r="I591">
        <f>-38105389/10^6</f>
      </c>
      <c r="J591">
        <f>0</f>
      </c>
    </row>
    <row r="592">
      <c r="A592" t="s">
        <v>601</v>
      </c>
      <c r="B592" t="s">
        <v>11</v>
      </c>
      <c r="C592">
        <f>114297023438/10^6</f>
      </c>
      <c r="D592">
        <f>0</f>
      </c>
      <c r="E592">
        <f>751895935/10^6</f>
      </c>
      <c r="F592">
        <f>0</f>
      </c>
      <c r="G592">
        <f>252937103/10^6</f>
      </c>
      <c r="H592">
        <f>0</f>
      </c>
      <c r="I592">
        <f>-37975494/10^6</f>
      </c>
      <c r="J592">
        <f>0</f>
      </c>
    </row>
    <row r="593">
      <c r="A593" t="s">
        <v>602</v>
      </c>
      <c r="B593" t="s">
        <v>11</v>
      </c>
      <c r="C593">
        <f>114486554688/10^6</f>
      </c>
      <c r="D593">
        <f>0</f>
      </c>
      <c r="E593">
        <f>75091925/10^5</f>
      </c>
      <c r="F593">
        <f>0</f>
      </c>
      <c r="G593">
        <f>253039413/10^6</f>
      </c>
      <c r="H593">
        <f>0</f>
      </c>
      <c r="I593">
        <f>-37898388/10^6</f>
      </c>
      <c r="J593">
        <f>0</f>
      </c>
    </row>
    <row r="594">
      <c r="A594" t="s">
        <v>603</v>
      </c>
      <c r="B594" t="s">
        <v>11</v>
      </c>
      <c r="C594">
        <f>114694554688/10^6</f>
      </c>
      <c r="D594">
        <f>0</f>
      </c>
      <c r="E594">
        <f>749908081/10^6</f>
      </c>
      <c r="F594">
        <f>0</f>
      </c>
      <c r="G594">
        <f>253141556/10^6</f>
      </c>
      <c r="H594">
        <f>0</f>
      </c>
      <c r="I594">
        <f>-37883373/10^6</f>
      </c>
      <c r="J594">
        <f>0</f>
      </c>
    </row>
    <row r="595">
      <c r="A595" t="s">
        <v>604</v>
      </c>
      <c r="B595" t="s">
        <v>11</v>
      </c>
      <c r="C595">
        <f>114896179688/10^6</f>
      </c>
      <c r="D595">
        <f>0</f>
      </c>
      <c r="E595">
        <f>749060608/10^6</f>
      </c>
      <c r="F595">
        <f>0</f>
      </c>
      <c r="G595">
        <f>253244003/10^6</f>
      </c>
      <c r="H595">
        <f>0</f>
      </c>
      <c r="I595">
        <f>-37871758/10^6</f>
      </c>
      <c r="J595">
        <f>0</f>
      </c>
    </row>
    <row r="596">
      <c r="A596" t="s">
        <v>605</v>
      </c>
      <c r="B596" t="s">
        <v>11</v>
      </c>
      <c r="C596">
        <f>115106601563/10^6</f>
      </c>
      <c r="D596">
        <f>0</f>
      </c>
      <c r="E596">
        <f>748161743/10^6</f>
      </c>
      <c r="F596">
        <f>0</f>
      </c>
      <c r="G596">
        <f>253390121/10^6</f>
      </c>
      <c r="H596">
        <f>0</f>
      </c>
      <c r="I596">
        <f>-37807743/10^6</f>
      </c>
      <c r="J596">
        <f>0</f>
      </c>
    </row>
    <row r="597">
      <c r="A597" t="s">
        <v>606</v>
      </c>
      <c r="B597" t="s">
        <v>11</v>
      </c>
      <c r="C597">
        <f>115341875/10^3</f>
      </c>
      <c r="D597">
        <f>0</f>
      </c>
      <c r="E597">
        <f>747060181/10^6</f>
      </c>
      <c r="F597">
        <f>0</f>
      </c>
      <c r="G597">
        <f>253570282/10^6</f>
      </c>
      <c r="H597">
        <f>0</f>
      </c>
      <c r="I597">
        <f>-37698288/10^6</f>
      </c>
      <c r="J597">
        <f>0</f>
      </c>
    </row>
    <row r="598">
      <c r="A598" t="s">
        <v>607</v>
      </c>
      <c r="B598" t="s">
        <v>11</v>
      </c>
      <c r="C598">
        <f>115573828125/10^6</f>
      </c>
      <c r="D598">
        <f>0</f>
      </c>
      <c r="E598">
        <f>746152405/10^6</f>
      </c>
      <c r="F598">
        <f>0</f>
      </c>
      <c r="G598">
        <f>253751358/10^6</f>
      </c>
      <c r="H598">
        <f>0</f>
      </c>
      <c r="I598">
        <f>-37609066/10^6</f>
      </c>
      <c r="J598">
        <f>0</f>
      </c>
    </row>
    <row r="599">
      <c r="A599" t="s">
        <v>608</v>
      </c>
      <c r="B599" t="s">
        <v>11</v>
      </c>
      <c r="C599">
        <f>115825039063/10^6</f>
      </c>
      <c r="D599">
        <f>0</f>
      </c>
      <c r="E599">
        <f>745764526/10^6</f>
      </c>
      <c r="F599">
        <f>0</f>
      </c>
      <c r="G599">
        <f>254124603/10^6</f>
      </c>
      <c r="H599">
        <f>0</f>
      </c>
      <c r="I599">
        <f>-37501671/10^6</f>
      </c>
      <c r="J599">
        <f>0</f>
      </c>
    </row>
    <row r="600">
      <c r="A600" t="s">
        <v>609</v>
      </c>
      <c r="B600" t="s">
        <v>11</v>
      </c>
      <c r="C600">
        <f>116172070313/10^6</f>
      </c>
      <c r="D600">
        <f>0</f>
      </c>
      <c r="E600">
        <f>745278442/10^6</f>
      </c>
      <c r="F600">
        <f>0</f>
      </c>
      <c r="G600">
        <f>254511948/10^6</f>
      </c>
      <c r="H600">
        <f>0</f>
      </c>
      <c r="I600">
        <f>-37389221/10^6</f>
      </c>
      <c r="J600">
        <f>0</f>
      </c>
    </row>
    <row r="601">
      <c r="A601" t="s">
        <v>610</v>
      </c>
      <c r="B601" t="s">
        <v>11</v>
      </c>
      <c r="C601">
        <f>116600515625/10^6</f>
      </c>
      <c r="D601">
        <f>0</f>
      </c>
      <c r="E601">
        <f>744018677/10^6</f>
      </c>
      <c r="F601">
        <f>0</f>
      </c>
      <c r="G601">
        <f>254894989/10^6</f>
      </c>
      <c r="H601">
        <f>0</f>
      </c>
      <c r="I601">
        <f>-37231728/10^6</f>
      </c>
      <c r="J601">
        <f>0</f>
      </c>
    </row>
    <row r="602">
      <c r="A602" t="s">
        <v>611</v>
      </c>
      <c r="B602" t="s">
        <v>11</v>
      </c>
      <c r="C602">
        <f>11706890625/10^5</f>
      </c>
      <c r="D602">
        <f>0</f>
      </c>
      <c r="E602">
        <f>742207153/10^6</f>
      </c>
      <c r="F602">
        <f>0</f>
      </c>
      <c r="G602">
        <f>255492737/10^6</f>
      </c>
      <c r="H602">
        <f>0</f>
      </c>
      <c r="I602">
        <f>-3705397/10^5</f>
      </c>
      <c r="J602">
        <f>0</f>
      </c>
    </row>
    <row r="603">
      <c r="A603" t="s">
        <v>612</v>
      </c>
      <c r="B603" t="s">
        <v>11</v>
      </c>
      <c r="C603">
        <f>11760803125/10^5</f>
      </c>
      <c r="D603">
        <f>0</f>
      </c>
      <c r="E603">
        <f>739921509/10^6</f>
      </c>
      <c r="F603">
        <f>0</f>
      </c>
      <c r="G603">
        <f>255956558/10^6</f>
      </c>
      <c r="H603">
        <f>0</f>
      </c>
      <c r="I603">
        <f>-36861652/10^6</f>
      </c>
      <c r="J603">
        <f>0</f>
      </c>
    </row>
    <row r="604">
      <c r="A604" t="s">
        <v>613</v>
      </c>
      <c r="B604" t="s">
        <v>11</v>
      </c>
      <c r="C604">
        <f>118220929688/10^6</f>
      </c>
      <c r="D604">
        <f>0</f>
      </c>
      <c r="E604">
        <f>736954773/10^6</f>
      </c>
      <c r="F604">
        <f>0</f>
      </c>
      <c r="G604">
        <f>256344818/10^6</f>
      </c>
      <c r="H604">
        <f>0</f>
      </c>
      <c r="I604">
        <f>-36385387/10^6</f>
      </c>
      <c r="J604">
        <f>0</f>
      </c>
    </row>
    <row r="605">
      <c r="A605" t="s">
        <v>614</v>
      </c>
      <c r="B605" t="s">
        <v>11</v>
      </c>
      <c r="C605">
        <f>118870195313/10^6</f>
      </c>
      <c r="D605">
        <f>0</f>
      </c>
      <c r="E605">
        <f>733595154/10^6</f>
      </c>
      <c r="F605">
        <f>0</f>
      </c>
      <c r="G605">
        <f>256781677/10^6</f>
      </c>
      <c r="H605">
        <f>0</f>
      </c>
      <c r="I605">
        <f>-35879829/10^6</f>
      </c>
      <c r="J605">
        <f>0</f>
      </c>
    </row>
    <row r="606">
      <c r="A606" t="s">
        <v>615</v>
      </c>
      <c r="B606" t="s">
        <v>11</v>
      </c>
      <c r="C606">
        <f>119565828125/10^6</f>
      </c>
      <c r="D606">
        <f>0</f>
      </c>
      <c r="E606">
        <f>730112793/10^6</f>
      </c>
      <c r="F606">
        <f>0</f>
      </c>
      <c r="G606">
        <f>257088074/10^6</f>
      </c>
      <c r="H606">
        <f>0</f>
      </c>
      <c r="I606">
        <f>-35425999/10^6</f>
      </c>
      <c r="J606">
        <f>0</f>
      </c>
    </row>
    <row r="607">
      <c r="A607" t="s">
        <v>616</v>
      </c>
      <c r="B607" t="s">
        <v>11</v>
      </c>
      <c r="C607">
        <f>120285453125/10^6</f>
      </c>
      <c r="D607">
        <f>0</f>
      </c>
      <c r="E607">
        <f>726445679/10^6</f>
      </c>
      <c r="F607">
        <f>0</f>
      </c>
      <c r="G607">
        <f>257453339/10^6</f>
      </c>
      <c r="H607">
        <f>0</f>
      </c>
      <c r="I607">
        <f>-34750118/10^6</f>
      </c>
      <c r="J607">
        <f>0</f>
      </c>
    </row>
    <row r="608">
      <c r="A608" t="s">
        <v>617</v>
      </c>
      <c r="B608" t="s">
        <v>11</v>
      </c>
      <c r="C608">
        <f>12093171875/10^5</f>
      </c>
      <c r="D608">
        <f>0</f>
      </c>
      <c r="E608">
        <f>722708313/10^6</f>
      </c>
      <c r="F608">
        <f>0</f>
      </c>
      <c r="G608">
        <f>257739929/10^6</f>
      </c>
      <c r="H608">
        <f>0</f>
      </c>
      <c r="I608">
        <f>-34223759/10^6</f>
      </c>
      <c r="J608">
        <f>0</f>
      </c>
    </row>
    <row r="609">
      <c r="A609" t="s">
        <v>618</v>
      </c>
      <c r="B609" t="s">
        <v>11</v>
      </c>
      <c r="C609">
        <f>121468445313/10^6</f>
      </c>
      <c r="D609">
        <f>0</f>
      </c>
      <c r="E609">
        <f>71934436/10^5</f>
      </c>
      <c r="F609">
        <f>0</f>
      </c>
      <c r="G609">
        <f>257844025/10^6</f>
      </c>
      <c r="H609">
        <f>0</f>
      </c>
      <c r="I609">
        <f>-33727345/10^6</f>
      </c>
      <c r="J609">
        <f>0</f>
      </c>
    </row>
    <row r="610">
      <c r="A610" t="s">
        <v>619</v>
      </c>
      <c r="B610" t="s">
        <v>11</v>
      </c>
      <c r="C610">
        <f>1219081875/10^4</f>
      </c>
      <c r="D610">
        <f>0</f>
      </c>
      <c r="E610">
        <f>7167229/10^4</f>
      </c>
      <c r="F610">
        <f>0</f>
      </c>
      <c r="G610">
        <f>257964722/10^6</f>
      </c>
      <c r="H610">
        <f>0</f>
      </c>
      <c r="I610">
        <f>-3313633/10^5</f>
      </c>
      <c r="J610">
        <f>0</f>
      </c>
    </row>
    <row r="611">
      <c r="A611" t="s">
        <v>620</v>
      </c>
      <c r="B611" t="s">
        <v>11</v>
      </c>
      <c r="C611">
        <f>122223210938/10^6</f>
      </c>
      <c r="D611">
        <f>0</f>
      </c>
      <c r="E611">
        <f>714701721/10^6</f>
      </c>
      <c r="F611">
        <f>0</f>
      </c>
      <c r="G611">
        <f>257998718/10^6</f>
      </c>
      <c r="H611">
        <f>0</f>
      </c>
      <c r="I611">
        <f>-32864399/10^6</f>
      </c>
      <c r="J611">
        <f>0</f>
      </c>
    </row>
    <row r="612">
      <c r="A612" t="s">
        <v>621</v>
      </c>
      <c r="B612" t="s">
        <v>11</v>
      </c>
      <c r="C612">
        <f>122415773438/10^6</f>
      </c>
      <c r="D612">
        <f>0</f>
      </c>
      <c r="E612">
        <f>713035339/10^6</f>
      </c>
      <c r="F612">
        <f>0</f>
      </c>
      <c r="G612">
        <f>257998993/10^6</f>
      </c>
      <c r="H612">
        <f>0</f>
      </c>
      <c r="I612">
        <f>-32665245/10^6</f>
      </c>
      <c r="J612">
        <f>0</f>
      </c>
    </row>
    <row r="613">
      <c r="A613" t="s">
        <v>622</v>
      </c>
      <c r="B613" t="s">
        <v>11</v>
      </c>
      <c r="C613">
        <f>122524039063/10^6</f>
      </c>
      <c r="D613">
        <f>0</f>
      </c>
      <c r="E613">
        <f>711829529/10^6</f>
      </c>
      <c r="F613">
        <f>0</f>
      </c>
      <c r="G613">
        <f>257991211/10^6</f>
      </c>
      <c r="H613">
        <f>0</f>
      </c>
      <c r="I613">
        <f>-32488121/10^6</f>
      </c>
      <c r="J613">
        <f>0</f>
      </c>
    </row>
    <row r="614">
      <c r="A614" t="s">
        <v>623</v>
      </c>
      <c r="B614" t="s">
        <v>11</v>
      </c>
      <c r="C614">
        <f>122572695313/10^6</f>
      </c>
      <c r="D614">
        <f>0</f>
      </c>
      <c r="E614">
        <f>711135803/10^6</f>
      </c>
      <c r="F614">
        <f>0</f>
      </c>
      <c r="G614">
        <f>257733765/10^6</f>
      </c>
      <c r="H614">
        <f>0</f>
      </c>
      <c r="I614">
        <f>-32561539/10^6</f>
      </c>
      <c r="J614">
        <f>0</f>
      </c>
    </row>
    <row r="615">
      <c r="A615" t="s">
        <v>624</v>
      </c>
      <c r="B615" t="s">
        <v>11</v>
      </c>
      <c r="C615">
        <f>122592460938/10^6</f>
      </c>
      <c r="D615">
        <f>0</f>
      </c>
      <c r="E615">
        <f>710861084/10^6</f>
      </c>
      <c r="F615">
        <f>0</f>
      </c>
      <c r="G615">
        <f>257414551/10^6</f>
      </c>
      <c r="H615">
        <f>0</f>
      </c>
      <c r="I615">
        <f>-32639538/10^6</f>
      </c>
      <c r="J615">
        <f>0</f>
      </c>
    </row>
    <row r="616">
      <c r="A616" t="s">
        <v>625</v>
      </c>
      <c r="B616" t="s">
        <v>11</v>
      </c>
      <c r="C616">
        <f>122597359375/10^6</f>
      </c>
      <c r="D616">
        <f>0</f>
      </c>
      <c r="E616">
        <f>710794861/10^6</f>
      </c>
      <c r="F616">
        <f>0</f>
      </c>
      <c r="G616">
        <f>257295197/10^6</f>
      </c>
      <c r="H616">
        <f>0</f>
      </c>
      <c r="I616">
        <f>-32738522/10^6</f>
      </c>
      <c r="J616">
        <f>0</f>
      </c>
    </row>
    <row r="617">
      <c r="A617" t="s">
        <v>626</v>
      </c>
      <c r="B617" t="s">
        <v>11</v>
      </c>
      <c r="C617">
        <f>1225816875/10^4</f>
      </c>
      <c r="D617">
        <f>0</f>
      </c>
      <c r="E617">
        <f>710659973/10^6</f>
      </c>
      <c r="F617">
        <f>0</f>
      </c>
      <c r="G617">
        <f>257239532/10^6</f>
      </c>
      <c r="H617">
        <f>0</f>
      </c>
      <c r="I617">
        <f>-32985596/10^6</f>
      </c>
      <c r="J617">
        <f>0</f>
      </c>
    </row>
    <row r="618">
      <c r="A618" t="s">
        <v>627</v>
      </c>
      <c r="B618" t="s">
        <v>11</v>
      </c>
      <c r="C618">
        <f>122552054688/10^6</f>
      </c>
      <c r="D618">
        <f>0</f>
      </c>
      <c r="E618">
        <f>710478882/10^6</f>
      </c>
      <c r="F618">
        <f>0</f>
      </c>
      <c r="G618">
        <f>25715036/10^5</f>
      </c>
      <c r="H618">
        <f>0</f>
      </c>
      <c r="I618">
        <f>-33163296/10^6</f>
      </c>
      <c r="J618">
        <f>0</f>
      </c>
    </row>
    <row r="619">
      <c r="A619" t="s">
        <v>628</v>
      </c>
      <c r="B619" t="s">
        <v>11</v>
      </c>
      <c r="C619">
        <f>122512148438/10^6</f>
      </c>
      <c r="D619">
        <f>0</f>
      </c>
      <c r="E619">
        <f>710282227/10^6</f>
      </c>
      <c r="F619">
        <f>0</f>
      </c>
      <c r="G619">
        <f>257010864/10^6</f>
      </c>
      <c r="H619">
        <f>0</f>
      </c>
      <c r="I619">
        <f>-33199654/10^6</f>
      </c>
      <c r="J619">
        <f>0</f>
      </c>
    </row>
    <row r="620">
      <c r="A620" t="s">
        <v>629</v>
      </c>
      <c r="B620" t="s">
        <v>11</v>
      </c>
      <c r="C620">
        <f>122446851563/10^6</f>
      </c>
      <c r="D620">
        <f>0</f>
      </c>
      <c r="E620">
        <f>710131897/10^6</f>
      </c>
      <c r="F620">
        <f>0</f>
      </c>
      <c r="G620">
        <f>256873474/10^6</f>
      </c>
      <c r="H620">
        <f>0</f>
      </c>
      <c r="I620">
        <f>-33213867/10^6</f>
      </c>
      <c r="J620">
        <f>0</f>
      </c>
    </row>
    <row r="621">
      <c r="A621" t="s">
        <v>630</v>
      </c>
      <c r="B621" t="s">
        <v>11</v>
      </c>
      <c r="C621">
        <f>122304320313/10^6</f>
      </c>
      <c r="D621">
        <f>0</f>
      </c>
      <c r="E621">
        <f>710526611/10^6</f>
      </c>
      <c r="F621">
        <f>0</f>
      </c>
      <c r="G621">
        <f>256744507/10^6</f>
      </c>
      <c r="H621">
        <f>0</f>
      </c>
      <c r="I621">
        <f>-3337923/10^5</f>
      </c>
      <c r="J621">
        <f>0</f>
      </c>
    </row>
    <row r="622">
      <c r="A622" t="s">
        <v>631</v>
      </c>
      <c r="B622" t="s">
        <v>11</v>
      </c>
      <c r="C622">
        <f>12204915625/10^5</f>
      </c>
      <c r="D622">
        <f>0</f>
      </c>
      <c r="E622">
        <f>711730103/10^6</f>
      </c>
      <c r="F622">
        <f>0</f>
      </c>
      <c r="G622">
        <f>256547638/10^6</f>
      </c>
      <c r="H622">
        <f>0</f>
      </c>
      <c r="I622">
        <f>-33651421/10^6</f>
      </c>
      <c r="J622">
        <f>0</f>
      </c>
    </row>
    <row r="623">
      <c r="A623" t="s">
        <v>632</v>
      </c>
      <c r="B623" t="s">
        <v>11</v>
      </c>
      <c r="C623">
        <f>12173465625/10^5</f>
      </c>
      <c r="D623">
        <f>0</f>
      </c>
      <c r="E623">
        <f>713299011/10^6</f>
      </c>
      <c r="F623">
        <f>0</f>
      </c>
      <c r="G623">
        <f>256395355/10^6</f>
      </c>
      <c r="H623">
        <f>0</f>
      </c>
      <c r="I623">
        <f>-3387804/10^5</f>
      </c>
      <c r="J623">
        <f>0</f>
      </c>
    </row>
    <row r="624">
      <c r="A624" t="s">
        <v>633</v>
      </c>
      <c r="B624" t="s">
        <v>11</v>
      </c>
      <c r="C624">
        <f>12141359375/10^5</f>
      </c>
      <c r="D624">
        <f>0</f>
      </c>
      <c r="E624">
        <f>714968079/10^6</f>
      </c>
      <c r="F624">
        <f>0</f>
      </c>
      <c r="G624">
        <f>256299011/10^6</f>
      </c>
      <c r="H624">
        <f>0</f>
      </c>
      <c r="I624">
        <f>-342616/10^4</f>
      </c>
      <c r="J624">
        <f>0</f>
      </c>
    </row>
    <row r="625">
      <c r="A625" t="s">
        <v>634</v>
      </c>
      <c r="B625" t="s">
        <v>11</v>
      </c>
      <c r="C625">
        <f>12107140625/10^5</f>
      </c>
      <c r="D625">
        <f>0</f>
      </c>
      <c r="E625">
        <f>716905762/10^6</f>
      </c>
      <c r="F625">
        <f>0</f>
      </c>
      <c r="G625">
        <f>256194641/10^6</f>
      </c>
      <c r="H625">
        <f>0</f>
      </c>
      <c r="I625">
        <f>-3468119/10^5</f>
      </c>
      <c r="J625">
        <f>0</f>
      </c>
    </row>
    <row r="626">
      <c r="A626" t="s">
        <v>635</v>
      </c>
      <c r="B626" t="s">
        <v>11</v>
      </c>
      <c r="C626">
        <f>1207000625/10^4</f>
      </c>
      <c r="D626">
        <f>0</f>
      </c>
      <c r="E626">
        <f>718924866/10^6</f>
      </c>
      <c r="F626">
        <f>0</f>
      </c>
      <c r="G626">
        <f>256097137/10^6</f>
      </c>
      <c r="H626">
        <f>0</f>
      </c>
      <c r="I626">
        <f>-3504707/10^5</f>
      </c>
      <c r="J626">
        <f>0</f>
      </c>
    </row>
    <row r="627">
      <c r="A627" t="s">
        <v>636</v>
      </c>
      <c r="B627" t="s">
        <v>11</v>
      </c>
      <c r="C627">
        <f>120312578125/10^6</f>
      </c>
      <c r="D627">
        <f>0</f>
      </c>
      <c r="E627">
        <f>720924561/10^6</f>
      </c>
      <c r="F627">
        <f>0</f>
      </c>
      <c r="G627">
        <f>255982468/10^6</f>
      </c>
      <c r="H627">
        <f>0</f>
      </c>
      <c r="I627">
        <f>-35539455/10^6</f>
      </c>
      <c r="J627">
        <f>0</f>
      </c>
    </row>
    <row r="628">
      <c r="A628" t="s">
        <v>637</v>
      </c>
      <c r="B628" t="s">
        <v>11</v>
      </c>
      <c r="C628">
        <f>119914921875/10^6</f>
      </c>
      <c r="D628">
        <f>0</f>
      </c>
      <c r="E628">
        <f>723159058/10^6</f>
      </c>
      <c r="F628">
        <f>0</f>
      </c>
      <c r="G628">
        <f>255878647/10^6</f>
      </c>
      <c r="H628">
        <f>0</f>
      </c>
      <c r="I628">
        <f>-35950592/10^6</f>
      </c>
      <c r="J628">
        <f>0</f>
      </c>
    </row>
    <row r="629">
      <c r="A629" t="s">
        <v>638</v>
      </c>
      <c r="B629" t="s">
        <v>11</v>
      </c>
      <c r="C629">
        <f>119520992188/10^6</f>
      </c>
      <c r="D629">
        <f>0</f>
      </c>
      <c r="E629">
        <f>725427917/10^6</f>
      </c>
      <c r="F629">
        <f>0</f>
      </c>
      <c r="G629">
        <f>255774338/10^6</f>
      </c>
      <c r="H629">
        <f>0</f>
      </c>
      <c r="I629">
        <f>-36420757/10^6</f>
      </c>
      <c r="J629">
        <f>0</f>
      </c>
    </row>
    <row r="630">
      <c r="A630" t="s">
        <v>639</v>
      </c>
      <c r="B630" t="s">
        <v>11</v>
      </c>
      <c r="C630">
        <f>119143234375/10^6</f>
      </c>
      <c r="D630">
        <f>0</f>
      </c>
      <c r="E630">
        <f>727548035/10^6</f>
      </c>
      <c r="F630">
        <f>0</f>
      </c>
      <c r="G630">
        <f>255677444/10^6</f>
      </c>
      <c r="H630">
        <f>0</f>
      </c>
      <c r="I630">
        <f>-36955269/10^6</f>
      </c>
      <c r="J630">
        <f>0</f>
      </c>
    </row>
    <row r="631">
      <c r="A631" t="s">
        <v>640</v>
      </c>
      <c r="B631" t="s">
        <v>11</v>
      </c>
      <c r="C631">
        <f>11875071875/10^5</f>
      </c>
      <c r="D631">
        <f>0</f>
      </c>
      <c r="E631">
        <f>729650269/10^6</f>
      </c>
      <c r="F631">
        <f>0</f>
      </c>
      <c r="G631">
        <f>25552713/10^5</f>
      </c>
      <c r="H631">
        <f>0</f>
      </c>
      <c r="I631">
        <f>-37329391/10^6</f>
      </c>
      <c r="J631">
        <f>0</f>
      </c>
    </row>
    <row r="632">
      <c r="A632" t="s">
        <v>641</v>
      </c>
      <c r="B632" t="s">
        <v>11</v>
      </c>
      <c r="C632">
        <f>118316179688/10^6</f>
      </c>
      <c r="D632">
        <f>0</f>
      </c>
      <c r="E632">
        <f>731798523/10^6</f>
      </c>
      <c r="F632">
        <f>0</f>
      </c>
      <c r="G632">
        <f>255284744/10^6</f>
      </c>
      <c r="H632">
        <f>0</f>
      </c>
      <c r="I632">
        <f>-37693027/10^6</f>
      </c>
      <c r="J632">
        <f>0</f>
      </c>
    </row>
    <row r="633">
      <c r="A633" t="s">
        <v>642</v>
      </c>
      <c r="B633" t="s">
        <v>11</v>
      </c>
      <c r="C633">
        <f>117863023438/10^6</f>
      </c>
      <c r="D633">
        <f>0</f>
      </c>
      <c r="E633">
        <f>734196228/10^6</f>
      </c>
      <c r="F633">
        <f>0</f>
      </c>
      <c r="G633">
        <f>255097382/10^6</f>
      </c>
      <c r="H633">
        <f>0</f>
      </c>
      <c r="I633">
        <f>-38052845/10^6</f>
      </c>
      <c r="J633">
        <f>0</f>
      </c>
    </row>
    <row r="634">
      <c r="A634" t="s">
        <v>643</v>
      </c>
      <c r="B634" t="s">
        <v>11</v>
      </c>
      <c r="C634">
        <f>117391242188/10^6</f>
      </c>
      <c r="D634">
        <f>0</f>
      </c>
      <c r="E634">
        <f>736939087/10^6</f>
      </c>
      <c r="F634">
        <f>0</f>
      </c>
      <c r="G634">
        <f>25487001/10^5</f>
      </c>
      <c r="H634">
        <f>0</f>
      </c>
      <c r="I634">
        <f>-38583076/10^6</f>
      </c>
      <c r="J634">
        <f>0</f>
      </c>
    </row>
    <row r="635">
      <c r="A635" t="s">
        <v>644</v>
      </c>
      <c r="B635" t="s">
        <v>11</v>
      </c>
      <c r="C635">
        <f>116888617188/10^6</f>
      </c>
      <c r="D635">
        <f>0</f>
      </c>
      <c r="E635">
        <f>739836975/10^6</f>
      </c>
      <c r="F635">
        <f>0</f>
      </c>
      <c r="G635">
        <f>254600433/10^6</f>
      </c>
      <c r="H635">
        <f>0</f>
      </c>
      <c r="I635">
        <f>-39147526/10^6</f>
      </c>
      <c r="J635">
        <f>0</f>
      </c>
    </row>
    <row r="636">
      <c r="A636" t="s">
        <v>645</v>
      </c>
      <c r="B636" t="s">
        <v>11</v>
      </c>
      <c r="C636">
        <f>116379/10^0</f>
      </c>
      <c r="D636">
        <f>0</f>
      </c>
      <c r="E636">
        <f>742768005/10^6</f>
      </c>
      <c r="F636">
        <f>0</f>
      </c>
      <c r="G636">
        <f>254443787/10^6</f>
      </c>
      <c r="H636">
        <f>0</f>
      </c>
      <c r="I636">
        <f>-39612736/10^6</f>
      </c>
      <c r="J636">
        <f>0</f>
      </c>
    </row>
    <row r="637">
      <c r="A637" t="s">
        <v>646</v>
      </c>
      <c r="B637" t="s">
        <v>11</v>
      </c>
      <c r="C637">
        <f>115879304688/10^6</f>
      </c>
      <c r="D637">
        <f>0</f>
      </c>
      <c r="E637">
        <f>745506836/10^6</f>
      </c>
      <c r="F637">
        <f>0</f>
      </c>
      <c r="G637">
        <f>254327011/10^6</f>
      </c>
      <c r="H637">
        <f>0</f>
      </c>
      <c r="I637">
        <f>-40287083/10^6</f>
      </c>
      <c r="J637">
        <f>0</f>
      </c>
    </row>
    <row r="638">
      <c r="A638" t="s">
        <v>647</v>
      </c>
      <c r="B638" t="s">
        <v>11</v>
      </c>
      <c r="C638">
        <f>115415804688/10^6</f>
      </c>
      <c r="D638">
        <f>0</f>
      </c>
      <c r="E638">
        <f>748667053/10^6</f>
      </c>
      <c r="F638">
        <f>0</f>
      </c>
      <c r="G638">
        <f>254175507/10^6</f>
      </c>
      <c r="H638">
        <f>0</f>
      </c>
      <c r="I638">
        <f>-40700432/10^6</f>
      </c>
      <c r="J638">
        <f>0</f>
      </c>
    </row>
    <row r="639">
      <c r="A639" t="s">
        <v>648</v>
      </c>
      <c r="B639" t="s">
        <v>11</v>
      </c>
      <c r="C639">
        <f>115036117188/10^6</f>
      </c>
      <c r="D639">
        <f>0</f>
      </c>
      <c r="E639">
        <f>75130127/10^5</f>
      </c>
      <c r="F639">
        <f>0</f>
      </c>
      <c r="G639">
        <f>253972473/10^6</f>
      </c>
      <c r="H639">
        <f>0</f>
      </c>
      <c r="I639">
        <f>-4111924/10^5</f>
      </c>
      <c r="J639">
        <f>0</f>
      </c>
    </row>
    <row r="640">
      <c r="A640" t="s">
        <v>649</v>
      </c>
      <c r="B640" t="s">
        <v>11</v>
      </c>
      <c r="C640">
        <f>114837789063/10^6</f>
      </c>
      <c r="D640">
        <f>0</f>
      </c>
      <c r="E640">
        <f>749004456/10^6</f>
      </c>
      <c r="F640">
        <f>0</f>
      </c>
      <c r="G640">
        <f>253842422/10^6</f>
      </c>
      <c r="H640">
        <f>0</f>
      </c>
      <c r="I640">
        <f>-42004139/10^6</f>
      </c>
      <c r="J640">
        <f>0</f>
      </c>
    </row>
    <row r="641">
      <c r="A641" t="s">
        <v>650</v>
      </c>
      <c r="B641" t="s">
        <v>11</v>
      </c>
      <c r="C641">
        <f>114890257813/10^6</f>
      </c>
      <c r="D641">
        <f>0</f>
      </c>
      <c r="E641">
        <f>744298889/10^6</f>
      </c>
      <c r="F641">
        <f>0</f>
      </c>
      <c r="G641">
        <f>253527008/10^6</f>
      </c>
      <c r="H641">
        <f>0</f>
      </c>
      <c r="I641">
        <f>-41336151/10^6</f>
      </c>
      <c r="J641">
        <f>0</f>
      </c>
    </row>
    <row r="642">
      <c r="A642" t="s">
        <v>651</v>
      </c>
      <c r="B642" t="s">
        <v>11</v>
      </c>
      <c r="C642">
        <f>115000289063/10^6</f>
      </c>
      <c r="D642">
        <f>0</f>
      </c>
      <c r="E642">
        <f>745143127/10^6</f>
      </c>
      <c r="F642">
        <f>0</f>
      </c>
      <c r="G642">
        <f>252657593/10^6</f>
      </c>
      <c r="H642">
        <f>0</f>
      </c>
      <c r="I642">
        <f>-38541489/10^6</f>
      </c>
      <c r="J642">
        <f>0</f>
      </c>
    </row>
    <row r="643">
      <c r="A643" t="s">
        <v>652</v>
      </c>
      <c r="B643" t="s">
        <v>11</v>
      </c>
      <c r="C643">
        <f>114928109375/10^6</f>
      </c>
      <c r="D643">
        <f>0</f>
      </c>
      <c r="E643">
        <f>749355896/10^6</f>
      </c>
      <c r="F643">
        <f>0</f>
      </c>
      <c r="G643">
        <f>252134918/10^6</f>
      </c>
      <c r="H643">
        <f>0</f>
      </c>
      <c r="I643">
        <f>-36957481/10^6</f>
      </c>
      <c r="J643">
        <f>0</f>
      </c>
    </row>
    <row r="644">
      <c r="A644" t="s">
        <v>653</v>
      </c>
      <c r="B644" t="s">
        <v>11</v>
      </c>
      <c r="C644">
        <f>11471190625/10^5</f>
      </c>
      <c r="D644">
        <f>0</f>
      </c>
      <c r="E644">
        <f>751241638/10^6</f>
      </c>
      <c r="F644">
        <f>0</f>
      </c>
      <c r="G644">
        <f>252698212/10^6</f>
      </c>
      <c r="H644">
        <f>0</f>
      </c>
      <c r="I644">
        <f>-37940907/10^6</f>
      </c>
      <c r="J644">
        <f>0</f>
      </c>
    </row>
    <row r="645">
      <c r="A645" t="s">
        <v>654</v>
      </c>
      <c r="B645" t="s">
        <v>11</v>
      </c>
      <c r="C645">
        <f>114472085938/10^6</f>
      </c>
      <c r="D645">
        <f>0</f>
      </c>
      <c r="E645">
        <f>752053467/10^6</f>
      </c>
      <c r="F645">
        <f>0</f>
      </c>
      <c r="G645">
        <f>253412689/10^6</f>
      </c>
      <c r="H645">
        <f>0</f>
      </c>
      <c r="I645">
        <f>-3909259/10^5</f>
      </c>
      <c r="J645">
        <f>0</f>
      </c>
    </row>
    <row r="646">
      <c r="A646" t="s">
        <v>655</v>
      </c>
      <c r="B646" t="s">
        <v>11</v>
      </c>
      <c r="C646">
        <f>114250195313/10^6</f>
      </c>
      <c r="D646">
        <f>0</f>
      </c>
      <c r="E646">
        <f>75324707/10^5</f>
      </c>
      <c r="F646">
        <f>0</f>
      </c>
      <c r="G646">
        <f>253484497/10^6</f>
      </c>
      <c r="H646">
        <f>0</f>
      </c>
      <c r="I646">
        <f>-39103985/10^6</f>
      </c>
      <c r="J646">
        <f>0</f>
      </c>
    </row>
    <row r="647">
      <c r="A647" t="s">
        <v>656</v>
      </c>
      <c r="B647" t="s">
        <v>11</v>
      </c>
      <c r="C647">
        <f>114072179688/10^6</f>
      </c>
      <c r="D647">
        <f>0</f>
      </c>
      <c r="E647">
        <f>754418396/10^6</f>
      </c>
      <c r="F647">
        <f>0</f>
      </c>
      <c r="G647">
        <f>253254654/10^6</f>
      </c>
      <c r="H647">
        <f>0</f>
      </c>
      <c r="I647">
        <f>-38813477/10^6</f>
      </c>
      <c r="J647">
        <f>0</f>
      </c>
    </row>
    <row r="648">
      <c r="A648" t="s">
        <v>657</v>
      </c>
      <c r="B648" t="s">
        <v>11</v>
      </c>
      <c r="C648">
        <f>113965335938/10^6</f>
      </c>
      <c r="D648">
        <f>0</f>
      </c>
      <c r="E648">
        <f>755693237/10^6</f>
      </c>
      <c r="F648">
        <f>0</f>
      </c>
      <c r="G648">
        <f>253197968/10^6</f>
      </c>
      <c r="H648">
        <f>0</f>
      </c>
      <c r="I648">
        <f>-38727211/10^6</f>
      </c>
      <c r="J648">
        <f>0</f>
      </c>
    </row>
    <row r="649">
      <c r="A649" t="s">
        <v>658</v>
      </c>
      <c r="B649" t="s">
        <v>11</v>
      </c>
      <c r="C649">
        <f>113929960938/10^6</f>
      </c>
      <c r="D649">
        <f>0</f>
      </c>
      <c r="E649">
        <f>756352661/10^6</f>
      </c>
      <c r="F649">
        <f>0</f>
      </c>
      <c r="G649">
        <f>253445923/10^6</f>
      </c>
      <c r="H649">
        <f>0</f>
      </c>
      <c r="I649">
        <f>-3851825/10^5</f>
      </c>
      <c r="J649">
        <f>0</f>
      </c>
    </row>
    <row r="650">
      <c r="A650" t="s">
        <v>659</v>
      </c>
      <c r="B650" t="s">
        <v>11</v>
      </c>
      <c r="C650">
        <f>113929484375/10^6</f>
      </c>
      <c r="D650">
        <f>0</f>
      </c>
      <c r="E650">
        <f>755932922/10^6</f>
      </c>
      <c r="F650">
        <f>0</f>
      </c>
      <c r="G650">
        <f>253745804/10^6</f>
      </c>
      <c r="H650">
        <f>0</f>
      </c>
      <c r="I650">
        <f>-3823444/10^5</f>
      </c>
      <c r="J650">
        <f>0</f>
      </c>
    </row>
    <row r="651">
      <c r="A651" t="s">
        <v>660</v>
      </c>
      <c r="B651" t="s">
        <v>11</v>
      </c>
      <c r="C651">
        <f>113953484375/10^6</f>
      </c>
      <c r="D651">
        <f>0</f>
      </c>
      <c r="E651">
        <f>755251587/10^6</f>
      </c>
      <c r="F651">
        <f>0</f>
      </c>
      <c r="G651">
        <f>253760727/10^6</f>
      </c>
      <c r="H651">
        <f>0</f>
      </c>
      <c r="I651">
        <f>-38142338/10^6</f>
      </c>
      <c r="J651">
        <f>0</f>
      </c>
    </row>
    <row r="652">
      <c r="A652" t="s">
        <v>661</v>
      </c>
      <c r="B652" t="s">
        <v>11</v>
      </c>
      <c r="C652">
        <f>114013875/10^3</f>
      </c>
      <c r="D652">
        <f>0</f>
      </c>
      <c r="E652">
        <f>755008789/10^6</f>
      </c>
      <c r="F652">
        <f>0</f>
      </c>
      <c r="G652">
        <f>253592285/10^6</f>
      </c>
      <c r="H652">
        <f>0</f>
      </c>
      <c r="I652">
        <f>-37982479/10^6</f>
      </c>
      <c r="J652">
        <f>0</f>
      </c>
    </row>
    <row r="653">
      <c r="A653" t="s">
        <v>662</v>
      </c>
      <c r="B653" t="s">
        <v>11</v>
      </c>
      <c r="C653">
        <f>11406796875/10^5</f>
      </c>
      <c r="D653">
        <f>0</f>
      </c>
      <c r="E653">
        <f>755194214/10^6</f>
      </c>
      <c r="F653">
        <f>0</f>
      </c>
      <c r="G653">
        <f>253528915/10^6</f>
      </c>
      <c r="H653">
        <f>0</f>
      </c>
      <c r="I653">
        <f>-3789193/10^5</f>
      </c>
      <c r="J653">
        <f>0</f>
      </c>
    </row>
    <row r="654">
      <c r="A654" t="s">
        <v>663</v>
      </c>
      <c r="B654" t="s">
        <v>11</v>
      </c>
      <c r="C654">
        <f>114076257813/10^6</f>
      </c>
      <c r="D654">
        <f>0</f>
      </c>
      <c r="E654">
        <f>755454773/10^6</f>
      </c>
      <c r="F654">
        <f>0</f>
      </c>
      <c r="G654">
        <f>253571274/10^6</f>
      </c>
      <c r="H654">
        <f>0</f>
      </c>
      <c r="I654">
        <f>-38371429/10^6</f>
      </c>
      <c r="J654">
        <f>0</f>
      </c>
    </row>
    <row r="655">
      <c r="A655" t="s">
        <v>664</v>
      </c>
      <c r="B655" t="s">
        <v>11</v>
      </c>
      <c r="C655">
        <f>1140746875/10^4</f>
      </c>
      <c r="D655">
        <f>0</f>
      </c>
      <c r="E655">
        <f>755572388/10^6</f>
      </c>
      <c r="F655">
        <f>0</f>
      </c>
      <c r="G655">
        <f>253592438/10^6</f>
      </c>
      <c r="H655">
        <f>0</f>
      </c>
      <c r="I655">
        <f>-38969597/10^6</f>
      </c>
      <c r="J655">
        <f>0</f>
      </c>
    </row>
    <row r="656">
      <c r="A656" t="s">
        <v>665</v>
      </c>
      <c r="B656" t="s">
        <v>11</v>
      </c>
      <c r="C656">
        <f>114105164063/10^6</f>
      </c>
      <c r="D656">
        <f>0</f>
      </c>
      <c r="E656">
        <f>755701965/10^6</f>
      </c>
      <c r="F656">
        <f>0</f>
      </c>
      <c r="G656">
        <f>253646912/10^6</f>
      </c>
      <c r="H656">
        <f>0</f>
      </c>
      <c r="I656">
        <f>-39135696/10^6</f>
      </c>
      <c r="J656">
        <f>0</f>
      </c>
    </row>
    <row r="657">
      <c r="A657" t="s">
        <v>666</v>
      </c>
      <c r="B657" t="s">
        <v>11</v>
      </c>
      <c r="C657">
        <f>114166523438/10^6</f>
      </c>
      <c r="D657">
        <f>0</f>
      </c>
      <c r="E657">
        <f>755810669/10^6</f>
      </c>
      <c r="F657">
        <f>0</f>
      </c>
      <c r="G657">
        <f>253767136/10^6</f>
      </c>
      <c r="H657">
        <f>0</f>
      </c>
      <c r="I657">
        <f>-3918222/10^5</f>
      </c>
      <c r="J657">
        <f>0</f>
      </c>
    </row>
    <row r="658">
      <c r="A658" t="s">
        <v>667</v>
      </c>
      <c r="B658" t="s">
        <v>11</v>
      </c>
      <c r="C658">
        <f>114256023438/10^6</f>
      </c>
      <c r="D658">
        <f>0</f>
      </c>
      <c r="E658">
        <f>755628906/10^6</f>
      </c>
      <c r="F658">
        <f>0</f>
      </c>
      <c r="G658">
        <f>253861099/10^6</f>
      </c>
      <c r="H658">
        <f>0</f>
      </c>
      <c r="I658">
        <f>-39266434/10^6</f>
      </c>
      <c r="J658">
        <f>0</f>
      </c>
    </row>
    <row r="659">
      <c r="A659" t="s">
        <v>668</v>
      </c>
      <c r="B659" t="s">
        <v>11</v>
      </c>
      <c r="C659">
        <f>114380875/10^3</f>
      </c>
      <c r="D659">
        <f>0</f>
      </c>
      <c r="E659">
        <f>755101624/10^6</f>
      </c>
      <c r="F659">
        <f>0</f>
      </c>
      <c r="G659">
        <f>25394986/10^5</f>
      </c>
      <c r="H659">
        <f>0</f>
      </c>
      <c r="I659">
        <f>-39315243/10^6</f>
      </c>
      <c r="J659">
        <f>0</f>
      </c>
    </row>
    <row r="660">
      <c r="A660" t="s">
        <v>669</v>
      </c>
      <c r="B660" t="s">
        <v>11</v>
      </c>
      <c r="C660">
        <f>114556882813/10^6</f>
      </c>
      <c r="D660">
        <f>0</f>
      </c>
      <c r="E660">
        <f>754228821/10^6</f>
      </c>
      <c r="F660">
        <f>0</f>
      </c>
      <c r="G660">
        <f>254035553/10^6</f>
      </c>
      <c r="H660">
        <f>0</f>
      </c>
      <c r="I660">
        <f>-39392296/10^6</f>
      </c>
      <c r="J660">
        <f>0</f>
      </c>
    </row>
    <row r="661">
      <c r="A661" t="s">
        <v>670</v>
      </c>
      <c r="B661" t="s">
        <v>11</v>
      </c>
      <c r="C661">
        <f>114788171875/10^6</f>
      </c>
      <c r="D661">
        <f>0</f>
      </c>
      <c r="E661">
        <f>753041687/10^6</f>
      </c>
      <c r="F661">
        <f>0</f>
      </c>
      <c r="G661">
        <f>254164581/10^6</f>
      </c>
      <c r="H661">
        <f>0</f>
      </c>
      <c r="I661">
        <f>-39289867/10^6</f>
      </c>
      <c r="J661">
        <f>0</f>
      </c>
    </row>
    <row r="662">
      <c r="A662" t="s">
        <v>671</v>
      </c>
      <c r="B662" t="s">
        <v>11</v>
      </c>
      <c r="C662">
        <f>1150425625/10^4</f>
      </c>
      <c r="D662">
        <f>0</f>
      </c>
      <c r="E662">
        <f>751642883/10^6</f>
      </c>
      <c r="F662">
        <f>0</f>
      </c>
      <c r="G662">
        <f>25436911/10^5</f>
      </c>
      <c r="H662">
        <f>0</f>
      </c>
      <c r="I662">
        <f>-39007027/10^6</f>
      </c>
      <c r="J662">
        <f>0</f>
      </c>
    </row>
    <row r="663">
      <c r="A663" t="s">
        <v>672</v>
      </c>
      <c r="B663" t="s">
        <v>11</v>
      </c>
      <c r="C663">
        <f>115309195313/10^6</f>
      </c>
      <c r="D663">
        <f>0</f>
      </c>
      <c r="E663">
        <f>750069153/10^6</f>
      </c>
      <c r="F663">
        <f>0</f>
      </c>
      <c r="G663">
        <f>25454216/10^5</f>
      </c>
      <c r="H663">
        <f>0</f>
      </c>
      <c r="I663">
        <f>-38807503/10^6</f>
      </c>
      <c r="J663">
        <f>0</f>
      </c>
    </row>
    <row r="664">
      <c r="A664" t="s">
        <v>673</v>
      </c>
      <c r="B664" t="s">
        <v>11</v>
      </c>
      <c r="C664">
        <f>115619070313/10^6</f>
      </c>
      <c r="D664">
        <f>0</f>
      </c>
      <c r="E664">
        <f>748488953/10^6</f>
      </c>
      <c r="F664">
        <f>0</f>
      </c>
      <c r="G664">
        <f>254720886/10^6</f>
      </c>
      <c r="H664">
        <f>0</f>
      </c>
      <c r="I664">
        <f>-38573704/10^6</f>
      </c>
      <c r="J664">
        <f>0</f>
      </c>
    </row>
    <row r="665">
      <c r="A665" t="s">
        <v>674</v>
      </c>
      <c r="B665" t="s">
        <v>11</v>
      </c>
      <c r="C665">
        <f>115993304688/10^6</f>
      </c>
      <c r="D665">
        <f>0</f>
      </c>
      <c r="E665">
        <f>747051575/10^6</f>
      </c>
      <c r="F665">
        <f>0</f>
      </c>
      <c r="G665">
        <f>254887238/10^6</f>
      </c>
      <c r="H665">
        <f>0</f>
      </c>
      <c r="I665">
        <f>-38302418/10^6</f>
      </c>
      <c r="J665">
        <f>0</f>
      </c>
    </row>
    <row r="666">
      <c r="A666" t="s">
        <v>675</v>
      </c>
      <c r="B666" t="s">
        <v>11</v>
      </c>
      <c r="C666">
        <f>11644540625/10^5</f>
      </c>
      <c r="D666">
        <f>0</f>
      </c>
      <c r="E666">
        <f>745403015/10^6</f>
      </c>
      <c r="F666">
        <f>0</f>
      </c>
      <c r="G666">
        <f>255160553/10^6</f>
      </c>
      <c r="H666">
        <f>0</f>
      </c>
      <c r="I666">
        <f>-38059696/10^6</f>
      </c>
      <c r="J666">
        <f>0</f>
      </c>
    </row>
    <row r="667">
      <c r="A667" t="s">
        <v>676</v>
      </c>
      <c r="B667" t="s">
        <v>11</v>
      </c>
      <c r="C667">
        <f>116994125/10^3</f>
      </c>
      <c r="D667">
        <f>0</f>
      </c>
      <c r="E667">
        <f>743122742/10^6</f>
      </c>
      <c r="F667">
        <f>0</f>
      </c>
      <c r="G667">
        <f>255605331/10^6</f>
      </c>
      <c r="H667">
        <f>0</f>
      </c>
      <c r="I667">
        <f>-37825863/10^6</f>
      </c>
      <c r="J667">
        <f>0</f>
      </c>
    </row>
    <row r="668">
      <c r="A668" t="s">
        <v>677</v>
      </c>
      <c r="B668" t="s">
        <v>11</v>
      </c>
      <c r="C668">
        <f>117629890625/10^6</f>
      </c>
      <c r="D668">
        <f>0</f>
      </c>
      <c r="E668">
        <f>74026886/10^5</f>
      </c>
      <c r="F668">
        <f>0</f>
      </c>
      <c r="G668">
        <f>255957886/10^6</f>
      </c>
      <c r="H668">
        <f>0</f>
      </c>
      <c r="I668">
        <f>-37560707/10^6</f>
      </c>
      <c r="J668">
        <f>0</f>
      </c>
    </row>
    <row r="669">
      <c r="A669" t="s">
        <v>678</v>
      </c>
      <c r="B669" t="s">
        <v>11</v>
      </c>
      <c r="C669">
        <f>118322773438/10^6</f>
      </c>
      <c r="D669">
        <f>0</f>
      </c>
      <c r="E669">
        <f>736888794/10^6</f>
      </c>
      <c r="F669">
        <f>0</f>
      </c>
      <c r="G669">
        <f>256392303/10^6</f>
      </c>
      <c r="H669">
        <f>0</f>
      </c>
      <c r="I669">
        <f>-36979263/10^6</f>
      </c>
      <c r="J669">
        <f>0</f>
      </c>
    </row>
    <row r="670">
      <c r="A670" t="s">
        <v>679</v>
      </c>
      <c r="B670" t="s">
        <v>11</v>
      </c>
      <c r="C670">
        <f>119078304688/10^6</f>
      </c>
      <c r="D670">
        <f>0</f>
      </c>
      <c r="E670">
        <f>732870056/10^6</f>
      </c>
      <c r="F670">
        <f>0</f>
      </c>
      <c r="G670">
        <f>256875427/10^6</f>
      </c>
      <c r="H670">
        <f>0</f>
      </c>
      <c r="I670">
        <f>-36380424/10^6</f>
      </c>
      <c r="J670">
        <f>0</f>
      </c>
    </row>
    <row r="671">
      <c r="A671" t="s">
        <v>680</v>
      </c>
      <c r="B671" t="s">
        <v>11</v>
      </c>
      <c r="C671">
        <f>11989384375/10^5</f>
      </c>
      <c r="D671">
        <f>0</f>
      </c>
      <c r="E671">
        <f>728527893/10^6</f>
      </c>
      <c r="F671">
        <f>0</f>
      </c>
      <c r="G671">
        <f>25723111/10^5</f>
      </c>
      <c r="H671">
        <f>0</f>
      </c>
      <c r="I671">
        <f>-35779621/10^6</f>
      </c>
      <c r="J671">
        <f>0</f>
      </c>
    </row>
    <row r="672">
      <c r="A672" t="s">
        <v>681</v>
      </c>
      <c r="B672" t="s">
        <v>11</v>
      </c>
      <c r="C672">
        <f>120708234375/10^6</f>
      </c>
      <c r="D672">
        <f>0</f>
      </c>
      <c r="E672">
        <f>724321045/10^6</f>
      </c>
      <c r="F672">
        <f>0</f>
      </c>
      <c r="G672">
        <f>257718109/10^6</f>
      </c>
      <c r="H672">
        <f>0</f>
      </c>
      <c r="I672">
        <f>-34850624/10^6</f>
      </c>
      <c r="J672">
        <f>0</f>
      </c>
    </row>
    <row r="673">
      <c r="A673" t="s">
        <v>682</v>
      </c>
      <c r="B673" t="s">
        <v>11</v>
      </c>
      <c r="C673">
        <f>121472546875/10^6</f>
      </c>
      <c r="D673">
        <f>0</f>
      </c>
      <c r="E673">
        <f>720269043/10^6</f>
      </c>
      <c r="F673">
        <f>0</f>
      </c>
      <c r="G673">
        <f>258072357/10^6</f>
      </c>
      <c r="H673">
        <f>0</f>
      </c>
      <c r="I673">
        <f>-3413802/10^5</f>
      </c>
      <c r="J673">
        <f>0</f>
      </c>
    </row>
    <row r="674">
      <c r="A674" t="s">
        <v>683</v>
      </c>
      <c r="B674" t="s">
        <v>11</v>
      </c>
      <c r="C674">
        <f>122156140625/10^6</f>
      </c>
      <c r="D674">
        <f>0</f>
      </c>
      <c r="E674">
        <f>716257019/10^6</f>
      </c>
      <c r="F674">
        <f>0</f>
      </c>
      <c r="G674">
        <f>258227081/10^6</f>
      </c>
      <c r="H674">
        <f>0</f>
      </c>
      <c r="I674">
        <f>-33436626/10^6</f>
      </c>
      <c r="J674">
        <f>0</f>
      </c>
    </row>
    <row r="675">
      <c r="A675" t="s">
        <v>684</v>
      </c>
      <c r="B675" t="s">
        <v>11</v>
      </c>
      <c r="C675">
        <f>122678117188/10^6</f>
      </c>
      <c r="D675">
        <f>0</f>
      </c>
      <c r="E675">
        <f>71266864/10^5</f>
      </c>
      <c r="F675">
        <f>0</f>
      </c>
      <c r="G675">
        <f>25847052/10^5</f>
      </c>
      <c r="H675">
        <f>0</f>
      </c>
      <c r="I675">
        <f>-32592602/10^6</f>
      </c>
      <c r="J675">
        <f>0</f>
      </c>
    </row>
    <row r="676">
      <c r="A676" t="s">
        <v>685</v>
      </c>
      <c r="B676" t="s">
        <v>11</v>
      </c>
      <c r="C676">
        <f>122946640625/10^6</f>
      </c>
      <c r="D676">
        <f>0</f>
      </c>
      <c r="E676">
        <f>710284729/10^6</f>
      </c>
      <c r="F676">
        <f>0</f>
      </c>
      <c r="G676">
        <f>258398041/10^6</f>
      </c>
      <c r="H676">
        <f>0</f>
      </c>
      <c r="I676">
        <f>-32236076/10^6</f>
      </c>
      <c r="J676">
        <f>0</f>
      </c>
    </row>
    <row r="677">
      <c r="A677" t="s">
        <v>686</v>
      </c>
      <c r="B677" t="s">
        <v>11</v>
      </c>
      <c r="C677">
        <f>123007828125/10^6</f>
      </c>
      <c r="D677">
        <f>0</f>
      </c>
      <c r="E677">
        <f>709226746/10^6</f>
      </c>
      <c r="F677">
        <f>0</f>
      </c>
      <c r="G677">
        <f>25796109/10^5</f>
      </c>
      <c r="H677">
        <f>0</f>
      </c>
      <c r="I677">
        <f>-31999588/10^6</f>
      </c>
      <c r="J677">
        <f>0</f>
      </c>
    </row>
    <row r="678">
      <c r="A678" t="s">
        <v>687</v>
      </c>
      <c r="B678" t="s">
        <v>11</v>
      </c>
      <c r="C678">
        <f>123028773438/10^6</f>
      </c>
      <c r="D678">
        <f>0</f>
      </c>
      <c r="E678">
        <f>708710815/10^6</f>
      </c>
      <c r="F678">
        <f>0</f>
      </c>
      <c r="G678">
        <f>257705139/10^6</f>
      </c>
      <c r="H678">
        <f>0</f>
      </c>
      <c r="I678">
        <f>-31775152/10^6</f>
      </c>
      <c r="J678">
        <f>0</f>
      </c>
    </row>
    <row r="679">
      <c r="A679" t="s">
        <v>688</v>
      </c>
      <c r="B679" t="s">
        <v>11</v>
      </c>
      <c r="C679">
        <f>123075335938/10^6</f>
      </c>
      <c r="D679">
        <f>0</f>
      </c>
      <c r="E679">
        <f>708264526/10^6</f>
      </c>
      <c r="F679">
        <f>0</f>
      </c>
      <c r="G679">
        <f>257620514/10^6</f>
      </c>
      <c r="H679">
        <f>0</f>
      </c>
      <c r="I679">
        <f>-31988194/10^6</f>
      </c>
      <c r="J679">
        <f>0</f>
      </c>
    </row>
    <row r="680">
      <c r="A680" t="s">
        <v>689</v>
      </c>
      <c r="B680" t="s">
        <v>11</v>
      </c>
      <c r="C680">
        <f>123101742188/10^6</f>
      </c>
      <c r="D680">
        <f>0</f>
      </c>
      <c r="E680">
        <f>707952087/10^6</f>
      </c>
      <c r="F680">
        <f>0</f>
      </c>
      <c r="G680">
        <f>257505157/10^6</f>
      </c>
      <c r="H680">
        <f>0</f>
      </c>
      <c r="I680">
        <f>-32271309/10^6</f>
      </c>
      <c r="J680">
        <f>0</f>
      </c>
    </row>
    <row r="681">
      <c r="A681" t="s">
        <v>690</v>
      </c>
      <c r="B681" t="s">
        <v>11</v>
      </c>
      <c r="C681">
        <f>123107476563/10^6</f>
      </c>
      <c r="D681">
        <f>0</f>
      </c>
      <c r="E681">
        <f>707621765/10^6</f>
      </c>
      <c r="F681">
        <f>0</f>
      </c>
      <c r="G681">
        <f>25739209/10^5</f>
      </c>
      <c r="H681">
        <f>0</f>
      </c>
      <c r="I681">
        <f>-32367306/10^6</f>
      </c>
      <c r="J681">
        <f>0</f>
      </c>
    </row>
    <row r="682">
      <c r="A682" t="s">
        <v>691</v>
      </c>
      <c r="B682" t="s">
        <v>11</v>
      </c>
      <c r="C682">
        <f>123104085938/10^6</f>
      </c>
      <c r="D682">
        <f>0</f>
      </c>
      <c r="E682">
        <f>707248718/10^6</f>
      </c>
      <c r="F682">
        <f>0</f>
      </c>
      <c r="G682">
        <f>257295563/10^6</f>
      </c>
      <c r="H682">
        <f>0</f>
      </c>
      <c r="I682">
        <f>-32447369/10^6</f>
      </c>
      <c r="J682">
        <f>0</f>
      </c>
    </row>
    <row r="683">
      <c r="A683" t="s">
        <v>692</v>
      </c>
      <c r="B683" t="s">
        <v>11</v>
      </c>
      <c r="C683">
        <f>123057523438/10^6</f>
      </c>
      <c r="D683">
        <f>0</f>
      </c>
      <c r="E683">
        <f>707127319/10^6</f>
      </c>
      <c r="F683">
        <f>0</f>
      </c>
      <c r="G683">
        <f>257193176/10^6</f>
      </c>
      <c r="H683">
        <f>0</f>
      </c>
      <c r="I683">
        <f>-3255547/10^5</f>
      </c>
      <c r="J683">
        <f>0</f>
      </c>
    </row>
    <row r="684">
      <c r="A684" t="s">
        <v>693</v>
      </c>
      <c r="B684" t="s">
        <v>11</v>
      </c>
      <c r="C684">
        <f>122926742188/10^6</f>
      </c>
      <c r="D684">
        <f>0</f>
      </c>
      <c r="E684">
        <f>707264832/10^6</f>
      </c>
      <c r="F684">
        <f>0</f>
      </c>
      <c r="G684">
        <f>256991699/10^6</f>
      </c>
      <c r="H684">
        <f>0</f>
      </c>
      <c r="I684">
        <f>-32692799/10^6</f>
      </c>
      <c r="J684">
        <f>0</f>
      </c>
    </row>
    <row r="685">
      <c r="A685" t="s">
        <v>694</v>
      </c>
      <c r="B685" t="s">
        <v>11</v>
      </c>
      <c r="C685">
        <f>122690304688/10^6</f>
      </c>
      <c r="D685">
        <f>0</f>
      </c>
      <c r="E685">
        <f>70781311/10^5</f>
      </c>
      <c r="F685">
        <f>0</f>
      </c>
      <c r="G685">
        <f>256779022/10^6</f>
      </c>
      <c r="H685">
        <f>0</f>
      </c>
      <c r="I685">
        <f>-32807522/10^6</f>
      </c>
      <c r="J685">
        <f>0</f>
      </c>
    </row>
    <row r="686">
      <c r="A686" t="s">
        <v>695</v>
      </c>
      <c r="B686" t="s">
        <v>11</v>
      </c>
      <c r="C686">
        <f>122366046875/10^6</f>
      </c>
      <c r="D686">
        <f>0</f>
      </c>
      <c r="E686">
        <f>709182739/10^6</f>
      </c>
      <c r="F686">
        <f>0</f>
      </c>
      <c r="G686">
        <f>256595734/10^6</f>
      </c>
      <c r="H686">
        <f>0</f>
      </c>
      <c r="I686">
        <f>-33047779/10^6</f>
      </c>
      <c r="J686">
        <f>0</f>
      </c>
    </row>
    <row r="687">
      <c r="A687" t="s">
        <v>696</v>
      </c>
      <c r="B687" t="s">
        <v>11</v>
      </c>
      <c r="C687">
        <f>121994625/10^3</f>
      </c>
      <c r="D687">
        <f>0</f>
      </c>
      <c r="E687">
        <f>711241821/10^6</f>
      </c>
      <c r="F687">
        <f>0</f>
      </c>
      <c r="G687">
        <f>256325958/10^6</f>
      </c>
      <c r="H687">
        <f>0</f>
      </c>
      <c r="I687">
        <f>-33420017/10^6</f>
      </c>
      <c r="J687">
        <f>0</f>
      </c>
    </row>
    <row r="688">
      <c r="A688" t="s">
        <v>697</v>
      </c>
      <c r="B688" t="s">
        <v>11</v>
      </c>
      <c r="C688">
        <f>121581070313/10^6</f>
      </c>
      <c r="D688">
        <f>0</f>
      </c>
      <c r="E688">
        <f>713576111/10^6</f>
      </c>
      <c r="F688">
        <f>0</f>
      </c>
      <c r="G688">
        <f>256105713/10^6</f>
      </c>
      <c r="H688">
        <f>0</f>
      </c>
      <c r="I688">
        <f>-33745766/10^6</f>
      </c>
      <c r="J688">
        <f>0</f>
      </c>
    </row>
    <row r="689">
      <c r="A689" t="s">
        <v>698</v>
      </c>
      <c r="B689" t="s">
        <v>11</v>
      </c>
      <c r="C689">
        <f>121119515625/10^6</f>
      </c>
      <c r="D689">
        <f>0</f>
      </c>
      <c r="E689">
        <f>715838867/10^6</f>
      </c>
      <c r="F689">
        <f>0</f>
      </c>
      <c r="G689">
        <f>25595845/10^5</f>
      </c>
      <c r="H689">
        <f>0</f>
      </c>
      <c r="I689">
        <f>-34291843/10^6</f>
      </c>
      <c r="J689">
        <f>0</f>
      </c>
    </row>
    <row r="690">
      <c r="A690" t="s">
        <v>699</v>
      </c>
      <c r="B690" t="s">
        <v>11</v>
      </c>
      <c r="C690">
        <f>120623171875/10^6</f>
      </c>
      <c r="D690">
        <f>0</f>
      </c>
      <c r="E690">
        <f>718054199/10^6</f>
      </c>
      <c r="F690">
        <f>0</f>
      </c>
      <c r="G690">
        <f>255825333/10^6</f>
      </c>
      <c r="H690">
        <f>0</f>
      </c>
      <c r="I690">
        <f>-34873585/10^6</f>
      </c>
      <c r="J690">
        <f>0</f>
      </c>
    </row>
    <row r="691">
      <c r="A691" t="s">
        <v>700</v>
      </c>
      <c r="B691" t="s">
        <v>11</v>
      </c>
      <c r="C691">
        <f>12010625/10^2</f>
      </c>
      <c r="D691">
        <f>0</f>
      </c>
      <c r="E691">
        <f>72077124/10^5</f>
      </c>
      <c r="F691">
        <f>0</f>
      </c>
      <c r="G691">
        <f>25561998/10^5</f>
      </c>
      <c r="H691">
        <f>0</f>
      </c>
      <c r="I691">
        <f>-35416405/10^6</f>
      </c>
      <c r="J691">
        <f>0</f>
      </c>
    </row>
    <row r="692">
      <c r="A692" t="s">
        <v>701</v>
      </c>
      <c r="B692" t="s">
        <v>11</v>
      </c>
      <c r="C692">
        <f>119593960938/10^6</f>
      </c>
      <c r="D692">
        <f>0</f>
      </c>
      <c r="E692">
        <f>723884888/10^6</f>
      </c>
      <c r="F692">
        <f>0</f>
      </c>
      <c r="G692">
        <f>255245697/10^6</f>
      </c>
      <c r="H692">
        <f>0</f>
      </c>
      <c r="I692">
        <f>-36205872/10^6</f>
      </c>
      <c r="J692">
        <f>0</f>
      </c>
    </row>
    <row r="693">
      <c r="A693" t="s">
        <v>702</v>
      </c>
      <c r="B693" t="s">
        <v>11</v>
      </c>
      <c r="C693">
        <f>1190680625/10^4</f>
      </c>
      <c r="D693">
        <f>0</f>
      </c>
      <c r="E693">
        <f>726891357/10^6</f>
      </c>
      <c r="F693">
        <f>0</f>
      </c>
      <c r="G693">
        <f>254978836/10^6</f>
      </c>
      <c r="H693">
        <f>0</f>
      </c>
      <c r="I693">
        <f>-36850155/10^6</f>
      </c>
      <c r="J693">
        <f>0</f>
      </c>
    </row>
    <row r="694">
      <c r="A694" t="s">
        <v>703</v>
      </c>
      <c r="B694" t="s">
        <v>11</v>
      </c>
      <c r="C694">
        <f>1184833125/10^4</f>
      </c>
      <c r="D694">
        <f>0</f>
      </c>
      <c r="E694">
        <f>72997522/10^5</f>
      </c>
      <c r="F694">
        <f>0</f>
      </c>
      <c r="G694">
        <f>254902252/10^6</f>
      </c>
      <c r="H694">
        <f>0</f>
      </c>
      <c r="I694">
        <f>-37436695/10^6</f>
      </c>
      <c r="J694">
        <f>0</f>
      </c>
    </row>
    <row r="695">
      <c r="A695" t="s">
        <v>704</v>
      </c>
      <c r="B695" t="s">
        <v>11</v>
      </c>
      <c r="C695">
        <f>117885726563/10^6</f>
      </c>
      <c r="D695">
        <f>0</f>
      </c>
      <c r="E695">
        <f>733295776/10^6</f>
      </c>
      <c r="F695">
        <f>0</f>
      </c>
      <c r="G695">
        <f>254832321/10^6</f>
      </c>
      <c r="H695">
        <f>0</f>
      </c>
      <c r="I695">
        <f>-38055767/10^6</f>
      </c>
      <c r="J695">
        <f>0</f>
      </c>
    </row>
    <row r="696">
      <c r="A696" t="s">
        <v>705</v>
      </c>
      <c r="B696" t="s">
        <v>11</v>
      </c>
      <c r="C696">
        <f>11734215625/10^5</f>
      </c>
      <c r="D696">
        <f>0</f>
      </c>
      <c r="E696">
        <f>736644531/10^6</f>
      </c>
      <c r="F696">
        <f>0</f>
      </c>
      <c r="G696">
        <f>254684326/10^6</f>
      </c>
      <c r="H696">
        <f>0</f>
      </c>
      <c r="I696">
        <f>-38659042/10^6</f>
      </c>
      <c r="J696">
        <f>0</f>
      </c>
    </row>
    <row r="697">
      <c r="A697" t="s">
        <v>706</v>
      </c>
      <c r="B697" t="s">
        <v>11</v>
      </c>
      <c r="C697">
        <f>116810375/10^3</f>
      </c>
      <c r="D697">
        <f>0</f>
      </c>
      <c r="E697">
        <f>7398797/10^4</f>
      </c>
      <c r="F697">
        <f>0</f>
      </c>
      <c r="G697">
        <f>254463837/10^6</f>
      </c>
      <c r="H697">
        <f>0</f>
      </c>
      <c r="I697">
        <f>-39514954/10^6</f>
      </c>
      <c r="J697">
        <f>0</f>
      </c>
    </row>
    <row r="698">
      <c r="A698" t="s">
        <v>707</v>
      </c>
      <c r="B698" t="s">
        <v>11</v>
      </c>
      <c r="C698">
        <f>116250515625/10^6</f>
      </c>
      <c r="D698">
        <f>0</f>
      </c>
      <c r="E698">
        <f>743149658/10^6</f>
      </c>
      <c r="F698">
        <f>0</f>
      </c>
      <c r="G698">
        <f>254277634/10^6</f>
      </c>
      <c r="H698">
        <f>0</f>
      </c>
      <c r="I698">
        <f>-4013184/10^5</f>
      </c>
      <c r="J698">
        <f>0</f>
      </c>
    </row>
    <row r="699">
      <c r="A699" t="s">
        <v>708</v>
      </c>
      <c r="B699" t="s">
        <v>11</v>
      </c>
      <c r="C699">
        <f>115730960938/10^6</f>
      </c>
      <c r="D699">
        <f>0</f>
      </c>
      <c r="E699">
        <f>74666217/10^5</f>
      </c>
      <c r="F699">
        <f>0</f>
      </c>
      <c r="G699">
        <f>2541035/10^4</f>
      </c>
      <c r="H699">
        <f>0</f>
      </c>
      <c r="I699">
        <f>-40747993/10^6</f>
      </c>
      <c r="J699">
        <f>0</f>
      </c>
    </row>
    <row r="700">
      <c r="A700" t="s">
        <v>709</v>
      </c>
      <c r="B700" t="s">
        <v>11</v>
      </c>
      <c r="C700">
        <f>11532115625/10^5</f>
      </c>
      <c r="D700">
        <f>0</f>
      </c>
      <c r="E700">
        <f>748819824/10^6</f>
      </c>
      <c r="F700">
        <f>0</f>
      </c>
      <c r="G700">
        <f>253970993/10^6</f>
      </c>
      <c r="H700">
        <f>0</f>
      </c>
      <c r="I700">
        <f>-41653423/10^6</f>
      </c>
      <c r="J700">
        <f>0</f>
      </c>
    </row>
    <row r="701">
      <c r="A701" t="s">
        <v>710</v>
      </c>
      <c r="B701" t="s">
        <v>11</v>
      </c>
      <c r="C701">
        <f>11503365625/10^5</f>
      </c>
      <c r="D701">
        <f>0</f>
      </c>
      <c r="E701">
        <f>748169128/10^6</f>
      </c>
      <c r="F701">
        <f>0</f>
      </c>
      <c r="G701">
        <f>253703613/10^6</f>
      </c>
      <c r="H701">
        <f>0</f>
      </c>
      <c r="I701">
        <f>-41599609/10^6</f>
      </c>
      <c r="J701">
        <f>0</f>
      </c>
    </row>
    <row r="702">
      <c r="A702" t="s">
        <v>711</v>
      </c>
      <c r="B702" t="s">
        <v>11</v>
      </c>
      <c r="C702">
        <f>114792734375/10^6</f>
      </c>
      <c r="D702">
        <f>0</f>
      </c>
      <c r="E702">
        <f>748584473/10^6</f>
      </c>
      <c r="F702">
        <f>0</f>
      </c>
      <c r="G702">
        <f>253049423/10^6</f>
      </c>
      <c r="H702">
        <f>0</f>
      </c>
      <c r="I702">
        <f>-40548027/10^6</f>
      </c>
      <c r="J702">
        <f>0</f>
      </c>
    </row>
    <row r="703">
      <c r="A703" t="s">
        <v>712</v>
      </c>
      <c r="B703" t="s">
        <v>11</v>
      </c>
      <c r="C703">
        <f>114502710938/10^6</f>
      </c>
      <c r="D703">
        <f>0</f>
      </c>
      <c r="E703">
        <f>751880615/10^6</f>
      </c>
      <c r="F703">
        <f>0</f>
      </c>
      <c r="G703">
        <f>252633057/10^6</f>
      </c>
      <c r="H703">
        <f>0</f>
      </c>
      <c r="I703">
        <f>-39958389/10^6</f>
      </c>
      <c r="J703">
        <f>0</f>
      </c>
    </row>
    <row r="704">
      <c r="A704" t="s">
        <v>713</v>
      </c>
      <c r="B704" t="s">
        <v>11</v>
      </c>
      <c r="C704">
        <f>114301226563/10^6</f>
      </c>
      <c r="D704">
        <f>0</f>
      </c>
      <c r="E704">
        <f>751993225/10^6</f>
      </c>
      <c r="F704">
        <f>0</f>
      </c>
      <c r="G704">
        <f>252928162/10^6</f>
      </c>
      <c r="H704">
        <f>0</f>
      </c>
      <c r="I704">
        <f>-40422531/10^6</f>
      </c>
      <c r="J704">
        <f>0</f>
      </c>
    </row>
    <row r="705">
      <c r="A705" t="s">
        <v>714</v>
      </c>
      <c r="B705" t="s">
        <v>11</v>
      </c>
      <c r="C705">
        <f>114343914063/10^6</f>
      </c>
      <c r="D705">
        <f>0</f>
      </c>
      <c r="E705">
        <f>748485901/10^6</f>
      </c>
      <c r="F705">
        <f>0</f>
      </c>
      <c r="G705">
        <f>2533452/10^4</f>
      </c>
      <c r="H705">
        <f>0</f>
      </c>
      <c r="I705">
        <f>-41178825/10^6</f>
      </c>
      <c r="J705">
        <f>0</f>
      </c>
    </row>
    <row r="706">
      <c r="A706" t="s">
        <v>715</v>
      </c>
      <c r="B706" t="s">
        <v>11</v>
      </c>
      <c r="C706">
        <f>114470953125/10^6</f>
      </c>
      <c r="D706">
        <f>0</f>
      </c>
      <c r="E706">
        <f>747960266/10^6</f>
      </c>
      <c r="F706">
        <f>0</f>
      </c>
      <c r="G706">
        <f>253306946/10^6</f>
      </c>
      <c r="H706">
        <f>0</f>
      </c>
      <c r="I706">
        <f>-40670612/10^6</f>
      </c>
      <c r="J706">
        <f>0</f>
      </c>
    </row>
    <row r="707">
      <c r="A707" t="s">
        <v>716</v>
      </c>
      <c r="B707" t="s">
        <v>11</v>
      </c>
      <c r="C707">
        <f>11453003125/10^5</f>
      </c>
      <c r="D707">
        <f>0</f>
      </c>
      <c r="E707">
        <f>750547485/10^6</f>
      </c>
      <c r="F707">
        <f>0</f>
      </c>
      <c r="G707">
        <f>252846146/10^6</f>
      </c>
      <c r="H707">
        <f>0</f>
      </c>
      <c r="I707">
        <f>-38813133/10^6</f>
      </c>
      <c r="J707">
        <f>0</f>
      </c>
    </row>
    <row r="708">
      <c r="A708" t="s">
        <v>717</v>
      </c>
      <c r="B708" t="s">
        <v>11</v>
      </c>
      <c r="C708">
        <f>114559625/10^3</f>
      </c>
      <c r="D708">
        <f>0</f>
      </c>
      <c r="E708">
        <f>752539917/10^6</f>
      </c>
      <c r="F708">
        <f>0</f>
      </c>
      <c r="G708">
        <f>252651657/10^6</f>
      </c>
      <c r="H708">
        <f>0</f>
      </c>
      <c r="I708">
        <f>-37768135/10^6</f>
      </c>
      <c r="J708">
        <f>0</f>
      </c>
    </row>
    <row r="709">
      <c r="A709" t="s">
        <v>718</v>
      </c>
      <c r="B709" t="s">
        <v>11</v>
      </c>
      <c r="C709">
        <f>11456615625/10^5</f>
      </c>
      <c r="D709">
        <f>0</f>
      </c>
      <c r="E709">
        <f>75354834/10^5</f>
      </c>
      <c r="F709">
        <f>0</f>
      </c>
      <c r="G709">
        <f>253300919/10^6</f>
      </c>
      <c r="H709">
        <f>0</f>
      </c>
      <c r="I709">
        <f>-38190807/10^6</f>
      </c>
      <c r="J709">
        <f>0</f>
      </c>
    </row>
    <row r="710">
      <c r="A710" t="s">
        <v>719</v>
      </c>
      <c r="B710" t="s">
        <v>11</v>
      </c>
      <c r="C710">
        <f>11453584375/10^5</f>
      </c>
      <c r="D710">
        <f>0</f>
      </c>
      <c r="E710">
        <f>754206116/10^6</f>
      </c>
      <c r="F710">
        <f>0</f>
      </c>
      <c r="G710">
        <f>254086273/10^6</f>
      </c>
      <c r="H710">
        <f>0</f>
      </c>
      <c r="I710">
        <f>-38626926/10^6</f>
      </c>
      <c r="J710">
        <f>0</f>
      </c>
    </row>
    <row r="711">
      <c r="A711" t="s">
        <v>720</v>
      </c>
      <c r="B711" t="s">
        <v>11</v>
      </c>
      <c r="C711">
        <f>114492796875/10^6</f>
      </c>
      <c r="D711">
        <f>0</f>
      </c>
      <c r="E711">
        <f>754661316/10^6</f>
      </c>
      <c r="F711">
        <f>0</f>
      </c>
      <c r="G711">
        <f>25427655/10^5</f>
      </c>
      <c r="H711">
        <f>0</f>
      </c>
      <c r="I711">
        <f>-38679848/10^6</f>
      </c>
      <c r="J711">
        <f>0</f>
      </c>
    </row>
    <row r="712">
      <c r="A712" t="s">
        <v>721</v>
      </c>
      <c r="B712" t="s">
        <v>11</v>
      </c>
      <c r="C712">
        <f>11445134375/10^5</f>
      </c>
      <c r="D712">
        <f>0</f>
      </c>
      <c r="E712">
        <f>755247559/10^6</f>
      </c>
      <c r="F712">
        <f>0</f>
      </c>
      <c r="G712">
        <f>25425647/10^5</f>
      </c>
      <c r="H712">
        <f>0</f>
      </c>
      <c r="I712">
        <f>-38782475/10^6</f>
      </c>
      <c r="J712">
        <f>0</f>
      </c>
    </row>
    <row r="713">
      <c r="A713" t="s">
        <v>722</v>
      </c>
      <c r="B713" t="s">
        <v>11</v>
      </c>
      <c r="C713">
        <f>114424125/10^3</f>
      </c>
      <c r="D713">
        <f>0</f>
      </c>
      <c r="E713">
        <f>755843872/10^6</f>
      </c>
      <c r="F713">
        <f>0</f>
      </c>
      <c r="G713">
        <f>2543358/10^4</f>
      </c>
      <c r="H713">
        <f>0</f>
      </c>
      <c r="I713">
        <f>-38895855/10^6</f>
      </c>
      <c r="J713">
        <f>0</f>
      </c>
    </row>
    <row r="714">
      <c r="A714" t="s">
        <v>723</v>
      </c>
      <c r="B714" t="s">
        <v>11</v>
      </c>
      <c r="C714">
        <f>114410765625/10^6</f>
      </c>
      <c r="D714">
        <f>0</f>
      </c>
      <c r="E714">
        <f>756033325/10^6</f>
      </c>
      <c r="F714">
        <f>0</f>
      </c>
      <c r="G714">
        <f>254470657/10^6</f>
      </c>
      <c r="H714">
        <f>0</f>
      </c>
      <c r="I714">
        <f>-38950947/10^6</f>
      </c>
      <c r="J714">
        <f>0</f>
      </c>
    </row>
    <row r="715">
      <c r="A715" t="s">
        <v>724</v>
      </c>
      <c r="B715" t="s">
        <v>11</v>
      </c>
      <c r="C715">
        <f>11438103125/10^5</f>
      </c>
      <c r="D715">
        <f>0</f>
      </c>
      <c r="E715">
        <f>75604248/10^5</f>
      </c>
      <c r="F715">
        <f>0</f>
      </c>
      <c r="G715">
        <f>254621216/10^6</f>
      </c>
      <c r="H715">
        <f>0</f>
      </c>
      <c r="I715">
        <f>-39000103/10^6</f>
      </c>
      <c r="J715">
        <f>0</f>
      </c>
    </row>
    <row r="716">
      <c r="A716" t="s">
        <v>725</v>
      </c>
      <c r="B716" t="s">
        <v>11</v>
      </c>
      <c r="C716">
        <f>114317789063/10^6</f>
      </c>
      <c r="D716">
        <f>0</f>
      </c>
      <c r="E716">
        <f>756358398/10^6</f>
      </c>
      <c r="F716">
        <f>0</f>
      </c>
      <c r="G716">
        <f>254639755/10^6</f>
      </c>
      <c r="H716">
        <f>0</f>
      </c>
      <c r="I716">
        <f>-39063671/10^6</f>
      </c>
      <c r="J716">
        <f>0</f>
      </c>
    </row>
    <row r="717">
      <c r="A717" t="s">
        <v>726</v>
      </c>
      <c r="B717" t="s">
        <v>11</v>
      </c>
      <c r="C717">
        <f>114268109375/10^6</f>
      </c>
      <c r="D717">
        <f>0</f>
      </c>
      <c r="E717">
        <f>756731018/10^6</f>
      </c>
      <c r="F717">
        <f>0</f>
      </c>
      <c r="G717">
        <f>254549011/10^6</f>
      </c>
      <c r="H717">
        <f>0</f>
      </c>
      <c r="I717">
        <f>-39139858/10^6</f>
      </c>
      <c r="J717">
        <f>0</f>
      </c>
    </row>
    <row r="718">
      <c r="A718" t="s">
        <v>727</v>
      </c>
      <c r="B718" t="s">
        <v>11</v>
      </c>
      <c r="C718">
        <f>114278640625/10^6</f>
      </c>
      <c r="D718">
        <f>0</f>
      </c>
      <c r="E718">
        <f>756805481/10^6</f>
      </c>
      <c r="F718">
        <f>0</f>
      </c>
      <c r="G718">
        <f>254512848/10^6</f>
      </c>
      <c r="H718">
        <f>0</f>
      </c>
      <c r="I718">
        <f>-39205307/10^6</f>
      </c>
      <c r="J718">
        <f>0</f>
      </c>
    </row>
    <row r="719">
      <c r="A719" t="s">
        <v>728</v>
      </c>
      <c r="B719" t="s">
        <v>11</v>
      </c>
      <c r="C719">
        <f>11429521875/10^5</f>
      </c>
      <c r="D719">
        <f>0</f>
      </c>
      <c r="E719">
        <f>756807251/10^6</f>
      </c>
      <c r="F719">
        <f>0</f>
      </c>
      <c r="G719">
        <f>25455687/10^5</f>
      </c>
      <c r="H719">
        <f>0</f>
      </c>
      <c r="I719">
        <f>-39314651/10^6</f>
      </c>
      <c r="J719">
        <f>0</f>
      </c>
    </row>
    <row r="720">
      <c r="A720" t="s">
        <v>729</v>
      </c>
      <c r="B720" t="s">
        <v>11</v>
      </c>
      <c r="C720">
        <f>114242914063/10^6</f>
      </c>
      <c r="D720">
        <f>0</f>
      </c>
      <c r="E720">
        <f>757035156/10^6</f>
      </c>
      <c r="F720">
        <f>0</f>
      </c>
      <c r="G720">
        <f>254606735/10^6</f>
      </c>
      <c r="H720">
        <f>0</f>
      </c>
      <c r="I720">
        <f>-39441486/10^6</f>
      </c>
      <c r="J720">
        <f>0</f>
      </c>
    </row>
    <row r="721">
      <c r="A721" t="s">
        <v>730</v>
      </c>
      <c r="B721" t="s">
        <v>11</v>
      </c>
      <c r="C721">
        <f>114157992188/10^6</f>
      </c>
      <c r="D721">
        <f>0</f>
      </c>
      <c r="E721">
        <f>757570374/10^6</f>
      </c>
      <c r="F721">
        <f>0</f>
      </c>
      <c r="G721">
        <f>254613632/10^6</f>
      </c>
      <c r="H721">
        <f>0</f>
      </c>
      <c r="I721">
        <f>-39504494/10^6</f>
      </c>
      <c r="J721">
        <f>0</f>
      </c>
    </row>
    <row r="722">
      <c r="A722" t="s">
        <v>731</v>
      </c>
      <c r="B722" t="s">
        <v>11</v>
      </c>
      <c r="C722">
        <f>114122398438/10^6</f>
      </c>
      <c r="D722">
        <f>0</f>
      </c>
      <c r="E722">
        <f>758040344/10^6</f>
      </c>
      <c r="F722">
        <f>0</f>
      </c>
      <c r="G722">
        <f>25458316/10^5</f>
      </c>
      <c r="H722">
        <f>0</f>
      </c>
      <c r="I722">
        <f>-39572964/10^6</f>
      </c>
      <c r="J722">
        <f>0</f>
      </c>
    </row>
    <row r="723">
      <c r="A723" t="s">
        <v>732</v>
      </c>
      <c r="B723" t="s">
        <v>11</v>
      </c>
      <c r="C723">
        <f>114137632813/10^6</f>
      </c>
      <c r="D723">
        <f>0</f>
      </c>
      <c r="E723">
        <f>758120361/10^6</f>
      </c>
      <c r="F723">
        <f>0</f>
      </c>
      <c r="G723">
        <f>254583282/10^6</f>
      </c>
      <c r="H723">
        <f>0</f>
      </c>
      <c r="I723">
        <f>-39628448/10^6</f>
      </c>
      <c r="J723">
        <f>0</f>
      </c>
    </row>
    <row r="724">
      <c r="A724" t="s">
        <v>733</v>
      </c>
      <c r="B724" t="s">
        <v>11</v>
      </c>
      <c r="C724">
        <f>114169140625/10^6</f>
      </c>
      <c r="D724">
        <f>0</f>
      </c>
      <c r="E724">
        <f>758114441/10^6</f>
      </c>
      <c r="F724">
        <f>0</f>
      </c>
      <c r="G724">
        <f>254657135/10^6</f>
      </c>
      <c r="H724">
        <f>0</f>
      </c>
      <c r="I724">
        <f>-39612171/10^6</f>
      </c>
      <c r="J724">
        <f>0</f>
      </c>
    </row>
    <row r="725">
      <c r="A725" t="s">
        <v>734</v>
      </c>
      <c r="B725" t="s">
        <v>11</v>
      </c>
      <c r="C725">
        <f>114238640625/10^6</f>
      </c>
      <c r="D725">
        <f>0</f>
      </c>
      <c r="E725">
        <f>758054443/10^6</f>
      </c>
      <c r="F725">
        <f>0</f>
      </c>
      <c r="G725">
        <f>254725967/10^6</f>
      </c>
      <c r="H725">
        <f>0</f>
      </c>
      <c r="I725">
        <f>-39582947/10^6</f>
      </c>
      <c r="J725">
        <f>0</f>
      </c>
    </row>
    <row r="726">
      <c r="A726" t="s">
        <v>735</v>
      </c>
      <c r="B726" t="s">
        <v>11</v>
      </c>
      <c r="C726">
        <f>114399617188/10^6</f>
      </c>
      <c r="D726">
        <f>0</f>
      </c>
      <c r="E726">
        <f>757612427/10^6</f>
      </c>
      <c r="F726">
        <f>0</f>
      </c>
      <c r="G726">
        <f>254829758/10^6</f>
      </c>
      <c r="H726">
        <f>0</f>
      </c>
      <c r="I726">
        <f>-39562336/10^6</f>
      </c>
      <c r="J726">
        <f>0</f>
      </c>
    </row>
    <row r="727">
      <c r="A727" t="s">
        <v>736</v>
      </c>
      <c r="B727" t="s">
        <v>11</v>
      </c>
      <c r="C727">
        <f>114678484375/10^6</f>
      </c>
      <c r="D727">
        <f>0</f>
      </c>
      <c r="E727">
        <f>756642334/10^6</f>
      </c>
      <c r="F727">
        <f>0</f>
      </c>
      <c r="G727">
        <f>254984055/10^6</f>
      </c>
      <c r="H727">
        <f>0</f>
      </c>
      <c r="I727">
        <f>-39606525/10^6</f>
      </c>
      <c r="J727">
        <f>0</f>
      </c>
    </row>
    <row r="728">
      <c r="A728" t="s">
        <v>737</v>
      </c>
      <c r="B728" t="s">
        <v>11</v>
      </c>
      <c r="C728">
        <f>1150368125/10^4</f>
      </c>
      <c r="D728">
        <f>0</f>
      </c>
      <c r="E728">
        <f>755001221/10^6</f>
      </c>
      <c r="F728">
        <f>0</f>
      </c>
      <c r="G728">
        <f>255124771/10^6</f>
      </c>
      <c r="H728">
        <f>0</f>
      </c>
      <c r="I728">
        <f>-39590328/10^6</f>
      </c>
      <c r="J728">
        <f>0</f>
      </c>
    </row>
    <row r="729">
      <c r="A729" t="s">
        <v>738</v>
      </c>
      <c r="B729" t="s">
        <v>11</v>
      </c>
      <c r="C729">
        <f>11540246875/10^5</f>
      </c>
      <c r="D729">
        <f>0</f>
      </c>
      <c r="E729">
        <f>752778259/10^6</f>
      </c>
      <c r="F729">
        <f>0</f>
      </c>
      <c r="G729">
        <f>255379517/10^6</f>
      </c>
      <c r="H729">
        <f>0</f>
      </c>
      <c r="I729">
        <f>-392715/10^4</f>
      </c>
      <c r="J729">
        <f>0</f>
      </c>
    </row>
    <row r="730">
      <c r="A730" t="s">
        <v>739</v>
      </c>
      <c r="B730" t="s">
        <v>11</v>
      </c>
      <c r="C730">
        <f>11576996875/10^5</f>
      </c>
      <c r="D730">
        <f>0</f>
      </c>
      <c r="E730">
        <f>750541443/10^6</f>
      </c>
      <c r="F730">
        <f>0</f>
      </c>
      <c r="G730">
        <f>255656143/10^6</f>
      </c>
      <c r="H730">
        <f>0</f>
      </c>
      <c r="I730">
        <f>-38915943/10^6</f>
      </c>
      <c r="J730">
        <f>0</f>
      </c>
    </row>
    <row r="731">
      <c r="A731" t="s">
        <v>740</v>
      </c>
      <c r="B731" t="s">
        <v>11</v>
      </c>
      <c r="C731">
        <f>116206890625/10^6</f>
      </c>
      <c r="D731">
        <f>0</f>
      </c>
      <c r="E731">
        <f>748590271/10^6</f>
      </c>
      <c r="F731">
        <f>0</f>
      </c>
      <c r="G731">
        <f>255913757/10^6</f>
      </c>
      <c r="H731">
        <f>0</f>
      </c>
      <c r="I731">
        <f>-38650146/10^6</f>
      </c>
      <c r="J731">
        <f>0</f>
      </c>
    </row>
    <row r="732">
      <c r="A732" t="s">
        <v>741</v>
      </c>
      <c r="B732" t="s">
        <v>11</v>
      </c>
      <c r="C732">
        <f>116754078125/10^6</f>
      </c>
      <c r="D732">
        <f>0</f>
      </c>
      <c r="E732">
        <f>746338867/10^6</f>
      </c>
      <c r="F732">
        <f>0</f>
      </c>
      <c r="G732">
        <f>256234436/10^6</f>
      </c>
      <c r="H732">
        <f>0</f>
      </c>
      <c r="I732">
        <f>-38352047/10^6</f>
      </c>
      <c r="J732">
        <f>0</f>
      </c>
    </row>
    <row r="733">
      <c r="A733" t="s">
        <v>742</v>
      </c>
      <c r="B733" t="s">
        <v>11</v>
      </c>
      <c r="C733">
        <f>117385320313/10^6</f>
      </c>
      <c r="D733">
        <f>0</f>
      </c>
      <c r="E733">
        <f>743447998/10^6</f>
      </c>
      <c r="F733">
        <f>0</f>
      </c>
      <c r="G733">
        <f>256534363/10^6</f>
      </c>
      <c r="H733">
        <f>0</f>
      </c>
      <c r="I733">
        <f>-38042728/10^6</f>
      </c>
      <c r="J733">
        <f>0</f>
      </c>
    </row>
    <row r="734">
      <c r="A734" t="s">
        <v>743</v>
      </c>
      <c r="B734" t="s">
        <v>11</v>
      </c>
      <c r="C734">
        <f>118073445313/10^6</f>
      </c>
      <c r="D734">
        <f>0</f>
      </c>
      <c r="E734">
        <f>740214844/10^6</f>
      </c>
      <c r="F734">
        <f>0</f>
      </c>
      <c r="G734">
        <f>257006409/10^6</f>
      </c>
      <c r="H734">
        <f>0</f>
      </c>
      <c r="I734">
        <f>-37504486/10^6</f>
      </c>
      <c r="J734">
        <f>0</f>
      </c>
    </row>
    <row r="735">
      <c r="A735" t="s">
        <v>744</v>
      </c>
      <c r="B735" t="s">
        <v>11</v>
      </c>
      <c r="C735">
        <f>118845382813/10^6</f>
      </c>
      <c r="D735">
        <f>0</f>
      </c>
      <c r="E735">
        <f>736658081/10^6</f>
      </c>
      <c r="F735">
        <f>0</f>
      </c>
      <c r="G735">
        <f>257493866/10^6</f>
      </c>
      <c r="H735">
        <f>0</f>
      </c>
      <c r="I735">
        <f>-36954304/10^6</f>
      </c>
      <c r="J735">
        <f>0</f>
      </c>
    </row>
    <row r="736">
      <c r="A736" t="s">
        <v>745</v>
      </c>
      <c r="B736" t="s">
        <v>11</v>
      </c>
      <c r="C736">
        <f>119724351563/10^6</f>
      </c>
      <c r="D736">
        <f>0</f>
      </c>
      <c r="E736">
        <f>732655029/10^6</f>
      </c>
      <c r="F736">
        <f>0</f>
      </c>
      <c r="G736">
        <f>257936188/10^6</f>
      </c>
      <c r="H736">
        <f>0</f>
      </c>
      <c r="I736">
        <f>-36360668/10^6</f>
      </c>
      <c r="J736">
        <f>0</f>
      </c>
    </row>
    <row r="737">
      <c r="A737" t="s">
        <v>746</v>
      </c>
      <c r="B737" t="s">
        <v>11</v>
      </c>
      <c r="C737">
        <f>120647625/10^3</f>
      </c>
      <c r="D737">
        <f>0</f>
      </c>
      <c r="E737">
        <f>727960022/10^6</f>
      </c>
      <c r="F737">
        <f>0</f>
      </c>
      <c r="G737">
        <f>258690857/10^6</f>
      </c>
      <c r="H737">
        <f>0</f>
      </c>
      <c r="I737">
        <f>-354748/10^4</f>
      </c>
      <c r="J737">
        <f>0</f>
      </c>
    </row>
    <row r="738">
      <c r="A738" t="s">
        <v>747</v>
      </c>
      <c r="B738" t="s">
        <v>11</v>
      </c>
      <c r="C738">
        <f>121527367188/10^6</f>
      </c>
      <c r="D738">
        <f>0</f>
      </c>
      <c r="E738">
        <f>722772827/10^6</f>
      </c>
      <c r="F738">
        <f>0</f>
      </c>
      <c r="G738">
        <f>259210846/10^6</f>
      </c>
      <c r="H738">
        <f>0</f>
      </c>
      <c r="I738">
        <f>-34779942/10^6</f>
      </c>
      <c r="J738">
        <f>0</f>
      </c>
    </row>
    <row r="739">
      <c r="A739" t="s">
        <v>748</v>
      </c>
      <c r="B739" t="s">
        <v>11</v>
      </c>
      <c r="C739">
        <f>122311164063/10^6</f>
      </c>
      <c r="D739">
        <f>0</f>
      </c>
      <c r="E739">
        <f>718103088/10^6</f>
      </c>
      <c r="F739">
        <f>0</f>
      </c>
      <c r="G739">
        <f>2592742/10^4</f>
      </c>
      <c r="H739">
        <f>0</f>
      </c>
      <c r="I739">
        <f>-33913612/10^6</f>
      </c>
      <c r="J739">
        <f>0</f>
      </c>
    </row>
    <row r="740">
      <c r="A740" t="s">
        <v>749</v>
      </c>
      <c r="B740" t="s">
        <v>11</v>
      </c>
      <c r="C740">
        <f>122894898438/10^6</f>
      </c>
      <c r="D740">
        <f>0</f>
      </c>
      <c r="E740">
        <f>714363464/10^6</f>
      </c>
      <c r="F740">
        <f>0</f>
      </c>
      <c r="G740">
        <f>259389862/10^6</f>
      </c>
      <c r="H740">
        <f>0</f>
      </c>
      <c r="I740">
        <f>-32866341/10^6</f>
      </c>
      <c r="J740">
        <f>0</f>
      </c>
    </row>
    <row r="741">
      <c r="A741" t="s">
        <v>750</v>
      </c>
      <c r="B741" t="s">
        <v>11</v>
      </c>
      <c r="C741">
        <f>1231629375/10^4</f>
      </c>
      <c r="D741">
        <f>0</f>
      </c>
      <c r="E741">
        <f>711835693/10^6</f>
      </c>
      <c r="F741">
        <f>0</f>
      </c>
      <c r="G741">
        <f>259342438/10^6</f>
      </c>
      <c r="H741">
        <f>0</f>
      </c>
      <c r="I741">
        <f>-3244698/10^5</f>
      </c>
      <c r="J741">
        <f>0</f>
      </c>
    </row>
    <row r="742">
      <c r="A742" t="s">
        <v>751</v>
      </c>
      <c r="B742" t="s">
        <v>11</v>
      </c>
      <c r="C742">
        <f>1231893125/10^4</f>
      </c>
      <c r="D742">
        <f>0</f>
      </c>
      <c r="E742">
        <f>710852295/10^6</f>
      </c>
      <c r="F742">
        <f>0</f>
      </c>
      <c r="G742">
        <f>25906662/10^5</f>
      </c>
      <c r="H742">
        <f>0</f>
      </c>
      <c r="I742">
        <f>-32188782/10^6</f>
      </c>
      <c r="J742">
        <f>0</f>
      </c>
    </row>
    <row r="743">
      <c r="A743" t="s">
        <v>752</v>
      </c>
      <c r="B743" t="s">
        <v>11</v>
      </c>
      <c r="C743">
        <f>123173296875/10^6</f>
      </c>
      <c r="D743">
        <f>0</f>
      </c>
      <c r="E743">
        <f>710426086/10^6</f>
      </c>
      <c r="F743">
        <f>0</f>
      </c>
      <c r="G743">
        <f>258880829/10^6</f>
      </c>
      <c r="H743">
        <f>0</f>
      </c>
      <c r="I743">
        <f>-31929663/10^6</f>
      </c>
      <c r="J743">
        <f>0</f>
      </c>
    </row>
    <row r="744">
      <c r="A744" t="s">
        <v>753</v>
      </c>
      <c r="B744" t="s">
        <v>11</v>
      </c>
      <c r="C744">
        <f>123180890625/10^6</f>
      </c>
      <c r="D744">
        <f>0</f>
      </c>
      <c r="E744">
        <f>709888428/10^6</f>
      </c>
      <c r="F744">
        <f>0</f>
      </c>
      <c r="G744">
        <f>258622162/10^6</f>
      </c>
      <c r="H744">
        <f>0</f>
      </c>
      <c r="I744">
        <f>-3209837/10^5</f>
      </c>
      <c r="J744">
        <f>0</f>
      </c>
    </row>
    <row r="745">
      <c r="A745" t="s">
        <v>754</v>
      </c>
      <c r="B745" t="s">
        <v>11</v>
      </c>
      <c r="C745">
        <f>123158179688/10^6</f>
      </c>
      <c r="D745">
        <f>0</f>
      </c>
      <c r="E745">
        <f>709750549/10^6</f>
      </c>
      <c r="F745">
        <f>0</f>
      </c>
      <c r="G745">
        <f>258312164/10^6</f>
      </c>
      <c r="H745">
        <f>0</f>
      </c>
      <c r="I745">
        <f>-32321747/10^6</f>
      </c>
      <c r="J745">
        <f>0</f>
      </c>
    </row>
    <row r="746">
      <c r="A746" t="s">
        <v>755</v>
      </c>
      <c r="B746" t="s">
        <v>11</v>
      </c>
      <c r="C746">
        <f>123086921875/10^6</f>
      </c>
      <c r="D746">
        <f>0</f>
      </c>
      <c r="E746">
        <f>709822571/10^6</f>
      </c>
      <c r="F746">
        <f>0</f>
      </c>
      <c r="G746">
        <f>258116547/10^6</f>
      </c>
      <c r="H746">
        <f>0</f>
      </c>
      <c r="I746">
        <f>-32445065/10^6</f>
      </c>
      <c r="J746">
        <f>0</f>
      </c>
    </row>
    <row r="747">
      <c r="A747" t="s">
        <v>756</v>
      </c>
      <c r="B747" t="s">
        <v>11</v>
      </c>
      <c r="C747">
        <f>12297365625/10^5</f>
      </c>
      <c r="D747">
        <f>0</f>
      </c>
      <c r="E747">
        <f>70969928/10^5</f>
      </c>
      <c r="F747">
        <f>0</f>
      </c>
      <c r="G747">
        <f>257914001/10^6</f>
      </c>
      <c r="H747">
        <f>0</f>
      </c>
      <c r="I747">
        <f>-32614418/10^6</f>
      </c>
      <c r="J747">
        <f>0</f>
      </c>
    </row>
    <row r="748">
      <c r="A748" t="s">
        <v>757</v>
      </c>
      <c r="B748" t="s">
        <v>11</v>
      </c>
      <c r="C748">
        <f>122817210938/10^6</f>
      </c>
      <c r="D748">
        <f>0</f>
      </c>
      <c r="E748">
        <f>709875305/10^6</f>
      </c>
      <c r="F748">
        <f>0</f>
      </c>
      <c r="G748">
        <f>257730255/10^6</f>
      </c>
      <c r="H748">
        <f>0</f>
      </c>
      <c r="I748">
        <f>-32782417/10^6</f>
      </c>
      <c r="J748">
        <f>0</f>
      </c>
    </row>
    <row r="749">
      <c r="A749" t="s">
        <v>758</v>
      </c>
      <c r="B749" t="s">
        <v>11</v>
      </c>
      <c r="C749">
        <f>122622085938/10^6</f>
      </c>
      <c r="D749">
        <f>0</f>
      </c>
      <c r="E749">
        <f>710714478/10^6</f>
      </c>
      <c r="F749">
        <f>0</f>
      </c>
      <c r="G749">
        <f>257524445/10^6</f>
      </c>
      <c r="H749">
        <f>0</f>
      </c>
      <c r="I749">
        <f>-33049236/10^6</f>
      </c>
      <c r="J749">
        <f>0</f>
      </c>
    </row>
    <row r="750">
      <c r="A750" t="s">
        <v>759</v>
      </c>
      <c r="B750" t="s">
        <v>11</v>
      </c>
      <c r="C750">
        <f>122390046875/10^6</f>
      </c>
      <c r="D750">
        <f>0</f>
      </c>
      <c r="E750">
        <f>711933167/10^6</f>
      </c>
      <c r="F750">
        <f>0</f>
      </c>
      <c r="G750">
        <f>25729306/10^5</f>
      </c>
      <c r="H750">
        <f>0</f>
      </c>
      <c r="I750">
        <f>-33324249/10^6</f>
      </c>
      <c r="J750">
        <f>0</f>
      </c>
    </row>
    <row r="751">
      <c r="A751" t="s">
        <v>760</v>
      </c>
      <c r="B751" t="s">
        <v>11</v>
      </c>
      <c r="C751">
        <f>122118148438/10^6</f>
      </c>
      <c r="D751">
        <f>0</f>
      </c>
      <c r="E751">
        <f>7132724/10^4</f>
      </c>
      <c r="F751">
        <f>0</f>
      </c>
      <c r="G751">
        <f>257158722/10^6</f>
      </c>
      <c r="H751">
        <f>0</f>
      </c>
      <c r="I751">
        <f>-33610672/10^6</f>
      </c>
      <c r="J751">
        <f>0</f>
      </c>
    </row>
    <row r="752">
      <c r="A752" t="s">
        <v>761</v>
      </c>
      <c r="B752" t="s">
        <v>11</v>
      </c>
      <c r="C752">
        <f>12181146875/10^5</f>
      </c>
      <c r="D752">
        <f>0</f>
      </c>
      <c r="E752">
        <f>714747986/10^6</f>
      </c>
      <c r="F752">
        <f>0</f>
      </c>
      <c r="G752">
        <f>257023224/10^6</f>
      </c>
      <c r="H752">
        <f>0</f>
      </c>
      <c r="I752">
        <f>-34030186/10^6</f>
      </c>
      <c r="J752">
        <f>0</f>
      </c>
    </row>
    <row r="753">
      <c r="A753" t="s">
        <v>762</v>
      </c>
      <c r="B753" t="s">
        <v>11</v>
      </c>
      <c r="C753">
        <f>12149296875/10^5</f>
      </c>
      <c r="D753">
        <f>0</f>
      </c>
      <c r="E753">
        <f>716408386/10^6</f>
      </c>
      <c r="F753">
        <f>0</f>
      </c>
      <c r="G753">
        <f>256899963/10^6</f>
      </c>
      <c r="H753">
        <f>0</f>
      </c>
      <c r="I753">
        <f>-34375893/10^6</f>
      </c>
      <c r="J753">
        <f>0</f>
      </c>
    </row>
    <row r="754">
      <c r="A754" t="s">
        <v>763</v>
      </c>
      <c r="B754" t="s">
        <v>11</v>
      </c>
      <c r="C754">
        <f>121175179688/10^6</f>
      </c>
      <c r="D754">
        <f>0</f>
      </c>
      <c r="E754">
        <f>718191162/10^6</f>
      </c>
      <c r="F754">
        <f>0</f>
      </c>
      <c r="G754">
        <f>256861969/10^6</f>
      </c>
      <c r="H754">
        <f>0</f>
      </c>
      <c r="I754">
        <f>-34757862/10^6</f>
      </c>
      <c r="J754">
        <f>0</f>
      </c>
    </row>
    <row r="755">
      <c r="A755" t="s">
        <v>764</v>
      </c>
      <c r="B755" t="s">
        <v>11</v>
      </c>
      <c r="C755">
        <f>120841992188/10^6</f>
      </c>
      <c r="D755">
        <f>0</f>
      </c>
      <c r="E755">
        <f>720041992/10^6</f>
      </c>
      <c r="F755">
        <f>0</f>
      </c>
      <c r="G755">
        <f>256847473/10^6</f>
      </c>
      <c r="H755">
        <f>0</f>
      </c>
      <c r="I755">
        <f>-35171803/10^6</f>
      </c>
      <c r="J755">
        <f>0</f>
      </c>
    </row>
    <row r="756">
      <c r="A756" t="s">
        <v>765</v>
      </c>
      <c r="B756" t="s">
        <v>11</v>
      </c>
      <c r="C756">
        <f>120500765625/10^6</f>
      </c>
      <c r="D756">
        <f>0</f>
      </c>
      <c r="E756">
        <f>721947693/10^6</f>
      </c>
      <c r="F756">
        <f>0</f>
      </c>
      <c r="G756">
        <f>256749451/10^6</f>
      </c>
      <c r="H756">
        <f>0</f>
      </c>
      <c r="I756">
        <f>-35529369/10^6</f>
      </c>
      <c r="J756">
        <f>0</f>
      </c>
    </row>
    <row r="757">
      <c r="A757" t="s">
        <v>766</v>
      </c>
      <c r="B757" t="s">
        <v>11</v>
      </c>
      <c r="C757">
        <f>12016725/10^2</f>
      </c>
      <c r="D757">
        <f>0</f>
      </c>
      <c r="E757">
        <f>723847168/10^6</f>
      </c>
      <c r="F757">
        <f>0</f>
      </c>
      <c r="G757">
        <f>256545349/10^6</f>
      </c>
      <c r="H757">
        <f>0</f>
      </c>
      <c r="I757">
        <f>-36001175/10^6</f>
      </c>
      <c r="J757">
        <f>0</f>
      </c>
    </row>
    <row r="758">
      <c r="A758" t="s">
        <v>767</v>
      </c>
      <c r="B758" t="s">
        <v>11</v>
      </c>
      <c r="C758">
        <f>119830273438/10^6</f>
      </c>
      <c r="D758">
        <f>0</f>
      </c>
      <c r="E758">
        <f>72570752/10^5</f>
      </c>
      <c r="F758">
        <f>0</f>
      </c>
      <c r="G758">
        <f>256404724/10^6</f>
      </c>
      <c r="H758">
        <f>0</f>
      </c>
      <c r="I758">
        <f>-36399647/10^6</f>
      </c>
      <c r="J758">
        <f>0</f>
      </c>
    </row>
    <row r="759">
      <c r="A759" t="s">
        <v>768</v>
      </c>
      <c r="B759" t="s">
        <v>11</v>
      </c>
      <c r="C759">
        <f>119489085938/10^6</f>
      </c>
      <c r="D759">
        <f>0</f>
      </c>
      <c r="E759">
        <f>727693481/10^6</f>
      </c>
      <c r="F759">
        <f>0</f>
      </c>
      <c r="G759">
        <f>256359528/10^6</f>
      </c>
      <c r="H759">
        <f>0</f>
      </c>
      <c r="I759">
        <f>-36749588/10^6</f>
      </c>
      <c r="J759">
        <f>0</f>
      </c>
    </row>
    <row r="760">
      <c r="A760" t="s">
        <v>769</v>
      </c>
      <c r="B760" t="s">
        <v>11</v>
      </c>
      <c r="C760">
        <f>119145679688/10^6</f>
      </c>
      <c r="D760">
        <f>0</f>
      </c>
      <c r="E760">
        <f>729824707/10^6</f>
      </c>
      <c r="F760">
        <f>0</f>
      </c>
      <c r="G760">
        <f>256319153/10^6</f>
      </c>
      <c r="H760">
        <f>0</f>
      </c>
      <c r="I760">
        <f>-37099289/10^6</f>
      </c>
      <c r="J760">
        <f>0</f>
      </c>
    </row>
    <row r="761">
      <c r="A761" t="s">
        <v>770</v>
      </c>
      <c r="B761" t="s">
        <v>11</v>
      </c>
      <c r="C761">
        <f>118793484375/10^6</f>
      </c>
      <c r="D761">
        <f>0</f>
      </c>
      <c r="E761">
        <f>731818237/10^6</f>
      </c>
      <c r="F761">
        <f>0</f>
      </c>
      <c r="G761">
        <f>256230011/10^6</f>
      </c>
      <c r="H761">
        <f>0</f>
      </c>
      <c r="I761">
        <f>-37501244/10^6</f>
      </c>
      <c r="J761">
        <f>0</f>
      </c>
    </row>
    <row r="762">
      <c r="A762" t="s">
        <v>771</v>
      </c>
      <c r="B762" t="s">
        <v>11</v>
      </c>
      <c r="C762">
        <f>11843646875/10^5</f>
      </c>
      <c r="D762">
        <f>0</f>
      </c>
      <c r="E762">
        <f>733750061/10^6</f>
      </c>
      <c r="F762">
        <f>0</f>
      </c>
      <c r="G762">
        <f>256073425/10^6</f>
      </c>
      <c r="H762">
        <f>0</f>
      </c>
      <c r="I762">
        <f>-38127853/10^6</f>
      </c>
      <c r="J762">
        <f>0</f>
      </c>
    </row>
    <row r="763">
      <c r="A763" t="s">
        <v>772</v>
      </c>
      <c r="B763" t="s">
        <v>11</v>
      </c>
      <c r="C763">
        <f>1180939375/10^4</f>
      </c>
      <c r="D763">
        <f>0</f>
      </c>
      <c r="E763">
        <f>735822876/10^6</f>
      </c>
      <c r="F763">
        <f>0</f>
      </c>
      <c r="G763">
        <f>255967743/10^6</f>
      </c>
      <c r="H763">
        <f>0</f>
      </c>
      <c r="I763">
        <f>-3860128/10^5</f>
      </c>
      <c r="J763">
        <f>0</f>
      </c>
    </row>
    <row r="764">
      <c r="A764" t="s">
        <v>773</v>
      </c>
      <c r="B764" t="s">
        <v>11</v>
      </c>
      <c r="C764">
        <f>117799851563/10^6</f>
      </c>
      <c r="D764">
        <f>0</f>
      </c>
      <c r="E764">
        <f>737766541/10^6</f>
      </c>
      <c r="F764">
        <f>0</f>
      </c>
      <c r="G764">
        <f>255905365/10^6</f>
      </c>
      <c r="H764">
        <f>0</f>
      </c>
      <c r="I764">
        <f>-38949291/10^6</f>
      </c>
      <c r="J764">
        <f>0</f>
      </c>
    </row>
    <row r="765">
      <c r="A765" t="s">
        <v>774</v>
      </c>
      <c r="B765" t="s">
        <v>11</v>
      </c>
      <c r="C765">
        <f>117570851563/10^6</f>
      </c>
      <c r="D765">
        <f>0</f>
      </c>
      <c r="E765">
        <f>739432068/10^6</f>
      </c>
      <c r="F765">
        <f>0</f>
      </c>
      <c r="G765">
        <f>255815186/10^6</f>
      </c>
      <c r="H765">
        <f>0</f>
      </c>
      <c r="I765">
        <f>-39350311/10^6</f>
      </c>
      <c r="J765">
        <f>0</f>
      </c>
    </row>
    <row r="766">
      <c r="A766" t="s">
        <v>775</v>
      </c>
      <c r="B766" t="s">
        <v>11</v>
      </c>
      <c r="C766">
        <f>117382515625/10^6</f>
      </c>
      <c r="D766">
        <f>0</f>
      </c>
      <c r="E766">
        <f>740850281/10^6</f>
      </c>
      <c r="F766">
        <f>0</f>
      </c>
      <c r="G766">
        <f>255801453/10^6</f>
      </c>
      <c r="H766">
        <f>0</f>
      </c>
      <c r="I766">
        <f>-39626545/10^6</f>
      </c>
      <c r="J766">
        <f>0</f>
      </c>
    </row>
    <row r="767">
      <c r="A767" t="s">
        <v>776</v>
      </c>
      <c r="B767" t="s">
        <v>11</v>
      </c>
      <c r="C767">
        <f>117201460938/10^6</f>
      </c>
      <c r="D767">
        <f>0</f>
      </c>
      <c r="E767">
        <f>742054504/10^6</f>
      </c>
      <c r="F767">
        <f>0</f>
      </c>
      <c r="G767">
        <f>255877457/10^6</f>
      </c>
      <c r="H767">
        <f>0</f>
      </c>
      <c r="I767">
        <f>-39890137/10^6</f>
      </c>
      <c r="J767">
        <f>0</f>
      </c>
    </row>
    <row r="768">
      <c r="A768" t="s">
        <v>777</v>
      </c>
      <c r="B768" t="s">
        <v>11</v>
      </c>
      <c r="C768">
        <f>117018921875/10^6</f>
      </c>
      <c r="D768">
        <f>0</f>
      </c>
      <c r="E768">
        <f>743226807/10^6</f>
      </c>
      <c r="F768">
        <f>0</f>
      </c>
      <c r="G768">
        <f>255910858/10^6</f>
      </c>
      <c r="H768">
        <f>0</f>
      </c>
      <c r="I768">
        <f>-40132729/10^6</f>
      </c>
      <c r="J768">
        <f>0</f>
      </c>
    </row>
    <row r="769">
      <c r="A769" t="s">
        <v>778</v>
      </c>
      <c r="B769" t="s">
        <v>11</v>
      </c>
      <c r="C769">
        <f>116837367188/10^6</f>
      </c>
      <c r="D769">
        <f>0</f>
      </c>
      <c r="E769">
        <f>744356506/10^6</f>
      </c>
      <c r="F769">
        <f>0</f>
      </c>
      <c r="G769">
        <f>255831345/10^6</f>
      </c>
      <c r="H769">
        <f>0</f>
      </c>
      <c r="I769">
        <f>-40371475/10^6</f>
      </c>
      <c r="J769">
        <f>0</f>
      </c>
    </row>
    <row r="770">
      <c r="A770" t="s">
        <v>779</v>
      </c>
      <c r="B770" t="s">
        <v>11</v>
      </c>
      <c r="C770">
        <f>116656273438/10^6</f>
      </c>
      <c r="D770">
        <f>0</f>
      </c>
      <c r="E770">
        <f>745528198/10^6</f>
      </c>
      <c r="F770">
        <f>0</f>
      </c>
      <c r="G770">
        <f>255730133/10^6</f>
      </c>
      <c r="H770">
        <f>0</f>
      </c>
      <c r="I770">
        <f>-40624443/10^6</f>
      </c>
      <c r="J770">
        <f>0</f>
      </c>
    </row>
    <row r="771">
      <c r="A771" t="s">
        <v>780</v>
      </c>
      <c r="B771" t="s">
        <v>11</v>
      </c>
      <c r="C771">
        <f>116477570313/10^6</f>
      </c>
      <c r="D771">
        <f>0</f>
      </c>
      <c r="E771">
        <f>746865234/10^6</f>
      </c>
      <c r="F771">
        <f>0</f>
      </c>
      <c r="G771">
        <f>255732971/10^6</f>
      </c>
      <c r="H771">
        <f>0</f>
      </c>
      <c r="I771">
        <f>-40823502/10^6</f>
      </c>
      <c r="J771">
        <f>0</f>
      </c>
    </row>
    <row r="772">
      <c r="A772" t="s">
        <v>781</v>
      </c>
      <c r="B772" t="s">
        <v>11</v>
      </c>
      <c r="C772">
        <f>116308539063/10^6</f>
      </c>
      <c r="D772">
        <f>0</f>
      </c>
      <c r="E772">
        <f>748074097/10^6</f>
      </c>
      <c r="F772">
        <f>0</f>
      </c>
      <c r="G772">
        <f>25579538/10^5</f>
      </c>
      <c r="H772">
        <f>0</f>
      </c>
      <c r="I772">
        <f>-41083302/10^6</f>
      </c>
      <c r="J772">
        <f>0</f>
      </c>
    </row>
    <row r="773">
      <c r="A773" t="s">
        <v>782</v>
      </c>
      <c r="B773" t="s">
        <v>11</v>
      </c>
      <c r="C773">
        <f>116167914063/10^6</f>
      </c>
      <c r="D773">
        <f>0</f>
      </c>
      <c r="E773">
        <f>749047913/10^6</f>
      </c>
      <c r="F773">
        <f>0</f>
      </c>
      <c r="G773">
        <f>255824707/10^6</f>
      </c>
      <c r="H773">
        <f>0</f>
      </c>
      <c r="I773">
        <f>-41297394/10^6</f>
      </c>
      <c r="J773">
        <f>0</f>
      </c>
    </row>
    <row r="774">
      <c r="A774" t="s">
        <v>783</v>
      </c>
      <c r="B774" t="s">
        <v>11</v>
      </c>
      <c r="C774">
        <f>116048703125/10^6</f>
      </c>
      <c r="D774">
        <f>0</f>
      </c>
      <c r="E774">
        <f>750026428/10^6</f>
      </c>
      <c r="F774">
        <f>0</f>
      </c>
      <c r="G774">
        <f>255853149/10^6</f>
      </c>
      <c r="H774">
        <f>0</f>
      </c>
      <c r="I774">
        <f>-41393387/10^6</f>
      </c>
      <c r="J774">
        <f>0</f>
      </c>
    </row>
    <row r="775">
      <c r="A775" t="s">
        <v>784</v>
      </c>
      <c r="B775" t="s">
        <v>11</v>
      </c>
      <c r="C775">
        <f>115909359375/10^6</f>
      </c>
      <c r="D775">
        <f>0</f>
      </c>
      <c r="E775">
        <f>751145142/10^6</f>
      </c>
      <c r="F775">
        <f>0</f>
      </c>
      <c r="G775">
        <f>255896164/10^6</f>
      </c>
      <c r="H775">
        <f>0</f>
      </c>
      <c r="I775">
        <f>-41465466/10^6</f>
      </c>
      <c r="J775">
        <f>0</f>
      </c>
    </row>
    <row r="776">
      <c r="A776" t="s">
        <v>785</v>
      </c>
      <c r="B776" t="s">
        <v>11</v>
      </c>
      <c r="C776">
        <f>115756539063/10^6</f>
      </c>
      <c r="D776">
        <f>0</f>
      </c>
      <c r="E776">
        <f>752124207/10^6</f>
      </c>
      <c r="F776">
        <f>0</f>
      </c>
      <c r="G776">
        <f>255898682/10^6</f>
      </c>
      <c r="H776">
        <f>0</f>
      </c>
      <c r="I776">
        <f>-41640049/10^6</f>
      </c>
      <c r="J776">
        <f>0</f>
      </c>
    </row>
    <row r="777">
      <c r="A777" t="s">
        <v>786</v>
      </c>
      <c r="B777" t="s">
        <v>11</v>
      </c>
      <c r="C777">
        <f>11563615625/10^5</f>
      </c>
      <c r="D777">
        <f>0</f>
      </c>
      <c r="E777">
        <f>752526917/10^6</f>
      </c>
      <c r="F777">
        <f>0</f>
      </c>
      <c r="G777">
        <f>255881653/10^6</f>
      </c>
      <c r="H777">
        <f>0</f>
      </c>
      <c r="I777">
        <f>-41980175/10^6</f>
      </c>
      <c r="J777">
        <f>0</f>
      </c>
    </row>
    <row r="778">
      <c r="A778" t="s">
        <v>787</v>
      </c>
      <c r="B778" t="s">
        <v>11</v>
      </c>
      <c r="C778">
        <f>115563078125/10^6</f>
      </c>
      <c r="D778">
        <f>0</f>
      </c>
      <c r="E778">
        <f>752789307/10^6</f>
      </c>
      <c r="F778">
        <f>0</f>
      </c>
      <c r="G778">
        <f>255869812/10^6</f>
      </c>
      <c r="H778">
        <f>0</f>
      </c>
      <c r="I778">
        <f>-42194386/10^6</f>
      </c>
      <c r="J778">
        <f>0</f>
      </c>
    </row>
    <row r="779">
      <c r="A779" t="s">
        <v>788</v>
      </c>
      <c r="B779" t="s">
        <v>11</v>
      </c>
      <c r="C779">
        <f>115529289063/10^6</f>
      </c>
      <c r="D779">
        <f>0</f>
      </c>
      <c r="E779">
        <f>753373535/10^6</f>
      </c>
      <c r="F779">
        <f>0</f>
      </c>
      <c r="G779">
        <f>255822144/10^6</f>
      </c>
      <c r="H779">
        <f>0</f>
      </c>
      <c r="I779">
        <f>-4228503/10^5</f>
      </c>
      <c r="J779">
        <f>0</f>
      </c>
    </row>
    <row r="780">
      <c r="A780" t="s">
        <v>789</v>
      </c>
      <c r="B780" t="s">
        <v>11</v>
      </c>
      <c r="C780">
        <f>1155023125/10^4</f>
      </c>
      <c r="D780">
        <f>0</f>
      </c>
      <c r="E780">
        <f>753689636/10^6</f>
      </c>
      <c r="F780">
        <f>0</f>
      </c>
      <c r="G780">
        <f>255766602/10^6</f>
      </c>
      <c r="H780">
        <f>0</f>
      </c>
      <c r="I780">
        <f>-42453678/10^6</f>
      </c>
      <c r="J780">
        <f>0</f>
      </c>
    </row>
    <row r="781">
      <c r="A781" t="s">
        <v>790</v>
      </c>
      <c r="B781" t="s">
        <v>11</v>
      </c>
      <c r="C781">
        <f>1154518125/10^4</f>
      </c>
      <c r="D781">
        <f>0</f>
      </c>
      <c r="E781">
        <f>753626953/10^6</f>
      </c>
      <c r="F781">
        <f>0</f>
      </c>
      <c r="G781">
        <f>255730057/10^6</f>
      </c>
      <c r="H781">
        <f>0</f>
      </c>
      <c r="I781">
        <f>-42375877/10^6</f>
      </c>
      <c r="J781">
        <f>0</f>
      </c>
    </row>
    <row r="782">
      <c r="A782" t="s">
        <v>791</v>
      </c>
      <c r="B782" t="s">
        <v>11</v>
      </c>
      <c r="C782">
        <f>115405726563/10^6</f>
      </c>
      <c r="D782">
        <f>0</f>
      </c>
      <c r="E782">
        <f>75368219/10^5</f>
      </c>
      <c r="F782">
        <f>0</f>
      </c>
      <c r="G782">
        <f>255692093/10^6</f>
      </c>
      <c r="H782">
        <f>0</f>
      </c>
      <c r="I782">
        <f>-42006298/10^6</f>
      </c>
      <c r="J782">
        <f>0</f>
      </c>
    </row>
    <row r="783">
      <c r="A783" t="s">
        <v>792</v>
      </c>
      <c r="B783" t="s">
        <v>11</v>
      </c>
      <c r="C783">
        <f>115381578125/10^6</f>
      </c>
      <c r="D783">
        <f>0</f>
      </c>
      <c r="E783">
        <f>753931824/10^6</f>
      </c>
      <c r="F783">
        <f>0</f>
      </c>
      <c r="G783">
        <f>255626862/10^6</f>
      </c>
      <c r="H783">
        <f>0</f>
      </c>
      <c r="I783">
        <f>-41742489/10^6</f>
      </c>
      <c r="J783">
        <f>0</f>
      </c>
    </row>
    <row r="784">
      <c r="A784" t="s">
        <v>793</v>
      </c>
      <c r="B784" t="s">
        <v>11</v>
      </c>
      <c r="C784">
        <f>11529153125/10^5</f>
      </c>
      <c r="D784">
        <f>0</f>
      </c>
      <c r="E784">
        <f>754651917/10^6</f>
      </c>
      <c r="F784">
        <f>0</f>
      </c>
      <c r="G784">
        <f>255594284/10^6</f>
      </c>
      <c r="H784">
        <f>0</f>
      </c>
      <c r="I784">
        <f>-41743858/10^6</f>
      </c>
      <c r="J784">
        <f>0</f>
      </c>
    </row>
    <row r="785">
      <c r="A785" t="s">
        <v>794</v>
      </c>
      <c r="B785" t="s">
        <v>11</v>
      </c>
      <c r="C785">
        <f>115118976563/10^6</f>
      </c>
      <c r="D785">
        <f>0</f>
      </c>
      <c r="E785">
        <f>754523926/10^6</f>
      </c>
      <c r="F785">
        <f>0</f>
      </c>
      <c r="G785">
        <f>255673264/10^6</f>
      </c>
      <c r="H785">
        <f>0</f>
      </c>
      <c r="I785">
        <f>-41908478/10^6</f>
      </c>
      <c r="J785">
        <f>0</f>
      </c>
    </row>
    <row r="786">
      <c r="A786" t="s">
        <v>795</v>
      </c>
      <c r="B786" t="s">
        <v>11</v>
      </c>
      <c r="C786">
        <f>115062070313/10^6</f>
      </c>
      <c r="D786">
        <f>0</f>
      </c>
      <c r="E786">
        <f>752102966/10^6</f>
      </c>
      <c r="F786">
        <f>0</f>
      </c>
      <c r="G786">
        <f>25541127/10^5</f>
      </c>
      <c r="H786">
        <f>0</f>
      </c>
      <c r="I786">
        <f>-41458912/10^6</f>
      </c>
      <c r="J786">
        <f>0</f>
      </c>
    </row>
    <row r="787">
      <c r="A787" t="s">
        <v>796</v>
      </c>
      <c r="B787" t="s">
        <v>11</v>
      </c>
      <c r="C787">
        <f>11516940625/10^5</f>
      </c>
      <c r="D787">
        <f>0</f>
      </c>
      <c r="E787">
        <f>75068634/10^5</f>
      </c>
      <c r="F787">
        <f>0</f>
      </c>
      <c r="G787">
        <f>254512451/10^6</f>
      </c>
      <c r="H787">
        <f>0</f>
      </c>
      <c r="I787">
        <f>-40087902/10^6</f>
      </c>
      <c r="J787">
        <f>0</f>
      </c>
    </row>
    <row r="788">
      <c r="A788" t="s">
        <v>797</v>
      </c>
      <c r="B788" t="s">
        <v>11</v>
      </c>
      <c r="C788">
        <f>11522175/10^2</f>
      </c>
      <c r="D788">
        <f>0</f>
      </c>
      <c r="E788">
        <f>752274597/10^6</f>
      </c>
      <c r="F788">
        <f>0</f>
      </c>
      <c r="G788">
        <f>254004745/10^6</f>
      </c>
      <c r="H788">
        <f>0</f>
      </c>
      <c r="I788">
        <f>-3927869/10^5</f>
      </c>
      <c r="J788">
        <f>0</f>
      </c>
    </row>
    <row r="789">
      <c r="A789" t="s">
        <v>798</v>
      </c>
      <c r="B789" t="s">
        <v>11</v>
      </c>
      <c r="C789">
        <f>115170875/10^3</f>
      </c>
      <c r="D789">
        <f>0</f>
      </c>
      <c r="E789">
        <f>753742432/10^6</f>
      </c>
      <c r="F789">
        <f>0</f>
      </c>
      <c r="G789">
        <f>254565811/10^6</f>
      </c>
      <c r="H789">
        <f>0</f>
      </c>
      <c r="I789">
        <f>-39704666/10^6</f>
      </c>
      <c r="J789">
        <f>0</f>
      </c>
    </row>
    <row r="790">
      <c r="A790" t="s">
        <v>799</v>
      </c>
      <c r="B790" t="s">
        <v>11</v>
      </c>
      <c r="C790">
        <f>11515209375/10^5</f>
      </c>
      <c r="D790">
        <f>0</f>
      </c>
      <c r="E790">
        <f>753864441/10^6</f>
      </c>
      <c r="F790">
        <f>0</f>
      </c>
      <c r="G790">
        <f>25523555/10^5</f>
      </c>
      <c r="H790">
        <f>0</f>
      </c>
      <c r="I790">
        <f>-4019664/10^5</f>
      </c>
      <c r="J790">
        <f>0</f>
      </c>
    </row>
    <row r="791">
      <c r="A791" t="s">
        <v>800</v>
      </c>
      <c r="B791" t="s">
        <v>11</v>
      </c>
      <c r="C791">
        <f>11517371875/10^5</f>
      </c>
      <c r="D791">
        <f>0</f>
      </c>
      <c r="E791">
        <f>753824646/10^6</f>
      </c>
      <c r="F791">
        <f>0</f>
      </c>
      <c r="G791">
        <f>255390656/10^6</f>
      </c>
      <c r="H791">
        <f>0</f>
      </c>
      <c r="I791">
        <f>-40230202/10^6</f>
      </c>
      <c r="J791">
        <f>0</f>
      </c>
    </row>
    <row r="792">
      <c r="A792" t="s">
        <v>801</v>
      </c>
      <c r="B792" t="s">
        <v>11</v>
      </c>
      <c r="C792">
        <f>1152058125/10^4</f>
      </c>
      <c r="D792">
        <f>0</f>
      </c>
      <c r="E792">
        <f>753873108/10^6</f>
      </c>
      <c r="F792">
        <f>0</f>
      </c>
      <c r="G792">
        <f>255407227/10^6</f>
      </c>
      <c r="H792">
        <f>0</f>
      </c>
      <c r="I792">
        <f>-40205074/10^6</f>
      </c>
      <c r="J792">
        <f>0</f>
      </c>
    </row>
    <row r="793">
      <c r="A793" t="s">
        <v>802</v>
      </c>
      <c r="B793" t="s">
        <v>11</v>
      </c>
      <c r="C793">
        <f>115305460938/10^6</f>
      </c>
      <c r="D793">
        <f>0</f>
      </c>
      <c r="E793">
        <f>753821289/10^6</f>
      </c>
      <c r="F793">
        <f>0</f>
      </c>
      <c r="G793">
        <f>255515671/10^6</f>
      </c>
      <c r="H793">
        <f>0</f>
      </c>
      <c r="I793">
        <f>-40221939/10^6</f>
      </c>
      <c r="J793">
        <f>0</f>
      </c>
    </row>
    <row r="794">
      <c r="A794" t="s">
        <v>803</v>
      </c>
      <c r="B794" t="s">
        <v>11</v>
      </c>
      <c r="C794">
        <f>115494164063/10^6</f>
      </c>
      <c r="D794">
        <f>0</f>
      </c>
      <c r="E794">
        <f>75342511/10^5</f>
      </c>
      <c r="F794">
        <f>0</f>
      </c>
      <c r="G794">
        <f>255758026/10^6</f>
      </c>
      <c r="H794">
        <f>0</f>
      </c>
      <c r="I794">
        <f>-40206692/10^6</f>
      </c>
      <c r="J794">
        <f>0</f>
      </c>
    </row>
    <row r="795">
      <c r="A795" t="s">
        <v>804</v>
      </c>
      <c r="B795" t="s">
        <v>11</v>
      </c>
      <c r="C795">
        <f>115738460938/10^6</f>
      </c>
      <c r="D795">
        <f>0</f>
      </c>
      <c r="E795">
        <f>75251886/10^5</f>
      </c>
      <c r="F795">
        <f>0</f>
      </c>
      <c r="G795">
        <f>256011292/10^6</f>
      </c>
      <c r="H795">
        <f>0</f>
      </c>
      <c r="I795">
        <f>-40216541/10^6</f>
      </c>
      <c r="J795">
        <f>0</f>
      </c>
    </row>
    <row r="796">
      <c r="A796" t="s">
        <v>805</v>
      </c>
      <c r="B796" t="s">
        <v>11</v>
      </c>
      <c r="C796">
        <f>11601340625/10^5</f>
      </c>
      <c r="D796">
        <f>0</f>
      </c>
      <c r="E796">
        <f>751232666/10^6</f>
      </c>
      <c r="F796">
        <f>0</f>
      </c>
      <c r="G796">
        <f>256184814/10^6</f>
      </c>
      <c r="H796">
        <f>0</f>
      </c>
      <c r="I796">
        <f>-40084888/10^6</f>
      </c>
      <c r="J796">
        <f>0</f>
      </c>
    </row>
    <row r="797">
      <c r="A797" t="s">
        <v>806</v>
      </c>
      <c r="B797" t="s">
        <v>11</v>
      </c>
      <c r="C797">
        <f>116304742188/10^6</f>
      </c>
      <c r="D797">
        <f>0</f>
      </c>
      <c r="E797">
        <f>74981543/10^5</f>
      </c>
      <c r="F797">
        <f>0</f>
      </c>
      <c r="G797">
        <f>256379517/10^6</f>
      </c>
      <c r="H797">
        <f>0</f>
      </c>
      <c r="I797">
        <f>-3974633/10^5</f>
      </c>
      <c r="J797">
        <f>0</f>
      </c>
    </row>
    <row r="798">
      <c r="A798" t="s">
        <v>807</v>
      </c>
      <c r="B798" t="s">
        <v>11</v>
      </c>
      <c r="C798">
        <f>116611296875/10^6</f>
      </c>
      <c r="D798">
        <f>0</f>
      </c>
      <c r="E798">
        <f>748285278/10^6</f>
      </c>
      <c r="F798">
        <f>0</f>
      </c>
      <c r="G798">
        <f>256569672/10^6</f>
      </c>
      <c r="H798">
        <f>0</f>
      </c>
      <c r="I798">
        <f>-39513271/10^6</f>
      </c>
      <c r="J798">
        <f>0</f>
      </c>
    </row>
    <row r="799">
      <c r="A799" t="s">
        <v>808</v>
      </c>
      <c r="B799" t="s">
        <v>11</v>
      </c>
      <c r="C799">
        <f>11694965625/10^5</f>
      </c>
      <c r="D799">
        <f>0</f>
      </c>
      <c r="E799">
        <f>746681396/10^6</f>
      </c>
      <c r="F799">
        <f>0</f>
      </c>
      <c r="G799">
        <f>256774261/10^6</f>
      </c>
      <c r="H799">
        <f>0</f>
      </c>
      <c r="I799">
        <f>-39444057/10^6</f>
      </c>
      <c r="J799">
        <f>0</f>
      </c>
    </row>
    <row r="800">
      <c r="A800" t="s">
        <v>809</v>
      </c>
      <c r="B800" t="s">
        <v>11</v>
      </c>
      <c r="C800">
        <f>117345539063/10^6</f>
      </c>
      <c r="D800">
        <f>0</f>
      </c>
      <c r="E800">
        <f>74523114/10^5</f>
      </c>
      <c r="F800">
        <f>0</f>
      </c>
      <c r="G800">
        <f>256958405/10^6</f>
      </c>
      <c r="H800">
        <f>0</f>
      </c>
      <c r="I800">
        <f>-39388779/10^6</f>
      </c>
      <c r="J800">
        <f>0</f>
      </c>
    </row>
    <row r="801">
      <c r="A801" t="s">
        <v>810</v>
      </c>
      <c r="B801" t="s">
        <v>11</v>
      </c>
      <c r="C801">
        <f>117797148438/10^6</f>
      </c>
      <c r="D801">
        <f>0</f>
      </c>
      <c r="E801">
        <f>743670715/10^6</f>
      </c>
      <c r="F801">
        <f>0</f>
      </c>
      <c r="G801">
        <f>257257446/10^6</f>
      </c>
      <c r="H801">
        <f>0</f>
      </c>
      <c r="I801">
        <f>-39159843/10^6</f>
      </c>
      <c r="J801">
        <f>0</f>
      </c>
    </row>
    <row r="802">
      <c r="A802" t="s">
        <v>811</v>
      </c>
      <c r="B802" t="s">
        <v>11</v>
      </c>
      <c r="C802">
        <f>118306523438/10^6</f>
      </c>
      <c r="D802">
        <f>0</f>
      </c>
      <c r="E802">
        <f>741378052/10^6</f>
      </c>
      <c r="F802">
        <f>0</f>
      </c>
      <c r="G802">
        <f>257761017/10^6</f>
      </c>
      <c r="H802">
        <f>0</f>
      </c>
      <c r="I802">
        <f>-38851013/10^6</f>
      </c>
      <c r="J802">
        <f>0</f>
      </c>
    </row>
    <row r="803">
      <c r="A803" t="s">
        <v>812</v>
      </c>
      <c r="B803" t="s">
        <v>11</v>
      </c>
      <c r="C803">
        <f>118911859375/10^6</f>
      </c>
      <c r="D803">
        <f>0</f>
      </c>
      <c r="E803">
        <f>738331543/10^6</f>
      </c>
      <c r="F803">
        <f>0</f>
      </c>
      <c r="G803">
        <f>258139923/10^6</f>
      </c>
      <c r="H803">
        <f>0</f>
      </c>
      <c r="I803">
        <f>-38556587/10^6</f>
      </c>
      <c r="J803">
        <f>0</f>
      </c>
    </row>
    <row r="804">
      <c r="A804" t="s">
        <v>813</v>
      </c>
      <c r="B804" t="s">
        <v>11</v>
      </c>
      <c r="C804">
        <f>119592179688/10^6</f>
      </c>
      <c r="D804">
        <f>0</f>
      </c>
      <c r="E804">
        <f>734958862/10^6</f>
      </c>
      <c r="F804">
        <f>0</f>
      </c>
      <c r="G804">
        <f>258562622/10^6</f>
      </c>
      <c r="H804">
        <f>0</f>
      </c>
      <c r="I804">
        <f>-37863659/10^6</f>
      </c>
      <c r="J804">
        <f>0</f>
      </c>
    </row>
    <row r="805">
      <c r="A805" t="s">
        <v>814</v>
      </c>
      <c r="B805" t="s">
        <v>11</v>
      </c>
      <c r="C805">
        <f>120285/10^0</f>
      </c>
      <c r="D805">
        <f>0</f>
      </c>
      <c r="E805">
        <f>73138147/10^5</f>
      </c>
      <c r="F805">
        <f>0</f>
      </c>
      <c r="G805">
        <f>259065979/10^6</f>
      </c>
      <c r="H805">
        <f>0</f>
      </c>
      <c r="I805">
        <f>-37110744/10^6</f>
      </c>
      <c r="J805">
        <f>0</f>
      </c>
    </row>
    <row r="806">
      <c r="A806" t="s">
        <v>815</v>
      </c>
      <c r="B806" t="s">
        <v>11</v>
      </c>
      <c r="C806">
        <f>120978375/10^3</f>
      </c>
      <c r="D806">
        <f>0</f>
      </c>
      <c r="E806">
        <f>727601196/10^6</f>
      </c>
      <c r="F806">
        <f>0</f>
      </c>
      <c r="G806">
        <f>259310974/10^6</f>
      </c>
      <c r="H806">
        <f>0</f>
      </c>
      <c r="I806">
        <f>-36510284/10^6</f>
      </c>
      <c r="J806">
        <f>0</f>
      </c>
    </row>
    <row r="807">
      <c r="A807" t="s">
        <v>816</v>
      </c>
      <c r="B807" t="s">
        <v>11</v>
      </c>
      <c r="C807">
        <f>121637875/10^3</f>
      </c>
      <c r="D807">
        <f>0</f>
      </c>
      <c r="E807">
        <f>723742249/10^6</f>
      </c>
      <c r="F807">
        <f>0</f>
      </c>
      <c r="G807">
        <f>259536102/10^6</f>
      </c>
      <c r="H807">
        <f>0</f>
      </c>
      <c r="I807">
        <f>-35620903/10^6</f>
      </c>
      <c r="J807">
        <f>0</f>
      </c>
    </row>
    <row r="808">
      <c r="A808" t="s">
        <v>817</v>
      </c>
      <c r="B808" t="s">
        <v>11</v>
      </c>
      <c r="C808">
        <f>12216440625/10^5</f>
      </c>
      <c r="D808">
        <f>0</f>
      </c>
      <c r="E808">
        <f>720160767/10^6</f>
      </c>
      <c r="F808">
        <f>0</f>
      </c>
      <c r="G808">
        <f>259719086/10^6</f>
      </c>
      <c r="H808">
        <f>0</f>
      </c>
      <c r="I808">
        <f>-34948788/10^6</f>
      </c>
      <c r="J808">
        <f>0</f>
      </c>
    </row>
    <row r="809">
      <c r="A809" t="s">
        <v>818</v>
      </c>
      <c r="B809" t="s">
        <v>11</v>
      </c>
      <c r="C809">
        <f>122494671875/10^6</f>
      </c>
      <c r="D809">
        <f>0</f>
      </c>
      <c r="E809">
        <f>717501282/10^6</f>
      </c>
      <c r="F809">
        <f>0</f>
      </c>
      <c r="G809">
        <f>259661469/10^6</f>
      </c>
      <c r="H809">
        <f>0</f>
      </c>
      <c r="I809">
        <f>-34509636/10^6</f>
      </c>
      <c r="J809">
        <f>0</f>
      </c>
    </row>
    <row r="810">
      <c r="A810" t="s">
        <v>819</v>
      </c>
      <c r="B810" t="s">
        <v>11</v>
      </c>
      <c r="C810">
        <f>122657960938/10^6</f>
      </c>
      <c r="D810">
        <f>0</f>
      </c>
      <c r="E810">
        <f>716038025/10^6</f>
      </c>
      <c r="F810">
        <f>0</f>
      </c>
      <c r="G810">
        <f>259607819/10^6</f>
      </c>
      <c r="H810">
        <f>0</f>
      </c>
      <c r="I810">
        <f>-33957104/10^6</f>
      </c>
      <c r="J810">
        <f>0</f>
      </c>
    </row>
    <row r="811">
      <c r="A811" t="s">
        <v>820</v>
      </c>
      <c r="B811" t="s">
        <v>11</v>
      </c>
      <c r="C811">
        <f>1227350625/10^4</f>
      </c>
      <c r="D811">
        <f>0</f>
      </c>
      <c r="E811">
        <f>715425964/10^6</f>
      </c>
      <c r="F811">
        <f>0</f>
      </c>
      <c r="G811">
        <f>259504578/10^6</f>
      </c>
      <c r="H811">
        <f>0</f>
      </c>
      <c r="I811">
        <f>-33779015/10^6</f>
      </c>
      <c r="J811">
        <f>0</f>
      </c>
    </row>
    <row r="812">
      <c r="A812" t="s">
        <v>821</v>
      </c>
      <c r="B812" t="s">
        <v>11</v>
      </c>
      <c r="C812">
        <f>12278415625/10^5</f>
      </c>
      <c r="D812">
        <f>0</f>
      </c>
      <c r="E812">
        <f>714995789/10^6</f>
      </c>
      <c r="F812">
        <f>0</f>
      </c>
      <c r="G812">
        <f>259257172/10^6</f>
      </c>
      <c r="H812">
        <f>0</f>
      </c>
      <c r="I812">
        <f>-33860836/10^6</f>
      </c>
      <c r="J812">
        <f>0</f>
      </c>
    </row>
    <row r="813">
      <c r="A813" t="s">
        <v>822</v>
      </c>
      <c r="B813" t="s">
        <v>11</v>
      </c>
      <c r="C813">
        <f>122824179688/10^6</f>
      </c>
      <c r="D813">
        <f>0</f>
      </c>
      <c r="E813">
        <f>714300842/10^6</f>
      </c>
      <c r="F813">
        <f>0</f>
      </c>
      <c r="G813">
        <f>259071472/10^6</f>
      </c>
      <c r="H813">
        <f>0</f>
      </c>
      <c r="I813">
        <f>-33857327/10^6</f>
      </c>
      <c r="J813">
        <f>0</f>
      </c>
    </row>
    <row r="814">
      <c r="A814" t="s">
        <v>823</v>
      </c>
      <c r="B814" t="s">
        <v>11</v>
      </c>
      <c r="C814">
        <f>122848140625/10^6</f>
      </c>
      <c r="D814">
        <f>0</f>
      </c>
      <c r="E814">
        <f>713720276/10^6</f>
      </c>
      <c r="F814">
        <f>0</f>
      </c>
      <c r="G814">
        <f>25893219/10^5</f>
      </c>
      <c r="H814">
        <f>0</f>
      </c>
      <c r="I814">
        <f>-3387368/10^5</f>
      </c>
      <c r="J814">
        <f>0</f>
      </c>
    </row>
    <row r="815">
      <c r="A815" t="s">
        <v>824</v>
      </c>
      <c r="B815" t="s">
        <v>11</v>
      </c>
      <c r="C815">
        <f>122797742188/10^6</f>
      </c>
      <c r="D815">
        <f>0</f>
      </c>
      <c r="E815">
        <f>713639709/10^6</f>
      </c>
      <c r="F815">
        <f>0</f>
      </c>
      <c r="G815">
        <f>258801666/10^6</f>
      </c>
      <c r="H815">
        <f>0</f>
      </c>
      <c r="I815">
        <f>-33896927/10^6</f>
      </c>
      <c r="J815">
        <f>0</f>
      </c>
    </row>
    <row r="816">
      <c r="A816" t="s">
        <v>825</v>
      </c>
      <c r="B816" t="s">
        <v>11</v>
      </c>
      <c r="C816">
        <f>1226348125/10^4</f>
      </c>
      <c r="D816">
        <f>0</f>
      </c>
      <c r="E816">
        <f>713761841/10^6</f>
      </c>
      <c r="F816">
        <f>0</f>
      </c>
      <c r="G816">
        <f>258598938/10^6</f>
      </c>
      <c r="H816">
        <f>0</f>
      </c>
      <c r="I816">
        <f>-34009106/10^6</f>
      </c>
      <c r="J816">
        <f>0</f>
      </c>
    </row>
    <row r="817">
      <c r="A817" t="s">
        <v>826</v>
      </c>
      <c r="B817" t="s">
        <v>11</v>
      </c>
      <c r="C817">
        <f>122404523438/10^6</f>
      </c>
      <c r="D817">
        <f>0</f>
      </c>
      <c r="E817">
        <f>714220459/10^6</f>
      </c>
      <c r="F817">
        <f>0</f>
      </c>
      <c r="G817">
        <f>258225616/10^6</f>
      </c>
      <c r="H817">
        <f>0</f>
      </c>
      <c r="I817">
        <f>-34186394/10^6</f>
      </c>
      <c r="J817">
        <f>0</f>
      </c>
    </row>
    <row r="818">
      <c r="A818" t="s">
        <v>827</v>
      </c>
      <c r="B818" t="s">
        <v>11</v>
      </c>
      <c r="C818">
        <f>12215353125/10^5</f>
      </c>
      <c r="D818">
        <f>0</f>
      </c>
      <c r="E818">
        <f>715406738/10^6</f>
      </c>
      <c r="F818">
        <f>0</f>
      </c>
      <c r="G818">
        <f>257966461/10^6</f>
      </c>
      <c r="H818">
        <f>0</f>
      </c>
      <c r="I818">
        <f>-34348301/10^6</f>
      </c>
      <c r="J818">
        <f>0</f>
      </c>
    </row>
    <row r="819">
      <c r="A819" t="s">
        <v>828</v>
      </c>
      <c r="B819" t="s">
        <v>11</v>
      </c>
      <c r="C819">
        <f>12190190625/10^5</f>
      </c>
      <c r="D819">
        <f>0</f>
      </c>
      <c r="E819">
        <f>7168302/10^4</f>
      </c>
      <c r="F819">
        <f>0</f>
      </c>
      <c r="G819">
        <f>257855896/10^6</f>
      </c>
      <c r="H819">
        <f>0</f>
      </c>
      <c r="I819">
        <f>-34729237/10^6</f>
      </c>
      <c r="J819">
        <f>0</f>
      </c>
    </row>
    <row r="820">
      <c r="A820" t="s">
        <v>829</v>
      </c>
      <c r="B820" t="s">
        <v>11</v>
      </c>
      <c r="C820">
        <f>121657171875/10^6</f>
      </c>
      <c r="D820">
        <f>0</f>
      </c>
      <c r="E820">
        <f>71812677/10^5</f>
      </c>
      <c r="F820">
        <f>0</f>
      </c>
      <c r="G820">
        <f>257717285/10^6</f>
      </c>
      <c r="H820">
        <f>0</f>
      </c>
      <c r="I820">
        <f>-35152824/10^6</f>
      </c>
      <c r="J820">
        <f>0</f>
      </c>
    </row>
    <row r="821">
      <c r="A821" t="s">
        <v>830</v>
      </c>
      <c r="B821" t="s">
        <v>11</v>
      </c>
      <c r="C821">
        <f>121413898438/10^6</f>
      </c>
      <c r="D821">
        <f>0</f>
      </c>
      <c r="E821">
        <f>719537903/10^6</f>
      </c>
      <c r="F821">
        <f>0</f>
      </c>
      <c r="G821">
        <f>25764389/10^5</f>
      </c>
      <c r="H821">
        <f>0</f>
      </c>
      <c r="I821">
        <f>-35467358/10^6</f>
      </c>
      <c r="J821">
        <f>0</f>
      </c>
    </row>
    <row r="822">
      <c r="A822" t="s">
        <v>831</v>
      </c>
      <c r="B822" t="s">
        <v>11</v>
      </c>
      <c r="C822">
        <f>121182148438/10^6</f>
      </c>
      <c r="D822">
        <f>0</f>
      </c>
      <c r="E822">
        <f>720892761/10^6</f>
      </c>
      <c r="F822">
        <f>0</f>
      </c>
      <c r="G822">
        <f>257616852/10^6</f>
      </c>
      <c r="H822">
        <f>0</f>
      </c>
      <c r="I822">
        <f>-35888786/10^6</f>
      </c>
      <c r="J822">
        <f>0</f>
      </c>
    </row>
    <row r="823">
      <c r="A823" t="s">
        <v>832</v>
      </c>
      <c r="B823" t="s">
        <v>11</v>
      </c>
      <c r="C823">
        <f>120979953125/10^6</f>
      </c>
      <c r="D823">
        <f>0</f>
      </c>
      <c r="E823">
        <f>722042419/10^6</f>
      </c>
      <c r="F823">
        <f>0</f>
      </c>
      <c r="G823">
        <f>257579224/10^6</f>
      </c>
      <c r="H823">
        <f>0</f>
      </c>
      <c r="I823">
        <f>-36234886/10^6</f>
      </c>
      <c r="J823">
        <f>0</f>
      </c>
    </row>
    <row r="824">
      <c r="A824" t="s">
        <v>833</v>
      </c>
      <c r="B824" t="s">
        <v>11</v>
      </c>
      <c r="C824">
        <f>120802960938/10^6</f>
      </c>
      <c r="D824">
        <f>0</f>
      </c>
      <c r="E824">
        <f>72317688/10^5</f>
      </c>
      <c r="F824">
        <f>0</f>
      </c>
      <c r="G824">
        <f>257571838/10^6</f>
      </c>
      <c r="H824">
        <f>0</f>
      </c>
      <c r="I824">
        <f>-36527634/10^6</f>
      </c>
      <c r="J824">
        <f>0</f>
      </c>
    </row>
    <row r="825">
      <c r="A825" t="s">
        <v>834</v>
      </c>
      <c r="B825" t="s">
        <v>11</v>
      </c>
      <c r="C825">
        <f>120625125/10^3</f>
      </c>
      <c r="D825">
        <f>0</f>
      </c>
      <c r="E825">
        <f>724159973/10^6</f>
      </c>
      <c r="F825">
        <f>0</f>
      </c>
      <c r="G825">
        <f>257578094/10^6</f>
      </c>
      <c r="H825">
        <f>0</f>
      </c>
      <c r="I825">
        <f>-36853004/10^6</f>
      </c>
      <c r="J825">
        <f>0</f>
      </c>
    </row>
    <row r="826">
      <c r="A826" t="s">
        <v>835</v>
      </c>
      <c r="B826" t="s">
        <v>11</v>
      </c>
      <c r="C826">
        <f>120437710938/10^6</f>
      </c>
      <c r="D826">
        <f>0</f>
      </c>
      <c r="E826">
        <f>724971191/10^6</f>
      </c>
      <c r="F826">
        <f>0</f>
      </c>
      <c r="G826">
        <f>257546814/10^6</f>
      </c>
      <c r="H826">
        <f>0</f>
      </c>
      <c r="I826">
        <f>-37090721/10^6</f>
      </c>
      <c r="J826">
        <f>0</f>
      </c>
    </row>
    <row r="827">
      <c r="A827" t="s">
        <v>836</v>
      </c>
      <c r="B827" t="s">
        <v>11</v>
      </c>
      <c r="C827">
        <f>1202678125/10^4</f>
      </c>
      <c r="D827">
        <f>0</f>
      </c>
      <c r="E827">
        <f>725982361/10^6</f>
      </c>
      <c r="F827">
        <f>0</f>
      </c>
      <c r="G827">
        <f>257471527/10^6</f>
      </c>
      <c r="H827">
        <f>0</f>
      </c>
      <c r="I827">
        <f>-37350597/10^6</f>
      </c>
      <c r="J827">
        <f>0</f>
      </c>
    </row>
    <row r="828">
      <c r="A828" t="s">
        <v>837</v>
      </c>
      <c r="B828" t="s">
        <v>11</v>
      </c>
      <c r="C828">
        <f>12011496875/10^5</f>
      </c>
      <c r="D828">
        <f>0</f>
      </c>
      <c r="E828">
        <f>727221741/10^6</f>
      </c>
      <c r="F828">
        <f>0</f>
      </c>
      <c r="G828">
        <f>25742691/10^5</f>
      </c>
      <c r="H828">
        <f>0</f>
      </c>
      <c r="I828">
        <f>-37577824/10^6</f>
      </c>
      <c r="J828">
        <f>0</f>
      </c>
    </row>
    <row r="829">
      <c r="A829" t="s">
        <v>838</v>
      </c>
      <c r="B829" t="s">
        <v>11</v>
      </c>
      <c r="C829">
        <f>119934226563/10^6</f>
      </c>
      <c r="D829">
        <f>0</f>
      </c>
      <c r="E829">
        <f>728418579/10^6</f>
      </c>
      <c r="F829">
        <f>0</f>
      </c>
      <c r="G829">
        <f>257414642/10^6</f>
      </c>
      <c r="H829">
        <f>0</f>
      </c>
      <c r="I829">
        <f>-37771675/10^6</f>
      </c>
      <c r="J829">
        <f>0</f>
      </c>
    </row>
    <row r="830">
      <c r="A830" t="s">
        <v>839</v>
      </c>
      <c r="B830" t="s">
        <v>11</v>
      </c>
      <c r="C830">
        <f>119745742188/10^6</f>
      </c>
      <c r="D830">
        <f>0</f>
      </c>
      <c r="E830">
        <f>729485474/10^6</f>
      </c>
      <c r="F830">
        <f>0</f>
      </c>
      <c r="G830">
        <f>257387207/10^6</f>
      </c>
      <c r="H830">
        <f>0</f>
      </c>
      <c r="I830">
        <f>-37973835/10^6</f>
      </c>
      <c r="J830">
        <f>0</f>
      </c>
    </row>
    <row r="831">
      <c r="A831" t="s">
        <v>840</v>
      </c>
      <c r="B831" t="s">
        <v>11</v>
      </c>
      <c r="C831">
        <f>119604453125/10^6</f>
      </c>
      <c r="D831">
        <f>0</f>
      </c>
      <c r="E831">
        <f>73044043/10^5</f>
      </c>
      <c r="F831">
        <f>0</f>
      </c>
      <c r="G831">
        <f>257407837/10^6</f>
      </c>
      <c r="H831">
        <f>0</f>
      </c>
      <c r="I831">
        <f>-38155434/10^6</f>
      </c>
      <c r="J831">
        <f>0</f>
      </c>
    </row>
    <row r="832">
      <c r="A832" t="s">
        <v>841</v>
      </c>
      <c r="B832" t="s">
        <v>11</v>
      </c>
      <c r="C832">
        <f>1194955/10^1</f>
      </c>
      <c r="D832">
        <f>0</f>
      </c>
      <c r="E832">
        <f>731324707/10^6</f>
      </c>
      <c r="F832">
        <f>0</f>
      </c>
      <c r="G832">
        <f>25748761/10^5</f>
      </c>
      <c r="H832">
        <f>0</f>
      </c>
      <c r="I832">
        <f>-38403324/10^6</f>
      </c>
      <c r="J832">
        <f>0</f>
      </c>
    </row>
    <row r="833">
      <c r="A833" t="s">
        <v>842</v>
      </c>
      <c r="B833" t="s">
        <v>11</v>
      </c>
      <c r="C833">
        <f>119404117188/10^6</f>
      </c>
      <c r="D833">
        <f>0</f>
      </c>
      <c r="E833">
        <f>732124756/10^6</f>
      </c>
      <c r="F833">
        <f>0</f>
      </c>
      <c r="G833">
        <f>257530212/10^6</f>
      </c>
      <c r="H833">
        <f>0</f>
      </c>
      <c r="I833">
        <f>-38599972/10^6</f>
      </c>
      <c r="J833">
        <f>0</f>
      </c>
    </row>
    <row r="834">
      <c r="A834" t="s">
        <v>843</v>
      </c>
      <c r="B834" t="s">
        <v>11</v>
      </c>
      <c r="C834">
        <f>119327757813/10^6</f>
      </c>
      <c r="D834">
        <f>0</f>
      </c>
      <c r="E834">
        <f>732701172/10^6</f>
      </c>
      <c r="F834">
        <f>0</f>
      </c>
      <c r="G834">
        <f>257562744/10^6</f>
      </c>
      <c r="H834">
        <f>0</f>
      </c>
      <c r="I834">
        <f>-38721016/10^6</f>
      </c>
      <c r="J834">
        <f>0</f>
      </c>
    </row>
    <row r="835">
      <c r="A835" t="s">
        <v>844</v>
      </c>
      <c r="B835" t="s">
        <v>11</v>
      </c>
      <c r="C835">
        <f>119246890625/10^6</f>
      </c>
      <c r="D835">
        <f>0</f>
      </c>
      <c r="E835">
        <f>733129456/10^6</f>
      </c>
      <c r="F835">
        <f>0</f>
      </c>
      <c r="G835">
        <f>257628448/10^6</f>
      </c>
      <c r="H835">
        <f>0</f>
      </c>
      <c r="I835">
        <f>-38847626/10^6</f>
      </c>
      <c r="J835">
        <f>0</f>
      </c>
    </row>
    <row r="836">
      <c r="A836" t="s">
        <v>845</v>
      </c>
      <c r="B836" t="s">
        <v>11</v>
      </c>
      <c r="C836">
        <f>119168320313/10^6</f>
      </c>
      <c r="D836">
        <f>0</f>
      </c>
      <c r="E836">
        <f>73369812/10^5</f>
      </c>
      <c r="F836">
        <f>0</f>
      </c>
      <c r="G836">
        <f>257590118/10^6</f>
      </c>
      <c r="H836">
        <f>0</f>
      </c>
      <c r="I836">
        <f>-38980404/10^6</f>
      </c>
      <c r="J836">
        <f>0</f>
      </c>
    </row>
    <row r="837">
      <c r="A837" t="s">
        <v>846</v>
      </c>
      <c r="B837" t="s">
        <v>11</v>
      </c>
      <c r="C837">
        <f>1190915/10^1</f>
      </c>
      <c r="D837">
        <f>0</f>
      </c>
      <c r="E837">
        <f>734339661/10^6</f>
      </c>
      <c r="F837">
        <f>0</f>
      </c>
      <c r="G837">
        <f>257425964/10^6</f>
      </c>
      <c r="H837">
        <f>0</f>
      </c>
      <c r="I837">
        <f>-39149178/10^6</f>
      </c>
      <c r="J837">
        <f>0</f>
      </c>
    </row>
    <row r="838">
      <c r="A838" t="s">
        <v>847</v>
      </c>
      <c r="B838" t="s">
        <v>11</v>
      </c>
      <c r="C838">
        <f>118997398438/10^6</f>
      </c>
      <c r="D838">
        <f>0</f>
      </c>
      <c r="E838">
        <f>734817932/10^6</f>
      </c>
      <c r="F838">
        <f>0</f>
      </c>
      <c r="G838">
        <f>257327942/10^6</f>
      </c>
      <c r="H838">
        <f>0</f>
      </c>
      <c r="I838">
        <f>-39292027/10^6</f>
      </c>
      <c r="J838">
        <f>0</f>
      </c>
    </row>
    <row r="839">
      <c r="A839" t="s">
        <v>848</v>
      </c>
      <c r="B839" t="s">
        <v>11</v>
      </c>
      <c r="C839">
        <f>118885914063/10^6</f>
      </c>
      <c r="D839">
        <f>0</f>
      </c>
      <c r="E839">
        <f>735296936/10^6</f>
      </c>
      <c r="F839">
        <f>0</f>
      </c>
      <c r="G839">
        <f>257347565/10^6</f>
      </c>
      <c r="H839">
        <f>0</f>
      </c>
      <c r="I839">
        <f>-39444336/10^6</f>
      </c>
      <c r="J839">
        <f>0</f>
      </c>
    </row>
    <row r="840">
      <c r="A840" t="s">
        <v>849</v>
      </c>
      <c r="B840" t="s">
        <v>11</v>
      </c>
      <c r="C840">
        <f>118751835938/10^6</f>
      </c>
      <c r="D840">
        <f>0</f>
      </c>
      <c r="E840">
        <f>736004517/10^6</f>
      </c>
      <c r="F840">
        <f>0</f>
      </c>
      <c r="G840">
        <f>257377014/10^6</f>
      </c>
      <c r="H840">
        <f>0</f>
      </c>
      <c r="I840">
        <f>-39606152/10^6</f>
      </c>
      <c r="J840">
        <f>0</f>
      </c>
    </row>
    <row r="841">
      <c r="A841" t="s">
        <v>850</v>
      </c>
      <c r="B841" t="s">
        <v>11</v>
      </c>
      <c r="C841">
        <f>118589898438/10^6</f>
      </c>
      <c r="D841">
        <f>0</f>
      </c>
      <c r="E841">
        <f>736898682/10^6</f>
      </c>
      <c r="F841">
        <f>0</f>
      </c>
      <c r="G841">
        <f>25733316/10^5</f>
      </c>
      <c r="H841">
        <f>0</f>
      </c>
      <c r="I841">
        <f>-39762249/10^6</f>
      </c>
      <c r="J841">
        <f>0</f>
      </c>
    </row>
    <row r="842">
      <c r="A842" t="s">
        <v>851</v>
      </c>
      <c r="B842" t="s">
        <v>11</v>
      </c>
      <c r="C842">
        <f>118421898438/10^6</f>
      </c>
      <c r="D842">
        <f>0</f>
      </c>
      <c r="E842">
        <f>737954041/10^6</f>
      </c>
      <c r="F842">
        <f>0</f>
      </c>
      <c r="G842">
        <f>257242462/10^6</f>
      </c>
      <c r="H842">
        <f>0</f>
      </c>
      <c r="I842">
        <f>-39964748/10^6</f>
      </c>
      <c r="J842">
        <f>0</f>
      </c>
    </row>
    <row r="843">
      <c r="A843" t="s">
        <v>852</v>
      </c>
      <c r="B843" t="s">
        <v>11</v>
      </c>
      <c r="C843">
        <f>1182455/10^1</f>
      </c>
      <c r="D843">
        <f>0</f>
      </c>
      <c r="E843">
        <f>73912677/10^5</f>
      </c>
      <c r="F843">
        <f>0</f>
      </c>
      <c r="G843">
        <f>25717572/10^5</f>
      </c>
      <c r="H843">
        <f>0</f>
      </c>
      <c r="I843">
        <f>-40146721/10^6</f>
      </c>
      <c r="J843">
        <f>0</f>
      </c>
    </row>
    <row r="844">
      <c r="A844" t="s">
        <v>853</v>
      </c>
      <c r="B844" t="s">
        <v>11</v>
      </c>
      <c r="C844">
        <f>11803396875/10^5</f>
      </c>
      <c r="D844">
        <f>0</f>
      </c>
      <c r="E844">
        <f>740234741/10^6</f>
      </c>
      <c r="F844">
        <f>0</f>
      </c>
      <c r="G844">
        <f>257106262/10^6</f>
      </c>
      <c r="H844">
        <f>0</f>
      </c>
      <c r="I844">
        <f>-40355831/10^6</f>
      </c>
      <c r="J844">
        <f>0</f>
      </c>
    </row>
    <row r="845">
      <c r="A845" t="s">
        <v>854</v>
      </c>
      <c r="B845" t="s">
        <v>11</v>
      </c>
      <c r="C845">
        <f>117793757813/10^6</f>
      </c>
      <c r="D845">
        <f>0</f>
      </c>
      <c r="E845">
        <f>741344543/10^6</f>
      </c>
      <c r="F845">
        <f>0</f>
      </c>
      <c r="G845">
        <f>257036407/10^6</f>
      </c>
      <c r="H845">
        <f>0</f>
      </c>
      <c r="I845">
        <f>-40557178/10^6</f>
      </c>
      <c r="J845">
        <f>0</f>
      </c>
    </row>
    <row r="846">
      <c r="A846" t="s">
        <v>855</v>
      </c>
      <c r="B846" t="s">
        <v>11</v>
      </c>
      <c r="C846">
        <f>117534085938/10^6</f>
      </c>
      <c r="D846">
        <f>0</f>
      </c>
      <c r="E846">
        <f>74284906/10^5</f>
      </c>
      <c r="F846">
        <f>0</f>
      </c>
      <c r="G846">
        <f>256943054/10^6</f>
      </c>
      <c r="H846">
        <f>0</f>
      </c>
      <c r="I846">
        <f>-40825333/10^6</f>
      </c>
      <c r="J846">
        <f>0</f>
      </c>
    </row>
    <row r="847">
      <c r="A847" t="s">
        <v>856</v>
      </c>
      <c r="B847" t="s">
        <v>11</v>
      </c>
      <c r="C847">
        <f>117260554688/10^6</f>
      </c>
      <c r="D847">
        <f>0</f>
      </c>
      <c r="E847">
        <f>744697937/10^6</f>
      </c>
      <c r="F847">
        <f>0</f>
      </c>
      <c r="G847">
        <f>256789642/10^6</f>
      </c>
      <c r="H847">
        <f>0</f>
      </c>
      <c r="I847">
        <f>-41265076/10^6</f>
      </c>
      <c r="J847">
        <f>0</f>
      </c>
    </row>
    <row r="848">
      <c r="A848" t="s">
        <v>857</v>
      </c>
      <c r="B848" t="s">
        <v>11</v>
      </c>
      <c r="C848">
        <f>116981859375/10^6</f>
      </c>
      <c r="D848">
        <f>0</f>
      </c>
      <c r="E848">
        <f>746348938/10^6</f>
      </c>
      <c r="F848">
        <f>0</f>
      </c>
      <c r="G848">
        <f>256676453/10^6</f>
      </c>
      <c r="H848">
        <f>0</f>
      </c>
      <c r="I848">
        <f>-4161084/10^5</f>
      </c>
      <c r="J848">
        <f>0</f>
      </c>
    </row>
    <row r="849">
      <c r="A849" t="s">
        <v>858</v>
      </c>
      <c r="B849" t="s">
        <v>11</v>
      </c>
      <c r="C849">
        <f>116669320313/10^6</f>
      </c>
      <c r="D849">
        <f>0</f>
      </c>
      <c r="E849">
        <f>747908691/10^6</f>
      </c>
      <c r="F849">
        <f>0</f>
      </c>
      <c r="G849">
        <f>256566833/10^6</f>
      </c>
      <c r="H849">
        <f>0</f>
      </c>
      <c r="I849">
        <f>-41910961/10^6</f>
      </c>
      <c r="J849">
        <f>0</f>
      </c>
    </row>
    <row r="850">
      <c r="A850" t="s">
        <v>859</v>
      </c>
      <c r="B850" t="s">
        <v>11</v>
      </c>
      <c r="C850">
        <f>116325726563/10^6</f>
      </c>
      <c r="D850">
        <f>0</f>
      </c>
      <c r="E850">
        <f>749920044/10^6</f>
      </c>
      <c r="F850">
        <f>0</f>
      </c>
      <c r="G850">
        <f>256427094/10^6</f>
      </c>
      <c r="H850">
        <f>0</f>
      </c>
      <c r="I850">
        <f>-4221489/10^5</f>
      </c>
      <c r="J850">
        <f>0</f>
      </c>
    </row>
    <row r="851">
      <c r="A851" t="s">
        <v>860</v>
      </c>
      <c r="B851" t="s">
        <v>11</v>
      </c>
      <c r="C851">
        <f>116023554688/10^6</f>
      </c>
      <c r="D851">
        <f>0</f>
      </c>
      <c r="E851">
        <f>75212085/10^5</f>
      </c>
      <c r="F851">
        <f>0</f>
      </c>
      <c r="G851">
        <f>256365143/10^6</f>
      </c>
      <c r="H851">
        <f>0</f>
      </c>
      <c r="I851">
        <f>-42549091/10^6</f>
      </c>
      <c r="J851">
        <f>0</f>
      </c>
    </row>
    <row r="852">
      <c r="A852" t="s">
        <v>861</v>
      </c>
      <c r="B852" t="s">
        <v>11</v>
      </c>
      <c r="C852">
        <f>115787929688/10^6</f>
      </c>
      <c r="D852">
        <f>0</f>
      </c>
      <c r="E852">
        <f>753762451/10^6</f>
      </c>
      <c r="F852">
        <f>0</f>
      </c>
      <c r="G852">
        <f>256377838/10^6</f>
      </c>
      <c r="H852">
        <f>0</f>
      </c>
      <c r="I852">
        <f>-43114132/10^6</f>
      </c>
      <c r="J852">
        <f>0</f>
      </c>
    </row>
    <row r="853">
      <c r="A853" t="s">
        <v>862</v>
      </c>
      <c r="B853" t="s">
        <v>11</v>
      </c>
      <c r="C853">
        <f>11557321875/10^5</f>
      </c>
      <c r="D853">
        <f>0</f>
      </c>
      <c r="E853">
        <f>75469873/10^5</f>
      </c>
      <c r="F853">
        <f>0</f>
      </c>
      <c r="G853">
        <f>256351776/10^6</f>
      </c>
      <c r="H853">
        <f>0</f>
      </c>
      <c r="I853">
        <f>-43503216/10^6</f>
      </c>
      <c r="J853">
        <f>0</f>
      </c>
    </row>
    <row r="854">
      <c r="A854" t="s">
        <v>863</v>
      </c>
      <c r="B854" t="s">
        <v>11</v>
      </c>
      <c r="C854">
        <f>115364140625/10^6</f>
      </c>
      <c r="D854">
        <f>0</f>
      </c>
      <c r="E854">
        <f>755592834/10^6</f>
      </c>
      <c r="F854">
        <f>0</f>
      </c>
      <c r="G854">
        <f>256172394/10^6</f>
      </c>
      <c r="H854">
        <f>0</f>
      </c>
      <c r="I854">
        <f>-43625034/10^6</f>
      </c>
      <c r="J854">
        <f>0</f>
      </c>
    </row>
    <row r="855">
      <c r="A855" t="s">
        <v>864</v>
      </c>
      <c r="B855" t="s">
        <v>11</v>
      </c>
      <c r="C855">
        <f>115148289063/10^6</f>
      </c>
      <c r="D855">
        <f>0</f>
      </c>
      <c r="E855">
        <f>757295288/10^6</f>
      </c>
      <c r="F855">
        <f>0</f>
      </c>
      <c r="G855">
        <f>255967667/10^6</f>
      </c>
      <c r="H855">
        <f>0</f>
      </c>
      <c r="I855">
        <f>-43784595/10^6</f>
      </c>
      <c r="J855">
        <f>0</f>
      </c>
    </row>
    <row r="856">
      <c r="A856" t="s">
        <v>865</v>
      </c>
      <c r="B856" t="s">
        <v>11</v>
      </c>
      <c r="C856">
        <f>114939984375/10^6</f>
      </c>
      <c r="D856">
        <f>0</f>
      </c>
      <c r="E856">
        <f>757823975/10^6</f>
      </c>
      <c r="F856">
        <f>0</f>
      </c>
      <c r="G856">
        <f>25587944/10^5</f>
      </c>
      <c r="H856">
        <f>0</f>
      </c>
      <c r="I856">
        <f>-4371711/10^5</f>
      </c>
      <c r="J856">
        <f>0</f>
      </c>
    </row>
    <row r="857">
      <c r="A857" t="s">
        <v>866</v>
      </c>
      <c r="B857" t="s">
        <v>11</v>
      </c>
      <c r="C857">
        <f>114916921875/10^6</f>
      </c>
      <c r="D857">
        <f>0</f>
      </c>
      <c r="E857">
        <f>754354797/10^6</f>
      </c>
      <c r="F857">
        <f>0</f>
      </c>
      <c r="G857">
        <f>255776993/10^6</f>
      </c>
      <c r="H857">
        <f>0</f>
      </c>
      <c r="I857">
        <f>-43659565/10^6</f>
      </c>
      <c r="J857">
        <f>0</f>
      </c>
    </row>
    <row r="858">
      <c r="A858" t="s">
        <v>867</v>
      </c>
      <c r="B858" t="s">
        <v>11</v>
      </c>
      <c r="C858">
        <f>1151480625/10^4</f>
      </c>
      <c r="D858">
        <f>0</f>
      </c>
      <c r="E858">
        <f>751049255/10^6</f>
      </c>
      <c r="F858">
        <f>0</f>
      </c>
      <c r="G858">
        <f>255717453/10^6</f>
      </c>
      <c r="H858">
        <f>0</f>
      </c>
      <c r="I858">
        <f>-43550331/10^6</f>
      </c>
      <c r="J858">
        <f>0</f>
      </c>
    </row>
    <row r="859">
      <c r="A859" t="s">
        <v>868</v>
      </c>
      <c r="B859" t="s">
        <v>11</v>
      </c>
      <c r="C859">
        <f>115406851563/10^6</f>
      </c>
      <c r="D859">
        <f>0</f>
      </c>
      <c r="E859">
        <f>752383972/10^6</f>
      </c>
      <c r="F859">
        <f>0</f>
      </c>
      <c r="G859">
        <f>255740234/10^6</f>
      </c>
      <c r="H859">
        <f>0</f>
      </c>
      <c r="I859">
        <f>-42314995/10^6</f>
      </c>
      <c r="J859">
        <f>0</f>
      </c>
    </row>
    <row r="860">
      <c r="A860" t="s">
        <v>869</v>
      </c>
      <c r="B860" t="s">
        <v>11</v>
      </c>
      <c r="C860">
        <f>1155728125/10^4</f>
      </c>
      <c r="D860">
        <f>0</f>
      </c>
      <c r="E860">
        <f>754490479/10^6</f>
      </c>
      <c r="F860">
        <f>0</f>
      </c>
      <c r="G860">
        <f>255698608/10^6</f>
      </c>
      <c r="H860">
        <f>0</f>
      </c>
      <c r="I860">
        <f>-40743073/10^6</f>
      </c>
      <c r="J860">
        <f>0</f>
      </c>
    </row>
    <row r="861">
      <c r="A861" t="s">
        <v>870</v>
      </c>
      <c r="B861" t="s">
        <v>11</v>
      </c>
      <c r="C861">
        <f>115755632813/10^6</f>
      </c>
      <c r="D861">
        <f>0</f>
      </c>
      <c r="E861">
        <f>754002625/10^6</f>
      </c>
      <c r="F861">
        <f>0</f>
      </c>
      <c r="G861">
        <f>255934021/10^6</f>
      </c>
      <c r="H861">
        <f>0</f>
      </c>
      <c r="I861">
        <f>-40343822/10^6</f>
      </c>
      <c r="J861">
        <f>0</f>
      </c>
    </row>
    <row r="862">
      <c r="A862" t="s">
        <v>871</v>
      </c>
      <c r="B862" t="s">
        <v>11</v>
      </c>
      <c r="C862">
        <f>1160344375/10^4</f>
      </c>
      <c r="D862">
        <f>0</f>
      </c>
      <c r="E862">
        <f>752603699/10^6</f>
      </c>
      <c r="F862">
        <f>0</f>
      </c>
      <c r="G862">
        <f>256506958/10^6</f>
      </c>
      <c r="H862">
        <f>0</f>
      </c>
      <c r="I862">
        <f>-40528008/10^6</f>
      </c>
      <c r="J862">
        <f>0</f>
      </c>
    </row>
    <row r="863">
      <c r="A863" t="s">
        <v>872</v>
      </c>
      <c r="B863" t="s">
        <v>11</v>
      </c>
      <c r="C863">
        <f>116391203125/10^6</f>
      </c>
      <c r="D863">
        <f>0</f>
      </c>
      <c r="E863">
        <f>75131012/10^5</f>
      </c>
      <c r="F863">
        <f>0</f>
      </c>
      <c r="G863">
        <f>256909058/10^6</f>
      </c>
      <c r="H863">
        <f>0</f>
      </c>
      <c r="I863">
        <f>-40404816/10^6</f>
      </c>
      <c r="J863">
        <f>0</f>
      </c>
    </row>
    <row r="864">
      <c r="A864" t="s">
        <v>873</v>
      </c>
      <c r="B864" t="s">
        <v>11</v>
      </c>
      <c r="C864">
        <f>116788234375/10^6</f>
      </c>
      <c r="D864">
        <f>0</f>
      </c>
      <c r="E864">
        <f>749725525/10^6</f>
      </c>
      <c r="F864">
        <f>0</f>
      </c>
      <c r="G864">
        <f>257262634/10^6</f>
      </c>
      <c r="H864">
        <f>0</f>
      </c>
      <c r="I864">
        <f>-39966957/10^6</f>
      </c>
      <c r="J864">
        <f>0</f>
      </c>
    </row>
    <row r="865">
      <c r="A865" t="s">
        <v>874</v>
      </c>
      <c r="B865" t="s">
        <v>11</v>
      </c>
      <c r="C865">
        <f>117235726563/10^6</f>
      </c>
      <c r="D865">
        <f>0</f>
      </c>
      <c r="E865">
        <f>747755493/10^6</f>
      </c>
      <c r="F865">
        <f>0</f>
      </c>
      <c r="G865">
        <f>25766452/10^5</f>
      </c>
      <c r="H865">
        <f>0</f>
      </c>
      <c r="I865">
        <f>-39568146/10^6</f>
      </c>
      <c r="J865">
        <f>0</f>
      </c>
    </row>
    <row r="866">
      <c r="A866" t="s">
        <v>875</v>
      </c>
      <c r="B866" t="s">
        <v>11</v>
      </c>
      <c r="C866">
        <f>117794859375/10^6</f>
      </c>
      <c r="D866">
        <f>0</f>
      </c>
      <c r="E866">
        <f>745237183/10^6</f>
      </c>
      <c r="F866">
        <f>0</f>
      </c>
      <c r="G866">
        <f>258023743/10^6</f>
      </c>
      <c r="H866">
        <f>0</f>
      </c>
      <c r="I866">
        <f>-39110733/10^6</f>
      </c>
      <c r="J866">
        <f>0</f>
      </c>
    </row>
    <row r="867">
      <c r="A867" t="s">
        <v>876</v>
      </c>
      <c r="B867" t="s">
        <v>11</v>
      </c>
      <c r="C867">
        <f>11849946875/10^5</f>
      </c>
      <c r="D867">
        <f>0</f>
      </c>
      <c r="E867">
        <f>741832336/10^6</f>
      </c>
      <c r="F867">
        <f>0</f>
      </c>
      <c r="G867">
        <f>258455017/10^6</f>
      </c>
      <c r="H867">
        <f>0</f>
      </c>
      <c r="I867">
        <f>-38483139/10^6</f>
      </c>
      <c r="J867">
        <f>0</f>
      </c>
    </row>
    <row r="868">
      <c r="A868" t="s">
        <v>877</v>
      </c>
      <c r="B868" t="s">
        <v>11</v>
      </c>
      <c r="C868">
        <f>119322171875/10^6</f>
      </c>
      <c r="D868">
        <f>0</f>
      </c>
      <c r="E868">
        <f>737691833/10^6</f>
      </c>
      <c r="F868">
        <f>0</f>
      </c>
      <c r="G868">
        <f>258823242/10^6</f>
      </c>
      <c r="H868">
        <f>0</f>
      </c>
      <c r="I868">
        <f>-37927502/10^6</f>
      </c>
      <c r="J868">
        <f>0</f>
      </c>
    </row>
    <row r="869">
      <c r="A869" t="s">
        <v>878</v>
      </c>
      <c r="B869" t="s">
        <v>11</v>
      </c>
      <c r="C869">
        <f>120233054688/10^6</f>
      </c>
      <c r="D869">
        <f>0</f>
      </c>
      <c r="E869">
        <f>733199097/10^6</f>
      </c>
      <c r="F869">
        <f>0</f>
      </c>
      <c r="G869">
        <f>259340302/10^6</f>
      </c>
      <c r="H869">
        <f>0</f>
      </c>
      <c r="I869">
        <f>-36942863/10^6</f>
      </c>
      <c r="J869">
        <f>0</f>
      </c>
    </row>
    <row r="870">
      <c r="A870" t="s">
        <v>879</v>
      </c>
      <c r="B870" t="s">
        <v>11</v>
      </c>
      <c r="C870">
        <f>121162765625/10^6</f>
      </c>
      <c r="D870">
        <f>0</f>
      </c>
      <c r="E870">
        <f>728449829/10^6</f>
      </c>
      <c r="F870">
        <f>0</f>
      </c>
      <c r="G870">
        <f>259939606/10^6</f>
      </c>
      <c r="H870">
        <f>0</f>
      </c>
      <c r="I870">
        <f>-35833931/10^6</f>
      </c>
      <c r="J870">
        <f>0</f>
      </c>
    </row>
    <row r="871">
      <c r="A871" t="s">
        <v>880</v>
      </c>
      <c r="B871" t="s">
        <v>11</v>
      </c>
      <c r="C871">
        <f>121990359375/10^6</f>
      </c>
      <c r="D871">
        <f>0</f>
      </c>
      <c r="E871">
        <f>723693237/10^6</f>
      </c>
      <c r="F871">
        <f>0</f>
      </c>
      <c r="G871">
        <f>260221771/10^6</f>
      </c>
      <c r="H871">
        <f>0</f>
      </c>
      <c r="I871">
        <f>-35117039/10^6</f>
      </c>
      <c r="J871">
        <f>0</f>
      </c>
    </row>
    <row r="872">
      <c r="A872" t="s">
        <v>881</v>
      </c>
      <c r="B872" t="s">
        <v>11</v>
      </c>
      <c r="C872">
        <f>122659742188/10^6</f>
      </c>
      <c r="D872">
        <f>0</f>
      </c>
      <c r="E872">
        <f>719488831/10^6</f>
      </c>
      <c r="F872">
        <f>0</f>
      </c>
      <c r="G872">
        <f>26052243/10^5</f>
      </c>
      <c r="H872">
        <f>0</f>
      </c>
      <c r="I872">
        <f>-34206066/10^6</f>
      </c>
      <c r="J872">
        <f>0</f>
      </c>
    </row>
    <row r="873">
      <c r="A873" t="s">
        <v>882</v>
      </c>
      <c r="B873" t="s">
        <v>11</v>
      </c>
      <c r="C873">
        <f>123130257813/10^6</f>
      </c>
      <c r="D873">
        <f>0</f>
      </c>
      <c r="E873">
        <f>716257019/10^6</f>
      </c>
      <c r="F873">
        <f>0</f>
      </c>
      <c r="G873">
        <f>260755341/10^6</f>
      </c>
      <c r="H873">
        <f>0</f>
      </c>
      <c r="I873">
        <f>-33488297/10^6</f>
      </c>
      <c r="J873">
        <f>0</f>
      </c>
    </row>
    <row r="874">
      <c r="A874" t="s">
        <v>883</v>
      </c>
      <c r="B874" t="s">
        <v>11</v>
      </c>
      <c r="C874">
        <f>123365132813/10^6</f>
      </c>
      <c r="D874">
        <f>0</f>
      </c>
      <c r="E874">
        <f>714130188/10^6</f>
      </c>
      <c r="F874">
        <f>0</f>
      </c>
      <c r="G874">
        <f>260543701/10^6</f>
      </c>
      <c r="H874">
        <f>0</f>
      </c>
      <c r="I874">
        <f>-33148525/10^6</f>
      </c>
      <c r="J874">
        <f>0</f>
      </c>
    </row>
    <row r="875">
      <c r="A875" t="s">
        <v>884</v>
      </c>
      <c r="B875" t="s">
        <v>11</v>
      </c>
      <c r="C875">
        <f>12345909375/10^5</f>
      </c>
      <c r="D875">
        <f>0</f>
      </c>
      <c r="E875">
        <f>71301062/10^5</f>
      </c>
      <c r="F875">
        <f>0</f>
      </c>
      <c r="G875">
        <f>260282623/10^6</f>
      </c>
      <c r="H875">
        <f>0</f>
      </c>
      <c r="I875">
        <f>-3273151/10^5</f>
      </c>
      <c r="J875">
        <f>0</f>
      </c>
    </row>
    <row r="876">
      <c r="A876" t="s">
        <v>885</v>
      </c>
      <c r="B876" t="s">
        <v>11</v>
      </c>
      <c r="C876">
        <f>123531671875/10^6</f>
      </c>
      <c r="D876">
        <f>0</f>
      </c>
      <c r="E876">
        <f>712356689/10^6</f>
      </c>
      <c r="F876">
        <f>0</f>
      </c>
      <c r="G876">
        <f>260167419/10^6</f>
      </c>
      <c r="H876">
        <f>0</f>
      </c>
      <c r="I876">
        <f>-32593304/10^6</f>
      </c>
      <c r="J876">
        <f>0</f>
      </c>
    </row>
    <row r="877">
      <c r="A877" t="s">
        <v>886</v>
      </c>
      <c r="B877" t="s">
        <v>11</v>
      </c>
      <c r="C877">
        <f>123595023438/10^6</f>
      </c>
      <c r="D877">
        <f>0</f>
      </c>
      <c r="E877">
        <f>711647095/10^6</f>
      </c>
      <c r="F877">
        <f>0</f>
      </c>
      <c r="G877">
        <f>260027222/10^6</f>
      </c>
      <c r="H877">
        <f>0</f>
      </c>
      <c r="I877">
        <f>-32692146/10^6</f>
      </c>
      <c r="J877">
        <f>0</f>
      </c>
    </row>
    <row r="878">
      <c r="A878" t="s">
        <v>887</v>
      </c>
      <c r="B878" t="s">
        <v>11</v>
      </c>
      <c r="C878">
        <f>123626117188/10^6</f>
      </c>
      <c r="D878">
        <f>0</f>
      </c>
      <c r="E878">
        <f>711059998/10^6</f>
      </c>
      <c r="F878">
        <f>0</f>
      </c>
      <c r="G878">
        <f>259881256/10^6</f>
      </c>
      <c r="H878">
        <f>0</f>
      </c>
      <c r="I878">
        <f>-32720226/10^6</f>
      </c>
      <c r="J878">
        <f>0</f>
      </c>
    </row>
    <row r="879">
      <c r="A879" t="s">
        <v>888</v>
      </c>
      <c r="B879" t="s">
        <v>11</v>
      </c>
      <c r="C879">
        <f>12360003125/10^5</f>
      </c>
      <c r="D879">
        <f>0</f>
      </c>
      <c r="E879">
        <f>710768616/10^6</f>
      </c>
      <c r="F879">
        <f>0</f>
      </c>
      <c r="G879">
        <f>259713531/10^6</f>
      </c>
      <c r="H879">
        <f>0</f>
      </c>
      <c r="I879">
        <f>-32766106/10^6</f>
      </c>
      <c r="J879">
        <f>0</f>
      </c>
    </row>
    <row r="880">
      <c r="A880" t="s">
        <v>889</v>
      </c>
      <c r="B880" t="s">
        <v>11</v>
      </c>
      <c r="C880">
        <f>123500320313/10^6</f>
      </c>
      <c r="D880">
        <f>0</f>
      </c>
      <c r="E880">
        <f>710698059/10^6</f>
      </c>
      <c r="F880">
        <f>0</f>
      </c>
      <c r="G880">
        <f>259567566/10^6</f>
      </c>
      <c r="H880">
        <f>0</f>
      </c>
      <c r="I880">
        <f>-32808739/10^6</f>
      </c>
      <c r="J880">
        <f>0</f>
      </c>
    </row>
    <row r="881">
      <c r="A881" t="s">
        <v>890</v>
      </c>
      <c r="B881" t="s">
        <v>11</v>
      </c>
      <c r="C881">
        <f>123344734375/10^6</f>
      </c>
      <c r="D881">
        <f>0</f>
      </c>
      <c r="E881">
        <f>710854858/10^6</f>
      </c>
      <c r="F881">
        <f>0</f>
      </c>
      <c r="G881">
        <f>259336151/10^6</f>
      </c>
      <c r="H881">
        <f>0</f>
      </c>
      <c r="I881">
        <f>-32974823/10^6</f>
      </c>
      <c r="J881">
        <f>0</f>
      </c>
    </row>
    <row r="882">
      <c r="A882" t="s">
        <v>891</v>
      </c>
      <c r="B882" t="s">
        <v>11</v>
      </c>
      <c r="C882">
        <f>123128179688/10^6</f>
      </c>
      <c r="D882">
        <f>0</f>
      </c>
      <c r="E882">
        <f>711382996/10^6</f>
      </c>
      <c r="F882">
        <f>0</f>
      </c>
      <c r="G882">
        <f>258893188/10^6</f>
      </c>
      <c r="H882">
        <f>0</f>
      </c>
      <c r="I882">
        <f>-33250366/10^6</f>
      </c>
      <c r="J882">
        <f>0</f>
      </c>
    </row>
    <row r="883">
      <c r="A883" t="s">
        <v>892</v>
      </c>
      <c r="B883" t="s">
        <v>11</v>
      </c>
      <c r="C883">
        <f>122843140625/10^6</f>
      </c>
      <c r="D883">
        <f>0</f>
      </c>
      <c r="E883">
        <f>712607117/10^6</f>
      </c>
      <c r="F883">
        <f>0</f>
      </c>
      <c r="G883">
        <f>258580322/10^6</f>
      </c>
      <c r="H883">
        <f>0</f>
      </c>
      <c r="I883">
        <f>-33492088/10^6</f>
      </c>
      <c r="J883">
        <f>0</f>
      </c>
    </row>
    <row r="884">
      <c r="A884" t="s">
        <v>893</v>
      </c>
      <c r="B884" t="s">
        <v>11</v>
      </c>
      <c r="C884">
        <f>12252084375/10^5</f>
      </c>
      <c r="D884">
        <f>0</f>
      </c>
      <c r="E884">
        <f>714347961/10^6</f>
      </c>
      <c r="F884">
        <f>0</f>
      </c>
      <c r="G884">
        <f>258452667/10^6</f>
      </c>
      <c r="H884">
        <f>0</f>
      </c>
      <c r="I884">
        <f>-3394902/10^5</f>
      </c>
      <c r="J884">
        <f>0</f>
      </c>
    </row>
    <row r="885">
      <c r="A885" t="s">
        <v>894</v>
      </c>
      <c r="B885" t="s">
        <v>11</v>
      </c>
      <c r="C885">
        <f>122173546875/10^6</f>
      </c>
      <c r="D885">
        <f>0</f>
      </c>
      <c r="E885">
        <f>716196289/10^6</f>
      </c>
      <c r="F885">
        <f>0</f>
      </c>
      <c r="G885">
        <f>25831488/10^5</f>
      </c>
      <c r="H885">
        <f>0</f>
      </c>
      <c r="I885">
        <f>-34438652/10^6</f>
      </c>
      <c r="J885">
        <f>0</f>
      </c>
    </row>
    <row r="886">
      <c r="A886" t="s">
        <v>895</v>
      </c>
      <c r="B886" t="s">
        <v>11</v>
      </c>
      <c r="C886">
        <f>12181565625/10^5</f>
      </c>
      <c r="D886">
        <f>0</f>
      </c>
      <c r="E886">
        <f>71814447/10^5</f>
      </c>
      <c r="F886">
        <f>0</f>
      </c>
      <c r="G886">
        <f>258171234/10^6</f>
      </c>
      <c r="H886">
        <f>0</f>
      </c>
      <c r="I886">
        <f>-34872215/10^6</f>
      </c>
      <c r="J886">
        <f>0</f>
      </c>
    </row>
    <row r="887">
      <c r="A887" t="s">
        <v>896</v>
      </c>
      <c r="B887" t="s">
        <v>11</v>
      </c>
      <c r="C887">
        <f>121480710938/10^6</f>
      </c>
      <c r="D887">
        <f>0</f>
      </c>
      <c r="E887">
        <f>720188477/10^6</f>
      </c>
      <c r="F887">
        <f>0</f>
      </c>
      <c r="G887">
        <f>257963379/10^6</f>
      </c>
      <c r="H887">
        <f>0</f>
      </c>
      <c r="I887">
        <f>-3552655/10^5</f>
      </c>
      <c r="J887">
        <f>0</f>
      </c>
    </row>
    <row r="888">
      <c r="A888" t="s">
        <v>897</v>
      </c>
      <c r="B888" t="s">
        <v>11</v>
      </c>
      <c r="C888">
        <f>121181296875/10^6</f>
      </c>
      <c r="D888">
        <f>0</f>
      </c>
      <c r="E888">
        <f>722191101/10^6</f>
      </c>
      <c r="F888">
        <f>0</f>
      </c>
      <c r="G888">
        <f>257818909/10^6</f>
      </c>
      <c r="H888">
        <f>0</f>
      </c>
      <c r="I888">
        <f>-3603175/10^5</f>
      </c>
      <c r="J888">
        <f>0</f>
      </c>
    </row>
    <row r="889">
      <c r="A889" t="s">
        <v>898</v>
      </c>
      <c r="B889" t="s">
        <v>11</v>
      </c>
      <c r="C889">
        <f>120923179688/10^6</f>
      </c>
      <c r="D889">
        <f>0</f>
      </c>
      <c r="E889">
        <f>723899902/10^6</f>
      </c>
      <c r="F889">
        <f>0</f>
      </c>
      <c r="G889">
        <f>257828217/10^6</f>
      </c>
      <c r="H889">
        <f>0</f>
      </c>
      <c r="I889">
        <f>-36392548/10^6</f>
      </c>
      <c r="J889">
        <f>0</f>
      </c>
    </row>
    <row r="890">
      <c r="A890" t="s">
        <v>899</v>
      </c>
      <c r="B890" t="s">
        <v>11</v>
      </c>
      <c r="C890">
        <f>120694085938/10^6</f>
      </c>
      <c r="D890">
        <f>0</f>
      </c>
      <c r="E890">
        <f>725228088/10^6</f>
      </c>
      <c r="F890">
        <f>0</f>
      </c>
      <c r="G890">
        <f>257831757/10^6</f>
      </c>
      <c r="H890">
        <f>0</f>
      </c>
      <c r="I890">
        <f>-36810459/10^6</f>
      </c>
      <c r="J890">
        <f>0</f>
      </c>
    </row>
    <row r="891">
      <c r="A891" t="s">
        <v>900</v>
      </c>
      <c r="B891" t="s">
        <v>11</v>
      </c>
      <c r="C891">
        <f>120458164063/10^6</f>
      </c>
      <c r="D891">
        <f>0</f>
      </c>
      <c r="E891">
        <f>726545593/10^6</f>
      </c>
      <c r="F891">
        <f>0</f>
      </c>
      <c r="G891">
        <f>257834442/10^6</f>
      </c>
      <c r="H891">
        <f>0</f>
      </c>
      <c r="I891">
        <f>-37100079/10^6</f>
      </c>
      <c r="J891">
        <f>0</f>
      </c>
    </row>
    <row r="892">
      <c r="A892" t="s">
        <v>901</v>
      </c>
      <c r="B892" t="s">
        <v>11</v>
      </c>
      <c r="C892">
        <f>120222242188/10^6</f>
      </c>
      <c r="D892">
        <f>0</f>
      </c>
      <c r="E892">
        <f>727971436/10^6</f>
      </c>
      <c r="F892">
        <f>0</f>
      </c>
      <c r="G892">
        <f>257900391/10^6</f>
      </c>
      <c r="H892">
        <f>0</f>
      </c>
      <c r="I892">
        <f>-37331295/10^6</f>
      </c>
      <c r="J892">
        <f>0</f>
      </c>
    </row>
    <row r="893">
      <c r="A893" t="s">
        <v>902</v>
      </c>
      <c r="B893" t="s">
        <v>11</v>
      </c>
      <c r="C893">
        <f>120015351563/10^6</f>
      </c>
      <c r="D893">
        <f>0</f>
      </c>
      <c r="E893">
        <f>72916864/10^5</f>
      </c>
      <c r="F893">
        <f>0</f>
      </c>
      <c r="G893">
        <f>257937714/10^6</f>
      </c>
      <c r="H893">
        <f>0</f>
      </c>
      <c r="I893">
        <f>-37564465/10^6</f>
      </c>
      <c r="J893">
        <f>0</f>
      </c>
    </row>
    <row r="894">
      <c r="A894" t="s">
        <v>903</v>
      </c>
      <c r="B894" t="s">
        <v>11</v>
      </c>
      <c r="C894">
        <f>11982503125/10^5</f>
      </c>
      <c r="D894">
        <f>0</f>
      </c>
      <c r="E894">
        <f>7303078/10^4</f>
      </c>
      <c r="F894">
        <f>0</f>
      </c>
      <c r="G894">
        <f>257858917/10^6</f>
      </c>
      <c r="H894">
        <f>0</f>
      </c>
      <c r="I894">
        <f>-37982594/10^6</f>
      </c>
      <c r="J894">
        <f>0</f>
      </c>
    </row>
    <row r="895">
      <c r="A895" t="s">
        <v>904</v>
      </c>
      <c r="B895" t="s">
        <v>11</v>
      </c>
      <c r="C895">
        <f>119654554688/10^6</f>
      </c>
      <c r="D895">
        <f>0</f>
      </c>
      <c r="E895">
        <f>731547913/10^6</f>
      </c>
      <c r="F895">
        <f>0</f>
      </c>
      <c r="G895">
        <f>257752136/10^6</f>
      </c>
      <c r="H895">
        <f>0</f>
      </c>
      <c r="I895">
        <f>-38476212/10^6</f>
      </c>
      <c r="J895">
        <f>0</f>
      </c>
    </row>
    <row r="896">
      <c r="A896" t="s">
        <v>905</v>
      </c>
      <c r="B896" t="s">
        <v>11</v>
      </c>
      <c r="C896">
        <f>119529804688/10^6</f>
      </c>
      <c r="D896">
        <f>0</f>
      </c>
      <c r="E896">
        <f>732372742/10^6</f>
      </c>
      <c r="F896">
        <f>0</f>
      </c>
      <c r="G896">
        <f>25775473/10^5</f>
      </c>
      <c r="H896">
        <f>0</f>
      </c>
      <c r="I896">
        <f>-38687336/10^6</f>
      </c>
      <c r="J896">
        <f>0</f>
      </c>
    </row>
    <row r="897">
      <c r="A897" t="s">
        <v>906</v>
      </c>
      <c r="B897" t="s">
        <v>11</v>
      </c>
      <c r="C897">
        <f>119436367188/10^6</f>
      </c>
      <c r="D897">
        <f>0</f>
      </c>
      <c r="E897">
        <f>732862427/10^6</f>
      </c>
      <c r="F897">
        <f>0</f>
      </c>
      <c r="G897">
        <f>257837433/10^6</f>
      </c>
      <c r="H897">
        <f>0</f>
      </c>
      <c r="I897">
        <f>-38804947/10^6</f>
      </c>
      <c r="J897">
        <f>0</f>
      </c>
    </row>
    <row r="898">
      <c r="A898" t="s">
        <v>907</v>
      </c>
      <c r="B898" t="s">
        <v>11</v>
      </c>
      <c r="C898">
        <f>119356921875/10^6</f>
      </c>
      <c r="D898">
        <f>0</f>
      </c>
      <c r="E898">
        <f>733505249/10^6</f>
      </c>
      <c r="F898">
        <f>0</f>
      </c>
      <c r="G898">
        <f>25787738/10^5</f>
      </c>
      <c r="H898">
        <f>0</f>
      </c>
      <c r="I898">
        <f>-38953789/10^6</f>
      </c>
      <c r="J898">
        <f>0</f>
      </c>
    </row>
    <row r="899">
      <c r="A899" t="s">
        <v>908</v>
      </c>
      <c r="B899" t="s">
        <v>11</v>
      </c>
      <c r="C899">
        <f>119292492188/10^6</f>
      </c>
      <c r="D899">
        <f>0</f>
      </c>
      <c r="E899">
        <f>734187439/10^6</f>
      </c>
      <c r="F899">
        <f>0</f>
      </c>
      <c r="G899">
        <f>257836456/10^6</f>
      </c>
      <c r="H899">
        <f>0</f>
      </c>
      <c r="I899">
        <f>-39088093/10^6</f>
      </c>
      <c r="J899">
        <f>0</f>
      </c>
    </row>
    <row r="900">
      <c r="A900" t="s">
        <v>909</v>
      </c>
      <c r="B900" t="s">
        <v>11</v>
      </c>
      <c r="C900">
        <f>1192266875/10^4</f>
      </c>
      <c r="D900">
        <f>0</f>
      </c>
      <c r="E900">
        <f>734781067/10^6</f>
      </c>
      <c r="F900">
        <f>0</f>
      </c>
      <c r="G900">
        <f>257779297/10^6</f>
      </c>
      <c r="H900">
        <f>0</f>
      </c>
      <c r="I900">
        <f>-39217312/10^6</f>
      </c>
      <c r="J900">
        <f>0</f>
      </c>
    </row>
    <row r="901">
      <c r="A901" t="s">
        <v>910</v>
      </c>
      <c r="B901" t="s">
        <v>11</v>
      </c>
      <c r="C901">
        <f>119124375/10^3</f>
      </c>
      <c r="D901">
        <f>0</f>
      </c>
      <c r="E901">
        <f>735411255/10^6</f>
      </c>
      <c r="F901">
        <f>0</f>
      </c>
      <c r="G901">
        <f>257788055/10^6</f>
      </c>
      <c r="H901">
        <f>0</f>
      </c>
      <c r="I901">
        <f>-39359371/10^6</f>
      </c>
      <c r="J901">
        <f>0</f>
      </c>
    </row>
    <row r="902">
      <c r="A902" t="s">
        <v>911</v>
      </c>
      <c r="B902" t="s">
        <v>11</v>
      </c>
      <c r="C902">
        <f>118971109375/10^6</f>
      </c>
      <c r="D902">
        <f>0</f>
      </c>
      <c r="E902">
        <f>736198364/10^6</f>
      </c>
      <c r="F902">
        <f>0</f>
      </c>
      <c r="G902">
        <f>257881104/10^6</f>
      </c>
      <c r="H902">
        <f>0</f>
      </c>
      <c r="I902">
        <f>-39521973/10^6</f>
      </c>
      <c r="J902">
        <f>0</f>
      </c>
    </row>
    <row r="903">
      <c r="A903" t="s">
        <v>912</v>
      </c>
      <c r="B903" t="s">
        <v>11</v>
      </c>
      <c r="C903">
        <f>118780257813/10^6</f>
      </c>
      <c r="D903">
        <f>0</f>
      </c>
      <c r="E903">
        <f>73727655/10^5</f>
      </c>
      <c r="F903">
        <f>0</f>
      </c>
      <c r="G903">
        <f>257920593/10^6</f>
      </c>
      <c r="H903">
        <f>0</f>
      </c>
      <c r="I903">
        <f>-3968235/10^5</f>
      </c>
      <c r="J903">
        <f>0</f>
      </c>
    </row>
    <row r="904">
      <c r="A904" t="s">
        <v>913</v>
      </c>
      <c r="B904" t="s">
        <v>11</v>
      </c>
      <c r="C904">
        <f>118549679688/10^6</f>
      </c>
      <c r="D904">
        <f>0</f>
      </c>
      <c r="E904">
        <f>738677002/10^6</f>
      </c>
      <c r="F904">
        <f>0</f>
      </c>
      <c r="G904">
        <f>257780701/10^6</f>
      </c>
      <c r="H904">
        <f>0</f>
      </c>
      <c r="I904">
        <f>-39969166/10^6</f>
      </c>
      <c r="J904">
        <f>0</f>
      </c>
    </row>
    <row r="905">
      <c r="A905" t="s">
        <v>914</v>
      </c>
      <c r="B905" t="s">
        <v>11</v>
      </c>
      <c r="C905">
        <f>118286898438/10^6</f>
      </c>
      <c r="D905">
        <f>0</f>
      </c>
      <c r="E905">
        <f>740262634/10^6</f>
      </c>
      <c r="F905">
        <f>0</f>
      </c>
      <c r="G905">
        <f>257611389/10^6</f>
      </c>
      <c r="H905">
        <f>0</f>
      </c>
      <c r="I905">
        <f>-40270123/10^6</f>
      </c>
      <c r="J905">
        <f>0</f>
      </c>
    </row>
    <row r="906">
      <c r="A906" t="s">
        <v>915</v>
      </c>
      <c r="B906" t="s">
        <v>11</v>
      </c>
      <c r="C906">
        <f>118012515625/10^6</f>
      </c>
      <c r="D906">
        <f>0</f>
      </c>
      <c r="E906">
        <f>741918396/10^6</f>
      </c>
      <c r="F906">
        <f>0</f>
      </c>
      <c r="G906">
        <f>257548401/10^6</f>
      </c>
      <c r="H906">
        <f>0</f>
      </c>
      <c r="I906">
        <f>-40572277/10^6</f>
      </c>
      <c r="J906">
        <f>0</f>
      </c>
    </row>
    <row r="907">
      <c r="A907" t="s">
        <v>916</v>
      </c>
      <c r="B907" t="s">
        <v>11</v>
      </c>
      <c r="C907">
        <f>117707640625/10^6</f>
      </c>
      <c r="D907">
        <f>0</f>
      </c>
      <c r="E907">
        <f>743713135/10^6</f>
      </c>
      <c r="F907">
        <f>0</f>
      </c>
      <c r="G907">
        <f>257546722/10^6</f>
      </c>
      <c r="H907">
        <f>0</f>
      </c>
      <c r="I907">
        <f>-40992977/10^6</f>
      </c>
      <c r="J907">
        <f>0</f>
      </c>
    </row>
    <row r="908">
      <c r="A908" t="s">
        <v>917</v>
      </c>
      <c r="B908" t="s">
        <v>11</v>
      </c>
      <c r="C908">
        <f>11734490625/10^5</f>
      </c>
      <c r="D908">
        <f>0</f>
      </c>
      <c r="E908">
        <f>745724548/10^6</f>
      </c>
      <c r="F908">
        <f>0</f>
      </c>
      <c r="G908">
        <f>257495758/10^6</f>
      </c>
      <c r="H908">
        <f>0</f>
      </c>
      <c r="I908">
        <f>-41348907/10^6</f>
      </c>
      <c r="J908">
        <f>0</f>
      </c>
    </row>
    <row r="909">
      <c r="A909" t="s">
        <v>918</v>
      </c>
      <c r="B909" t="s">
        <v>11</v>
      </c>
      <c r="C909">
        <f>116925445313/10^6</f>
      </c>
      <c r="D909">
        <f>0</f>
      </c>
      <c r="E909">
        <f>747897156/10^6</f>
      </c>
      <c r="F909">
        <f>0</f>
      </c>
      <c r="G909">
        <f>25730423/10^5</f>
      </c>
      <c r="H909">
        <f>0</f>
      </c>
      <c r="I909">
        <f>-41829975/10^6</f>
      </c>
      <c r="J909">
        <f>0</f>
      </c>
    </row>
    <row r="910">
      <c r="A910" t="s">
        <v>919</v>
      </c>
      <c r="B910" t="s">
        <v>11</v>
      </c>
      <c r="C910">
        <f>1164429375/10^4</f>
      </c>
      <c r="D910">
        <f>0</f>
      </c>
      <c r="E910">
        <f>750596313/10^6</f>
      </c>
      <c r="F910">
        <f>0</f>
      </c>
      <c r="G910">
        <f>257109985/10^6</f>
      </c>
      <c r="H910">
        <f>0</f>
      </c>
      <c r="I910">
        <f>-42345901/10^6</f>
      </c>
      <c r="J910">
        <f>0</f>
      </c>
    </row>
    <row r="911">
      <c r="A911" t="s">
        <v>920</v>
      </c>
      <c r="B911" t="s">
        <v>11</v>
      </c>
      <c r="C911">
        <f>115875742188/10^6</f>
      </c>
      <c r="D911">
        <f>0</f>
      </c>
      <c r="E911">
        <f>753659485/10^6</f>
      </c>
      <c r="F911">
        <f>0</f>
      </c>
      <c r="G911">
        <f>256869751/10^6</f>
      </c>
      <c r="H911">
        <f>0</f>
      </c>
      <c r="I911">
        <f>-42670494/10^6</f>
      </c>
      <c r="J911">
        <f>0</f>
      </c>
    </row>
    <row r="912">
      <c r="A912" t="s">
        <v>921</v>
      </c>
      <c r="B912" t="s">
        <v>11</v>
      </c>
      <c r="C912">
        <f>115311367188/10^6</f>
      </c>
      <c r="D912">
        <f>0</f>
      </c>
      <c r="E912">
        <f>755278625/10^6</f>
      </c>
      <c r="F912">
        <f>0</f>
      </c>
      <c r="G912">
        <f>256579681/10^6</f>
      </c>
      <c r="H912">
        <f>0</f>
      </c>
      <c r="I912">
        <f>-43324902/10^6</f>
      </c>
      <c r="J912">
        <f>0</f>
      </c>
    </row>
    <row r="913">
      <c r="A913" t="s">
        <v>922</v>
      </c>
      <c r="B913" t="s">
        <v>11</v>
      </c>
      <c r="C913">
        <f>114908882813/10^6</f>
      </c>
      <c r="D913">
        <f>0</f>
      </c>
      <c r="E913">
        <f>755270081/10^6</f>
      </c>
      <c r="F913">
        <f>0</f>
      </c>
      <c r="G913">
        <f>256288147/10^6</f>
      </c>
      <c r="H913">
        <f>0</f>
      </c>
      <c r="I913">
        <f>-43617245/10^6</f>
      </c>
      <c r="J913">
        <f>0</f>
      </c>
    </row>
    <row r="914">
      <c r="A914" t="s">
        <v>923</v>
      </c>
      <c r="B914" t="s">
        <v>11</v>
      </c>
      <c r="C914">
        <f>114606679688/10^6</f>
      </c>
      <c r="D914">
        <f>0</f>
      </c>
      <c r="E914">
        <f>756354614/10^6</f>
      </c>
      <c r="F914">
        <f>0</f>
      </c>
      <c r="G914">
        <f>255582382/10^6</f>
      </c>
      <c r="H914">
        <f>0</f>
      </c>
      <c r="I914">
        <f>-4289386/10^5</f>
      </c>
      <c r="J914">
        <f>0</f>
      </c>
    </row>
    <row r="915">
      <c r="A915" t="s">
        <v>924</v>
      </c>
      <c r="B915" t="s">
        <v>11</v>
      </c>
      <c r="C915">
        <f>11427440625/10^5</f>
      </c>
      <c r="D915">
        <f>0</f>
      </c>
      <c r="E915">
        <f>757739807/10^6</f>
      </c>
      <c r="F915">
        <f>0</f>
      </c>
      <c r="G915">
        <f>254809372/10^6</f>
      </c>
      <c r="H915">
        <f>0</f>
      </c>
      <c r="I915">
        <f>-42382004/10^6</f>
      </c>
      <c r="J915">
        <f>0</f>
      </c>
    </row>
    <row r="916">
      <c r="A916" t="s">
        <v>925</v>
      </c>
      <c r="B916" t="s">
        <v>11</v>
      </c>
      <c r="C916">
        <f>114042367188/10^6</f>
      </c>
      <c r="D916">
        <f>0</f>
      </c>
      <c r="E916">
        <f>755539551/10^6</f>
      </c>
      <c r="F916">
        <f>0</f>
      </c>
      <c r="G916">
        <f>254286255/10^6</f>
      </c>
      <c r="H916">
        <f>0</f>
      </c>
      <c r="I916">
        <f>-4119434/10^5</f>
      </c>
      <c r="J916">
        <f>0</f>
      </c>
    </row>
    <row r="917">
      <c r="A917" t="s">
        <v>926</v>
      </c>
      <c r="B917" t="s">
        <v>11</v>
      </c>
      <c r="C917">
        <f>113983601563/10^6</f>
      </c>
      <c r="D917">
        <f>0</f>
      </c>
      <c r="E917">
        <f>75209436/10^5</f>
      </c>
      <c r="F917">
        <f>0</f>
      </c>
      <c r="G917">
        <f>253462616/10^6</f>
      </c>
      <c r="H917">
        <f>0</f>
      </c>
      <c r="I917">
        <f>-38200188/10^6</f>
      </c>
      <c r="J917">
        <f>0</f>
      </c>
    </row>
    <row r="918">
      <c r="A918" t="s">
        <v>927</v>
      </c>
      <c r="B918" t="s">
        <v>11</v>
      </c>
      <c r="C918">
        <f>113881101563/10^6</f>
      </c>
      <c r="D918">
        <f>0</f>
      </c>
      <c r="E918">
        <f>75210791/10^5</f>
      </c>
      <c r="F918">
        <f>0</f>
      </c>
      <c r="G918">
        <f>252910156/10^6</f>
      </c>
      <c r="H918">
        <f>0</f>
      </c>
      <c r="I918">
        <f>-36289703/10^6</f>
      </c>
      <c r="J918">
        <f>0</f>
      </c>
    </row>
    <row r="919">
      <c r="A919" t="s">
        <v>928</v>
      </c>
      <c r="B919" t="s">
        <v>11</v>
      </c>
      <c r="C919">
        <f>113691929688/10^6</f>
      </c>
      <c r="D919">
        <f>0</f>
      </c>
      <c r="E919">
        <f>754482849/10^6</f>
      </c>
      <c r="F919">
        <f>0</f>
      </c>
      <c r="G919">
        <f>25297934/10^5</f>
      </c>
      <c r="H919">
        <f>0</f>
      </c>
      <c r="I919">
        <f>-36571671/10^6</f>
      </c>
      <c r="J919">
        <f>0</f>
      </c>
    </row>
    <row r="920">
      <c r="A920" t="s">
        <v>929</v>
      </c>
      <c r="B920" t="s">
        <v>11</v>
      </c>
      <c r="C920">
        <f>113714765625/10^6</f>
      </c>
      <c r="D920">
        <f>0</f>
      </c>
      <c r="E920">
        <f>756572876/10^6</f>
      </c>
      <c r="F920">
        <f>0</f>
      </c>
      <c r="G920">
        <f>252941528/10^6</f>
      </c>
      <c r="H920">
        <f>0</f>
      </c>
      <c r="I920">
        <f>-36875992/10^6</f>
      </c>
      <c r="J920">
        <f>0</f>
      </c>
    </row>
    <row r="921">
      <c r="A921" t="s">
        <v>930</v>
      </c>
      <c r="B921" t="s">
        <v>11</v>
      </c>
      <c r="C921">
        <f>114036046875/10^6</f>
      </c>
      <c r="D921">
        <f>0</f>
      </c>
      <c r="E921">
        <f>757152466/10^6</f>
      </c>
      <c r="F921">
        <f>0</f>
      </c>
      <c r="G921">
        <f>253304642/10^6</f>
      </c>
      <c r="H921">
        <f>0</f>
      </c>
      <c r="I921">
        <f>-36703892/10^6</f>
      </c>
      <c r="J921">
        <f>0</f>
      </c>
    </row>
    <row r="922">
      <c r="A922" t="s">
        <v>931</v>
      </c>
      <c r="B922" t="s">
        <v>11</v>
      </c>
      <c r="C922">
        <f>114407726563/10^6</f>
      </c>
      <c r="D922">
        <f>0</f>
      </c>
      <c r="E922">
        <f>755996155/10^6</f>
      </c>
      <c r="F922">
        <f>0</f>
      </c>
      <c r="G922">
        <f>254309677/10^6</f>
      </c>
      <c r="H922">
        <f>0</f>
      </c>
      <c r="I922">
        <f>-36579033/10^6</f>
      </c>
      <c r="J922">
        <f>0</f>
      </c>
    </row>
    <row r="923">
      <c r="A923" t="s">
        <v>932</v>
      </c>
      <c r="B923" t="s">
        <v>11</v>
      </c>
      <c r="C923">
        <f>1147350625/10^4</f>
      </c>
      <c r="D923">
        <f>0</f>
      </c>
      <c r="E923">
        <f>754741455/10^6</f>
      </c>
      <c r="F923">
        <f>0</f>
      </c>
      <c r="G923">
        <f>255005905/10^6</f>
      </c>
      <c r="H923">
        <f>0</f>
      </c>
      <c r="I923">
        <f>-36502155/10^6</f>
      </c>
      <c r="J923">
        <f>0</f>
      </c>
    </row>
    <row r="924">
      <c r="A924" t="s">
        <v>933</v>
      </c>
      <c r="B924" t="s">
        <v>11</v>
      </c>
      <c r="C924">
        <f>115095296875/10^6</f>
      </c>
      <c r="D924">
        <f>0</f>
      </c>
      <c r="E924">
        <f>754355286/10^6</f>
      </c>
      <c r="F924">
        <f>0</f>
      </c>
      <c r="G924">
        <f>255500153/10^6</f>
      </c>
      <c r="H924">
        <f>0</f>
      </c>
      <c r="I924">
        <f>-36397202/10^6</f>
      </c>
      <c r="J924">
        <f>0</f>
      </c>
    </row>
    <row r="925">
      <c r="A925" t="s">
        <v>934</v>
      </c>
      <c r="B925" t="s">
        <v>11</v>
      </c>
      <c r="C925">
        <f>115491976563/10^6</f>
      </c>
      <c r="D925">
        <f>0</f>
      </c>
      <c r="E925">
        <f>754047424/10^6</f>
      </c>
      <c r="F925">
        <f>0</f>
      </c>
      <c r="G925">
        <f>256040039/10^6</f>
      </c>
      <c r="H925">
        <f>0</f>
      </c>
      <c r="I925">
        <f>-36277485/10^6</f>
      </c>
      <c r="J925">
        <f>0</f>
      </c>
    </row>
    <row r="926">
      <c r="A926" t="s">
        <v>935</v>
      </c>
      <c r="B926" t="s">
        <v>11</v>
      </c>
      <c r="C926">
        <f>115936320313/10^6</f>
      </c>
      <c r="D926">
        <f>0</f>
      </c>
      <c r="E926">
        <f>753126343/10^6</f>
      </c>
      <c r="F926">
        <f>0</f>
      </c>
      <c r="G926">
        <f>256615417/10^6</f>
      </c>
      <c r="H926">
        <f>0</f>
      </c>
      <c r="I926">
        <f>-36118202/10^6</f>
      </c>
      <c r="J926">
        <f>0</f>
      </c>
    </row>
    <row r="927">
      <c r="A927" t="s">
        <v>936</v>
      </c>
      <c r="B927" t="s">
        <v>11</v>
      </c>
      <c r="C927">
        <f>116500132813/10^6</f>
      </c>
      <c r="D927">
        <f>0</f>
      </c>
      <c r="E927">
        <f>75130957/10^5</f>
      </c>
      <c r="F927">
        <f>0</f>
      </c>
      <c r="G927">
        <f>257435364/10^6</f>
      </c>
      <c r="H927">
        <f>0</f>
      </c>
      <c r="I927">
        <f>-35983559/10^6</f>
      </c>
      <c r="J927">
        <f>0</f>
      </c>
    </row>
    <row r="928">
      <c r="A928" t="s">
        <v>937</v>
      </c>
      <c r="B928" t="s">
        <v>11</v>
      </c>
      <c r="C928">
        <f>117210226563/10^6</f>
      </c>
      <c r="D928">
        <f>0</f>
      </c>
      <c r="E928">
        <f>748470337/10^6</f>
      </c>
      <c r="F928">
        <f>0</f>
      </c>
      <c r="G928">
        <f>258080536/10^6</f>
      </c>
      <c r="H928">
        <f>0</f>
      </c>
      <c r="I928">
        <f>-35801739/10^6</f>
      </c>
      <c r="J928">
        <f>0</f>
      </c>
    </row>
    <row r="929">
      <c r="A929" t="s">
        <v>938</v>
      </c>
      <c r="B929" t="s">
        <v>11</v>
      </c>
      <c r="C929">
        <f>118037515625/10^6</f>
      </c>
      <c r="D929">
        <f>0</f>
      </c>
      <c r="E929">
        <f>744664673/10^6</f>
      </c>
      <c r="F929">
        <f>0</f>
      </c>
      <c r="G929">
        <f>258647369/10^6</f>
      </c>
      <c r="H929">
        <f>0</f>
      </c>
      <c r="I929">
        <f>-35175678/10^6</f>
      </c>
      <c r="J929">
        <f>0</f>
      </c>
    </row>
    <row r="930">
      <c r="A930" t="s">
        <v>939</v>
      </c>
      <c r="B930" t="s">
        <v>11</v>
      </c>
      <c r="C930">
        <f>118953054688/10^6</f>
      </c>
      <c r="D930">
        <f>0</f>
      </c>
      <c r="E930">
        <f>74008252/10^5</f>
      </c>
      <c r="F930">
        <f>0</f>
      </c>
      <c r="G930">
        <f>259275421/10^6</f>
      </c>
      <c r="H930">
        <f>0</f>
      </c>
      <c r="I930">
        <f>-34495579/10^6</f>
      </c>
      <c r="J930">
        <f>0</f>
      </c>
    </row>
    <row r="931">
      <c r="A931" t="s">
        <v>940</v>
      </c>
      <c r="B931" t="s">
        <v>11</v>
      </c>
      <c r="C931">
        <f>119924992188/10^6</f>
      </c>
      <c r="D931">
        <f>0</f>
      </c>
      <c r="E931">
        <f>735125061/10^6</f>
      </c>
      <c r="F931">
        <f>0</f>
      </c>
      <c r="G931">
        <f>259720978/10^6</f>
      </c>
      <c r="H931">
        <f>0</f>
      </c>
      <c r="I931">
        <f>-33957504/10^6</f>
      </c>
      <c r="J931">
        <f>0</f>
      </c>
    </row>
    <row r="932">
      <c r="A932" t="s">
        <v>941</v>
      </c>
      <c r="B932" t="s">
        <v>11</v>
      </c>
      <c r="C932">
        <f>12090728125/10^5</f>
      </c>
      <c r="D932">
        <f>0</f>
      </c>
      <c r="E932">
        <f>730154968/10^6</f>
      </c>
      <c r="F932">
        <f>0</f>
      </c>
      <c r="G932">
        <f>260312653/10^6</f>
      </c>
      <c r="H932">
        <f>0</f>
      </c>
      <c r="I932">
        <f>-33195389/10^6</f>
      </c>
      <c r="J932">
        <f>0</f>
      </c>
    </row>
    <row r="933">
      <c r="A933" t="s">
        <v>942</v>
      </c>
      <c r="B933" t="s">
        <v>11</v>
      </c>
      <c r="C933">
        <f>121820226563/10^6</f>
      </c>
      <c r="D933">
        <f>0</f>
      </c>
      <c r="E933">
        <f>725152588/10^6</f>
      </c>
      <c r="F933">
        <f>0</f>
      </c>
      <c r="G933">
        <f>260746582/10^6</f>
      </c>
      <c r="H933">
        <f>0</f>
      </c>
      <c r="I933">
        <f>-32603527/10^6</f>
      </c>
      <c r="J933">
        <f>0</f>
      </c>
    </row>
    <row r="934">
      <c r="A934" t="s">
        <v>943</v>
      </c>
      <c r="B934" t="s">
        <v>11</v>
      </c>
      <c r="C934">
        <f>122521242188/10^6</f>
      </c>
      <c r="D934">
        <f>0</f>
      </c>
      <c r="E934">
        <f>720479614/10^6</f>
      </c>
      <c r="F934">
        <f>0</f>
      </c>
      <c r="G934">
        <f>26072644/10^5</f>
      </c>
      <c r="H934">
        <f>0</f>
      </c>
      <c r="I934">
        <f>-32010292/10^6</f>
      </c>
      <c r="J934">
        <f>0</f>
      </c>
    </row>
    <row r="935">
      <c r="A935" t="s">
        <v>944</v>
      </c>
      <c r="B935" t="s">
        <v>11</v>
      </c>
      <c r="C935">
        <f>122918859375/10^6</f>
      </c>
      <c r="D935">
        <f>0</f>
      </c>
      <c r="E935">
        <f>717385498/10^6</f>
      </c>
      <c r="F935">
        <f>0</f>
      </c>
      <c r="G935">
        <f>260711761/10^6</f>
      </c>
      <c r="H935">
        <f>0</f>
      </c>
      <c r="I935">
        <f>-31256821/10^6</f>
      </c>
      <c r="J935">
        <f>0</f>
      </c>
    </row>
    <row r="936">
      <c r="A936" t="s">
        <v>945</v>
      </c>
      <c r="B936" t="s">
        <v>11</v>
      </c>
      <c r="C936">
        <f>123069914063/10^6</f>
      </c>
      <c r="D936">
        <f>0</f>
      </c>
      <c r="E936">
        <f>716116028/10^6</f>
      </c>
      <c r="F936">
        <f>0</f>
      </c>
      <c r="G936">
        <f>260661713/10^6</f>
      </c>
      <c r="H936">
        <f>0</f>
      </c>
      <c r="I936">
        <f>-3108256/10^5</f>
      </c>
      <c r="J936">
        <f>0</f>
      </c>
    </row>
    <row r="937">
      <c r="A937" t="s">
        <v>946</v>
      </c>
      <c r="B937" t="s">
        <v>11</v>
      </c>
      <c r="C937">
        <f>123091234375/10^6</f>
      </c>
      <c r="D937">
        <f>0</f>
      </c>
      <c r="E937">
        <f>715354126/10^6</f>
      </c>
      <c r="F937">
        <f>0</f>
      </c>
      <c r="G937">
        <f>260503418/10^6</f>
      </c>
      <c r="H937">
        <f>0</f>
      </c>
      <c r="I937">
        <f>-31235291/10^6</f>
      </c>
      <c r="J937">
        <f>0</f>
      </c>
    </row>
    <row r="938">
      <c r="A938" t="s">
        <v>947</v>
      </c>
      <c r="B938" t="s">
        <v>11</v>
      </c>
      <c r="C938">
        <f>123068515625/10^6</f>
      </c>
      <c r="D938">
        <f>0</f>
      </c>
      <c r="E938">
        <f>714512146/10^6</f>
      </c>
      <c r="F938">
        <f>0</f>
      </c>
      <c r="G938">
        <f>26036615/10^5</f>
      </c>
      <c r="H938">
        <f>0</f>
      </c>
      <c r="I938">
        <f>-3127799/10^5</f>
      </c>
      <c r="J938">
        <f>0</f>
      </c>
    </row>
    <row r="939">
      <c r="A939" t="s">
        <v>948</v>
      </c>
      <c r="B939" t="s">
        <v>11</v>
      </c>
      <c r="C939">
        <f>123024132813/10^6</f>
      </c>
      <c r="D939">
        <f>0</f>
      </c>
      <c r="E939">
        <f>714037415/10^6</f>
      </c>
      <c r="F939">
        <f>0</f>
      </c>
      <c r="G939">
        <f>260076233/10^6</f>
      </c>
      <c r="H939">
        <f>0</f>
      </c>
      <c r="I939">
        <f>-31491867/10^6</f>
      </c>
      <c r="J939">
        <f>0</f>
      </c>
    </row>
    <row r="940">
      <c r="A940" t="s">
        <v>949</v>
      </c>
      <c r="B940" t="s">
        <v>11</v>
      </c>
      <c r="C940">
        <f>122902632813/10^6</f>
      </c>
      <c r="D940">
        <f>0</f>
      </c>
      <c r="E940">
        <f>714117004/10^6</f>
      </c>
      <c r="F940">
        <f>0</f>
      </c>
      <c r="G940">
        <f>259759521/10^6</f>
      </c>
      <c r="H940">
        <f>0</f>
      </c>
      <c r="I940">
        <f>-31748213/10^6</f>
      </c>
      <c r="J940">
        <f>0</f>
      </c>
    </row>
    <row r="941">
      <c r="A941" t="s">
        <v>950</v>
      </c>
      <c r="B941" t="s">
        <v>11</v>
      </c>
      <c r="C941">
        <f>12266371875/10^5</f>
      </c>
      <c r="D941">
        <f>0</f>
      </c>
      <c r="E941">
        <f>71477002/10^5</f>
      </c>
      <c r="F941">
        <f>0</f>
      </c>
      <c r="G941">
        <f>259488586/10^6</f>
      </c>
      <c r="H941">
        <f>0</f>
      </c>
      <c r="I941">
        <f>-31997404/10^6</f>
      </c>
      <c r="J941">
        <f>0</f>
      </c>
    </row>
    <row r="942">
      <c r="A942" t="s">
        <v>951</v>
      </c>
      <c r="B942" t="s">
        <v>11</v>
      </c>
      <c r="C942">
        <f>12235103125/10^5</f>
      </c>
      <c r="D942">
        <f>0</f>
      </c>
      <c r="E942">
        <f>715917114/10^6</f>
      </c>
      <c r="F942">
        <f>0</f>
      </c>
      <c r="G942">
        <f>259105621/10^6</f>
      </c>
      <c r="H942">
        <f>0</f>
      </c>
      <c r="I942">
        <f>-3234103/10^5</f>
      </c>
      <c r="J942">
        <f>0</f>
      </c>
    </row>
    <row r="943">
      <c r="A943" t="s">
        <v>952</v>
      </c>
      <c r="B943" t="s">
        <v>11</v>
      </c>
      <c r="C943">
        <f>121987171875/10^6</f>
      </c>
      <c r="D943">
        <f>0</f>
      </c>
      <c r="E943">
        <f>717447449/10^6</f>
      </c>
      <c r="F943">
        <f>0</f>
      </c>
      <c r="G943">
        <f>258794312/10^6</f>
      </c>
      <c r="H943">
        <f>0</f>
      </c>
      <c r="I943">
        <f>-32652687/10^6</f>
      </c>
      <c r="J943">
        <f>0</f>
      </c>
    </row>
    <row r="944">
      <c r="A944" t="s">
        <v>953</v>
      </c>
      <c r="B944" t="s">
        <v>11</v>
      </c>
      <c r="C944">
        <f>121549570313/10^6</f>
      </c>
      <c r="D944">
        <f>0</f>
      </c>
      <c r="E944">
        <f>719459778/10^6</f>
      </c>
      <c r="F944">
        <f>0</f>
      </c>
      <c r="G944">
        <f>258489868/10^6</f>
      </c>
      <c r="H944">
        <f>0</f>
      </c>
      <c r="I944">
        <f>-33112762/10^6</f>
      </c>
      <c r="J944">
        <f>0</f>
      </c>
    </row>
    <row r="945">
      <c r="A945" t="s">
        <v>954</v>
      </c>
      <c r="B945" t="s">
        <v>11</v>
      </c>
      <c r="C945">
        <f>121038257813/10^6</f>
      </c>
      <c r="D945">
        <f>0</f>
      </c>
      <c r="E945">
        <f>721861511/10^6</f>
      </c>
      <c r="F945">
        <f>0</f>
      </c>
      <c r="G945">
        <f>258147308/10^6</f>
      </c>
      <c r="H945">
        <f>0</f>
      </c>
      <c r="I945">
        <f>-33596413/10^6</f>
      </c>
      <c r="J945">
        <f>0</f>
      </c>
    </row>
    <row r="946">
      <c r="A946" t="s">
        <v>955</v>
      </c>
      <c r="B946" t="s">
        <v>11</v>
      </c>
      <c r="C946">
        <f>120467859375/10^6</f>
      </c>
      <c r="D946">
        <f>0</f>
      </c>
      <c r="E946">
        <f>724616821/10^6</f>
      </c>
      <c r="F946">
        <f>0</f>
      </c>
      <c r="G946">
        <f>257905029/10^6</f>
      </c>
      <c r="H946">
        <f>0</f>
      </c>
      <c r="I946">
        <f>-3409185/10^5</f>
      </c>
      <c r="J946">
        <f>0</f>
      </c>
    </row>
    <row r="947">
      <c r="A947" t="s">
        <v>956</v>
      </c>
      <c r="B947" t="s">
        <v>11</v>
      </c>
      <c r="C947">
        <f>11986484375/10^5</f>
      </c>
      <c r="D947">
        <f>0</f>
      </c>
      <c r="E947">
        <f>727833435/10^6</f>
      </c>
      <c r="F947">
        <f>0</f>
      </c>
      <c r="G947">
        <f>257642761/10^6</f>
      </c>
      <c r="H947">
        <f>0</f>
      </c>
      <c r="I947">
        <f>-34772774/10^6</f>
      </c>
      <c r="J947">
        <f>0</f>
      </c>
    </row>
    <row r="948">
      <c r="A948" t="s">
        <v>957</v>
      </c>
      <c r="B948" t="s">
        <v>11</v>
      </c>
      <c r="C948">
        <f>119235382813/10^6</f>
      </c>
      <c r="D948">
        <f>0</f>
      </c>
      <c r="E948">
        <f>731390991/10^6</f>
      </c>
      <c r="F948">
        <f>0</f>
      </c>
      <c r="G948">
        <f>257406372/10^6</f>
      </c>
      <c r="H948">
        <f>0</f>
      </c>
      <c r="I948">
        <f>-35354202/10^6</f>
      </c>
      <c r="J948">
        <f>0</f>
      </c>
    </row>
    <row r="949">
      <c r="A949" t="s">
        <v>958</v>
      </c>
      <c r="B949" t="s">
        <v>11</v>
      </c>
      <c r="C949">
        <f>118539953125/10^6</f>
      </c>
      <c r="D949">
        <f>0</f>
      </c>
      <c r="E949">
        <f>735227234/10^6</f>
      </c>
      <c r="F949">
        <f>0</f>
      </c>
      <c r="G949">
        <f>257193237/10^6</f>
      </c>
      <c r="H949">
        <f>0</f>
      </c>
      <c r="I949">
        <f>-36130501/10^6</f>
      </c>
      <c r="J949">
        <f>0</f>
      </c>
    </row>
    <row r="950">
      <c r="A950" t="s">
        <v>959</v>
      </c>
      <c r="B950" t="s">
        <v>11</v>
      </c>
      <c r="C950">
        <f>117784820313/10^6</f>
      </c>
      <c r="D950">
        <f>0</f>
      </c>
      <c r="E950">
        <f>73940625/10^5</f>
      </c>
      <c r="F950">
        <f>0</f>
      </c>
      <c r="G950">
        <f>256979034/10^6</f>
      </c>
      <c r="H950">
        <f>0</f>
      </c>
      <c r="I950">
        <f>-36987373/10^6</f>
      </c>
      <c r="J950">
        <f>0</f>
      </c>
    </row>
    <row r="951">
      <c r="A951" t="s">
        <v>960</v>
      </c>
      <c r="B951" t="s">
        <v>11</v>
      </c>
      <c r="C951">
        <f>117025835938/10^6</f>
      </c>
      <c r="D951">
        <f>0</f>
      </c>
      <c r="E951">
        <f>743562073/10^6</f>
      </c>
      <c r="F951">
        <f>0</f>
      </c>
      <c r="G951">
        <f>256744415/10^6</f>
      </c>
      <c r="H951">
        <f>0</f>
      </c>
      <c r="I951">
        <f>-37658432/10^6</f>
      </c>
      <c r="J951">
        <f>0</f>
      </c>
    </row>
    <row r="952">
      <c r="A952" t="s">
        <v>961</v>
      </c>
      <c r="B952" t="s">
        <v>11</v>
      </c>
      <c r="C952">
        <f>116275859375/10^6</f>
      </c>
      <c r="D952">
        <f>0</f>
      </c>
      <c r="E952">
        <f>747684021/10^6</f>
      </c>
      <c r="F952">
        <f>0</f>
      </c>
      <c r="G952">
        <f>256415833/10^6</f>
      </c>
      <c r="H952">
        <f>0</f>
      </c>
      <c r="I952">
        <f>-38523659/10^6</f>
      </c>
      <c r="J952">
        <f>0</f>
      </c>
    </row>
    <row r="953">
      <c r="A953" t="s">
        <v>962</v>
      </c>
      <c r="B953" t="s">
        <v>11</v>
      </c>
      <c r="C953">
        <f>115503367188/10^6</f>
      </c>
      <c r="D953">
        <f>0</f>
      </c>
      <c r="E953">
        <f>75315271/10^5</f>
      </c>
      <c r="F953">
        <f>0</f>
      </c>
      <c r="G953">
        <f>256121216/10^6</f>
      </c>
      <c r="H953">
        <f>0</f>
      </c>
      <c r="I953">
        <f>-39134644/10^6</f>
      </c>
      <c r="J953">
        <f>0</f>
      </c>
    </row>
    <row r="954">
      <c r="A954" t="s">
        <v>963</v>
      </c>
      <c r="B954" t="s">
        <v>11</v>
      </c>
      <c r="C954">
        <f>114752679688/10^6</f>
      </c>
      <c r="D954">
        <f>0</f>
      </c>
      <c r="E954">
        <f>757009644/10^6</f>
      </c>
      <c r="F954">
        <f>0</f>
      </c>
      <c r="G954">
        <f>255861649/10^6</f>
      </c>
      <c r="H954">
        <f>0</f>
      </c>
      <c r="I954">
        <f>-39924904/10^6</f>
      </c>
      <c r="J954">
        <f>0</f>
      </c>
    </row>
    <row r="955">
      <c r="A955" t="s">
        <v>964</v>
      </c>
      <c r="B955" t="s">
        <v>11</v>
      </c>
      <c r="C955">
        <f>114235171875/10^6</f>
      </c>
      <c r="D955">
        <f>0</f>
      </c>
      <c r="E955">
        <f>754659912/10^6</f>
      </c>
      <c r="F955">
        <f>0</f>
      </c>
      <c r="G955">
        <f>255662308/10^6</f>
      </c>
      <c r="H955">
        <f>0</f>
      </c>
      <c r="I955">
        <f>-41138969/10^6</f>
      </c>
      <c r="J955">
        <f>0</f>
      </c>
    </row>
    <row r="956">
      <c r="A956" t="s">
        <v>965</v>
      </c>
      <c r="B956" t="s">
        <v>11</v>
      </c>
      <c r="C956">
        <f>1139181875/10^4</f>
      </c>
      <c r="D956">
        <f>0</f>
      </c>
      <c r="E956">
        <f>753943848/10^6</f>
      </c>
      <c r="F956">
        <f>0</f>
      </c>
      <c r="G956">
        <f>255151291/10^6</f>
      </c>
      <c r="H956">
        <f>0</f>
      </c>
      <c r="I956">
        <f>-4055954/10^5</f>
      </c>
      <c r="J956">
        <f>0</f>
      </c>
    </row>
    <row r="957">
      <c r="A957" t="s">
        <v>966</v>
      </c>
      <c r="B957" t="s">
        <v>11</v>
      </c>
      <c r="C957">
        <f>113535742188/10^6</f>
      </c>
      <c r="D957">
        <f>0</f>
      </c>
      <c r="E957">
        <f>758268738/10^6</f>
      </c>
      <c r="F957">
        <f>0</f>
      </c>
      <c r="G957">
        <f>254166214/10^6</f>
      </c>
      <c r="H957">
        <f>0</f>
      </c>
      <c r="I957">
        <f>-38668972/10^6</f>
      </c>
      <c r="J957">
        <f>0</f>
      </c>
    </row>
    <row r="958">
      <c r="A958" t="s">
        <v>967</v>
      </c>
      <c r="B958" t="s">
        <v>11</v>
      </c>
      <c r="C958">
        <f>113481671875/10^6</f>
      </c>
      <c r="D958">
        <f>0</f>
      </c>
      <c r="E958">
        <f>754741455/10^6</f>
      </c>
      <c r="F958">
        <f>0</f>
      </c>
      <c r="G958">
        <f>25357959/10^5</f>
      </c>
      <c r="H958">
        <f>0</f>
      </c>
      <c r="I958">
        <f>-37491009/10^6</f>
      </c>
      <c r="J958">
        <f>0</f>
      </c>
    </row>
    <row r="959">
      <c r="A959" t="s">
        <v>968</v>
      </c>
      <c r="B959" t="s">
        <v>11</v>
      </c>
      <c r="C959">
        <f>114181429688/10^6</f>
      </c>
      <c r="D959">
        <f>0</f>
      </c>
      <c r="E959">
        <f>745631348/10^6</f>
      </c>
      <c r="F959">
        <f>0</f>
      </c>
      <c r="G959">
        <f>252829697/10^6</f>
      </c>
      <c r="H959">
        <f>0</f>
      </c>
      <c r="I959">
        <f>-34947624/10^6</f>
      </c>
      <c r="J959">
        <f>0</f>
      </c>
    </row>
    <row r="960">
      <c r="A960" t="s">
        <v>969</v>
      </c>
      <c r="B960" t="s">
        <v>11</v>
      </c>
      <c r="C960">
        <f>11505240625/10^5</f>
      </c>
      <c r="D960">
        <f>0</f>
      </c>
      <c r="E960">
        <f>744477783/10^6</f>
      </c>
      <c r="F960">
        <f>0</f>
      </c>
      <c r="G960">
        <f>251522385/10^6</f>
      </c>
      <c r="H960">
        <f>0</f>
      </c>
      <c r="I960">
        <f>-31446602/10^6</f>
      </c>
      <c r="J960">
        <f>0</f>
      </c>
    </row>
    <row r="961">
      <c r="A961" t="s">
        <v>970</v>
      </c>
      <c r="B961" t="s">
        <v>11</v>
      </c>
      <c r="C961">
        <f>115638835938/10^6</f>
      </c>
      <c r="D961">
        <f>0</f>
      </c>
      <c r="E961">
        <f>747756042/10^6</f>
      </c>
      <c r="F961">
        <f>0</f>
      </c>
      <c r="G961">
        <f>252200424/10^6</f>
      </c>
      <c r="H961">
        <f>0</f>
      </c>
      <c r="I961">
        <f>-31047304/10^6</f>
      </c>
      <c r="J961">
        <f>0</f>
      </c>
    </row>
    <row r="962">
      <c r="A962" t="s">
        <v>971</v>
      </c>
      <c r="B962" t="s">
        <v>11</v>
      </c>
      <c r="C962">
        <f>116198796875/10^6</f>
      </c>
      <c r="D962">
        <f>0</f>
      </c>
      <c r="E962">
        <f>748026367/10^6</f>
      </c>
      <c r="F962">
        <f>0</f>
      </c>
      <c r="G962">
        <f>254916321/10^6</f>
      </c>
      <c r="H962">
        <f>0</f>
      </c>
      <c r="I962">
        <f>-32824905/10^6</f>
      </c>
      <c r="J962">
        <f>0</f>
      </c>
    </row>
    <row r="963">
      <c r="A963" t="s">
        <v>972</v>
      </c>
      <c r="B963" t="s">
        <v>11</v>
      </c>
      <c r="C963">
        <f>116828757813/10^6</f>
      </c>
      <c r="D963">
        <f>0</f>
      </c>
      <c r="E963">
        <f>74648175/10^5</f>
      </c>
      <c r="F963">
        <f>0</f>
      </c>
      <c r="G963">
        <f>256537933/10^6</f>
      </c>
      <c r="H963">
        <f>0</f>
      </c>
      <c r="I963">
        <f>-33505184/10^6</f>
      </c>
      <c r="J963">
        <f>0</f>
      </c>
    </row>
    <row r="964">
      <c r="A964" t="s">
        <v>973</v>
      </c>
      <c r="B964" t="s">
        <v>11</v>
      </c>
      <c r="C964">
        <f>11740234375/10^5</f>
      </c>
      <c r="D964">
        <f>0</f>
      </c>
      <c r="E964">
        <f>744678223/10^6</f>
      </c>
      <c r="F964">
        <f>0</f>
      </c>
      <c r="G964">
        <f>257154602/10^6</f>
      </c>
      <c r="H964">
        <f>0</f>
      </c>
      <c r="I964">
        <f>-33170906/10^6</f>
      </c>
      <c r="J964">
        <f>0</f>
      </c>
    </row>
    <row r="965">
      <c r="A965" t="s">
        <v>974</v>
      </c>
      <c r="B965" t="s">
        <v>11</v>
      </c>
      <c r="C965">
        <f>117932257813/10^6</f>
      </c>
      <c r="D965">
        <f>0</f>
      </c>
      <c r="E965">
        <f>742388184/10^6</f>
      </c>
      <c r="F965">
        <f>0</f>
      </c>
      <c r="G965">
        <f>25799234/10^5</f>
      </c>
      <c r="H965">
        <f>0</f>
      </c>
      <c r="I965">
        <f>-32992874/10^6</f>
      </c>
      <c r="J965">
        <f>0</f>
      </c>
    </row>
    <row r="966">
      <c r="A966" t="s">
        <v>975</v>
      </c>
      <c r="B966" t="s">
        <v>11</v>
      </c>
      <c r="C966">
        <f>118512445313/10^6</f>
      </c>
      <c r="D966">
        <f>0</f>
      </c>
      <c r="E966">
        <f>739922058/10^6</f>
      </c>
      <c r="F966">
        <f>0</f>
      </c>
      <c r="G966">
        <f>25857251/10^5</f>
      </c>
      <c r="H966">
        <f>0</f>
      </c>
      <c r="I966">
        <f>-32844604/10^6</f>
      </c>
      <c r="J966">
        <f>0</f>
      </c>
    </row>
    <row r="967">
      <c r="A967" t="s">
        <v>976</v>
      </c>
      <c r="B967" t="s">
        <v>11</v>
      </c>
      <c r="C967">
        <f>119134320313/10^6</f>
      </c>
      <c r="D967">
        <f>0</f>
      </c>
      <c r="E967">
        <f>737541016/10^6</f>
      </c>
      <c r="F967">
        <f>0</f>
      </c>
      <c r="G967">
        <f>259006256/10^6</f>
      </c>
      <c r="H967">
        <f>0</f>
      </c>
      <c r="I967">
        <f>-32436874/10^6</f>
      </c>
      <c r="J967">
        <f>0</f>
      </c>
    </row>
    <row r="968">
      <c r="A968" t="s">
        <v>977</v>
      </c>
      <c r="B968" t="s">
        <v>11</v>
      </c>
      <c r="C968">
        <f>119727835938/10^6</f>
      </c>
      <c r="D968">
        <f>0</f>
      </c>
      <c r="E968">
        <f>735125183/10^6</f>
      </c>
      <c r="F968">
        <f>0</f>
      </c>
      <c r="G968">
        <f>259407471/10^6</f>
      </c>
      <c r="H968">
        <f>0</f>
      </c>
      <c r="I968">
        <f>-32142036/10^6</f>
      </c>
      <c r="J968">
        <f>0</f>
      </c>
    </row>
    <row r="969">
      <c r="A969" t="s">
        <v>978</v>
      </c>
      <c r="B969" t="s">
        <v>11</v>
      </c>
      <c r="C969">
        <f>120321976563/10^6</f>
      </c>
      <c r="D969">
        <f>0</f>
      </c>
      <c r="E969">
        <f>732605713/10^6</f>
      </c>
      <c r="F969">
        <f>0</f>
      </c>
      <c r="G969">
        <f>259811584/10^6</f>
      </c>
      <c r="H969">
        <f>0</f>
      </c>
      <c r="I969">
        <f>-32020157/10^6</f>
      </c>
      <c r="J969">
        <f>0</f>
      </c>
    </row>
    <row r="970">
      <c r="A970" t="s">
        <v>979</v>
      </c>
      <c r="B970" t="s">
        <v>11</v>
      </c>
      <c r="C970">
        <f>120924546875/10^6</f>
      </c>
      <c r="D970">
        <f>0</f>
      </c>
      <c r="E970">
        <f>729619141/10^6</f>
      </c>
      <c r="F970">
        <f>0</f>
      </c>
      <c r="G970">
        <f>260294312/10^6</f>
      </c>
      <c r="H970">
        <f>0</f>
      </c>
      <c r="I970">
        <f>-31902981/10^6</f>
      </c>
      <c r="J970">
        <f>0</f>
      </c>
    </row>
    <row r="971">
      <c r="A971" t="s">
        <v>980</v>
      </c>
      <c r="B971" t="s">
        <v>11</v>
      </c>
      <c r="C971">
        <f>121458476563/10^6</f>
      </c>
      <c r="D971">
        <f>0</f>
      </c>
      <c r="E971">
        <f>725974976/10^6</f>
      </c>
      <c r="F971">
        <f>0</f>
      </c>
      <c r="G971">
        <f>260416534/10^6</f>
      </c>
      <c r="H971">
        <f>0</f>
      </c>
      <c r="I971">
        <f>-31746519/10^6</f>
      </c>
      <c r="J971">
        <f>0</f>
      </c>
    </row>
    <row r="972">
      <c r="A972" t="s">
        <v>981</v>
      </c>
      <c r="B972" t="s">
        <v>11</v>
      </c>
      <c r="C972">
        <f>121869445313/10^6</f>
      </c>
      <c r="D972">
        <f>0</f>
      </c>
      <c r="E972">
        <f>72258783/10^5</f>
      </c>
      <c r="F972">
        <f>0</f>
      </c>
      <c r="G972">
        <f>260375336/10^6</f>
      </c>
      <c r="H972">
        <f>0</f>
      </c>
      <c r="I972">
        <f>-31434935/10^6</f>
      </c>
      <c r="J972">
        <f>0</f>
      </c>
    </row>
    <row r="973">
      <c r="A973" t="s">
        <v>982</v>
      </c>
      <c r="B973" t="s">
        <v>11</v>
      </c>
      <c r="C973">
        <f>122101695313/10^6</f>
      </c>
      <c r="D973">
        <f>0</f>
      </c>
      <c r="E973">
        <f>720415771/10^6</f>
      </c>
      <c r="F973">
        <f>0</f>
      </c>
      <c r="G973">
        <f>260368561/10^6</f>
      </c>
      <c r="H973">
        <f>0</f>
      </c>
      <c r="I973">
        <f>-31252192/10^6</f>
      </c>
      <c r="J973">
        <f>0</f>
      </c>
    </row>
    <row r="974">
      <c r="A974" t="s">
        <v>983</v>
      </c>
      <c r="B974" t="s">
        <v>11</v>
      </c>
      <c r="C974">
        <f>122146960938/10^6</f>
      </c>
      <c r="D974">
        <f>0</f>
      </c>
      <c r="E974">
        <f>719421509/10^6</f>
      </c>
      <c r="F974">
        <f>0</f>
      </c>
      <c r="G974">
        <f>260099213/10^6</f>
      </c>
      <c r="H974">
        <f>0</f>
      </c>
      <c r="I974">
        <f>-31416086/10^6</f>
      </c>
      <c r="J974">
        <f>0</f>
      </c>
    </row>
    <row r="975">
      <c r="A975" t="s">
        <v>984</v>
      </c>
      <c r="B975" t="s">
        <v>11</v>
      </c>
      <c r="C975">
        <f>12209028125/10^5</f>
      </c>
      <c r="D975">
        <f>0</f>
      </c>
      <c r="E975">
        <f>71908783/10^5</f>
      </c>
      <c r="F975">
        <f>0</f>
      </c>
      <c r="G975">
        <f>259789581/10^6</f>
      </c>
      <c r="H975">
        <f>0</f>
      </c>
      <c r="I975">
        <f>-31580172/10^6</f>
      </c>
      <c r="J975">
        <f>0</f>
      </c>
    </row>
    <row r="976">
      <c r="A976" t="s">
        <v>985</v>
      </c>
      <c r="B976" t="s">
        <v>11</v>
      </c>
      <c r="C976">
        <f>121977578125/10^6</f>
      </c>
      <c r="D976">
        <f>0</f>
      </c>
      <c r="E976">
        <f>718907166/10^6</f>
      </c>
      <c r="F976">
        <f>0</f>
      </c>
      <c r="G976">
        <f>259549255/10^6</f>
      </c>
      <c r="H976">
        <f>0</f>
      </c>
      <c r="I976">
        <f>-31753653/10^6</f>
      </c>
      <c r="J976">
        <f>0</f>
      </c>
    </row>
    <row r="977">
      <c r="A977" t="s">
        <v>986</v>
      </c>
      <c r="B977" t="s">
        <v>11</v>
      </c>
      <c r="C977">
        <f>1217871875/10^4</f>
      </c>
      <c r="D977">
        <f>0</f>
      </c>
      <c r="E977">
        <f>719051636/10^6</f>
      </c>
      <c r="F977">
        <f>0</f>
      </c>
      <c r="G977">
        <f>259187469/10^6</f>
      </c>
      <c r="H977">
        <f>0</f>
      </c>
      <c r="I977">
        <f>-32037281/10^6</f>
      </c>
      <c r="J977">
        <f>0</f>
      </c>
    </row>
    <row r="978">
      <c r="A978" t="s">
        <v>987</v>
      </c>
      <c r="B978" t="s">
        <v>11</v>
      </c>
      <c r="C978">
        <f>121531898438/10^6</f>
      </c>
      <c r="D978">
        <f>0</f>
      </c>
      <c r="E978">
        <f>719969604/10^6</f>
      </c>
      <c r="F978">
        <f>0</f>
      </c>
      <c r="G978">
        <f>258899902/10^6</f>
      </c>
      <c r="H978">
        <f>0</f>
      </c>
      <c r="I978">
        <f>-32286201/10^6</f>
      </c>
      <c r="J978">
        <f>0</f>
      </c>
    </row>
    <row r="979">
      <c r="A979" t="s">
        <v>988</v>
      </c>
      <c r="B979" t="s">
        <v>11</v>
      </c>
      <c r="C979">
        <f>12125053125/10^5</f>
      </c>
      <c r="D979">
        <f>0</f>
      </c>
      <c r="E979">
        <f>721395325/10^6</f>
      </c>
      <c r="F979">
        <f>0</f>
      </c>
      <c r="G979">
        <f>258662323/10^6</f>
      </c>
      <c r="H979">
        <f>0</f>
      </c>
      <c r="I979">
        <f>-32682613/10^6</f>
      </c>
      <c r="J979">
        <f>0</f>
      </c>
    </row>
    <row r="980">
      <c r="A980" t="s">
        <v>989</v>
      </c>
      <c r="B980" t="s">
        <v>11</v>
      </c>
      <c r="C980">
        <f>120931671875/10^6</f>
      </c>
      <c r="D980">
        <f>0</f>
      </c>
      <c r="E980">
        <f>723054688/10^6</f>
      </c>
      <c r="F980">
        <f>0</f>
      </c>
      <c r="G980">
        <f>258391663/10^6</f>
      </c>
      <c r="H980">
        <f>0</f>
      </c>
      <c r="I980">
        <f>-33114388/10^6</f>
      </c>
      <c r="J980">
        <f>0</f>
      </c>
    </row>
    <row r="981">
      <c r="A981" t="s">
        <v>990</v>
      </c>
      <c r="B981" t="s">
        <v>11</v>
      </c>
      <c r="C981">
        <f>120556742188/10^6</f>
      </c>
      <c r="D981">
        <f>0</f>
      </c>
      <c r="E981">
        <f>724942383/10^6</f>
      </c>
      <c r="F981">
        <f>0</f>
      </c>
      <c r="G981">
        <f>258198914/10^6</f>
      </c>
      <c r="H981">
        <f>0</f>
      </c>
      <c r="I981">
        <f>-33493881/10^6</f>
      </c>
      <c r="J981">
        <f>0</f>
      </c>
    </row>
    <row r="982">
      <c r="A982" t="s">
        <v>991</v>
      </c>
      <c r="B982" t="s">
        <v>11</v>
      </c>
      <c r="C982">
        <f>120142054688/10^6</f>
      </c>
      <c r="D982">
        <f>0</f>
      </c>
      <c r="E982">
        <f>726966614/10^6</f>
      </c>
      <c r="F982">
        <f>0</f>
      </c>
      <c r="G982">
        <f>258017395/10^6</f>
      </c>
      <c r="H982">
        <f>0</f>
      </c>
      <c r="I982">
        <f>-33983994/10^6</f>
      </c>
      <c r="J982">
        <f>0</f>
      </c>
    </row>
    <row r="983">
      <c r="A983" t="s">
        <v>992</v>
      </c>
      <c r="B983" t="s">
        <v>11</v>
      </c>
      <c r="C983">
        <f>119691023438/10^6</f>
      </c>
      <c r="D983">
        <f>0</f>
      </c>
      <c r="E983">
        <f>729245728/10^6</f>
      </c>
      <c r="F983">
        <f>0</f>
      </c>
      <c r="G983">
        <f>257842499/10^6</f>
      </c>
      <c r="H983">
        <f>0</f>
      </c>
      <c r="I983">
        <f>-34414333/10^6</f>
      </c>
      <c r="J983">
        <f>0</f>
      </c>
    </row>
    <row r="984">
      <c r="A984" t="s">
        <v>993</v>
      </c>
      <c r="B984" t="s">
        <v>11</v>
      </c>
      <c r="C984">
        <f>119198171875/10^6</f>
      </c>
      <c r="D984">
        <f>0</f>
      </c>
      <c r="E984">
        <f>731806274/10^6</f>
      </c>
      <c r="F984">
        <f>0</f>
      </c>
      <c r="G984">
        <f>257606445/10^6</f>
      </c>
      <c r="H984">
        <f>0</f>
      </c>
      <c r="I984">
        <f>-34954723/10^6</f>
      </c>
      <c r="J984">
        <f>0</f>
      </c>
    </row>
    <row r="985">
      <c r="A985" t="s">
        <v>994</v>
      </c>
      <c r="B985" t="s">
        <v>11</v>
      </c>
      <c r="C985">
        <f>1186723125/10^4</f>
      </c>
      <c r="D985">
        <f>0</f>
      </c>
      <c r="E985">
        <f>734554321/10^6</f>
      </c>
      <c r="F985">
        <f>0</f>
      </c>
      <c r="G985">
        <f>257349121/10^6</f>
      </c>
      <c r="H985">
        <f>0</f>
      </c>
      <c r="I985">
        <f>-3554052/10^5</f>
      </c>
      <c r="J985">
        <f>0</f>
      </c>
    </row>
    <row r="986">
      <c r="A986" t="s">
        <v>995</v>
      </c>
      <c r="B986" t="s">
        <v>11</v>
      </c>
      <c r="C986">
        <f>118108195313/10^6</f>
      </c>
      <c r="D986">
        <f>0</f>
      </c>
      <c r="E986">
        <f>737701355/10^6</f>
      </c>
      <c r="F986">
        <f>0</f>
      </c>
      <c r="G986">
        <f>2571521/10^4</f>
      </c>
      <c r="H986">
        <f>0</f>
      </c>
      <c r="I986">
        <f>-36071613/10^6</f>
      </c>
      <c r="J986">
        <f>0</f>
      </c>
    </row>
    <row r="987">
      <c r="A987" t="s">
        <v>996</v>
      </c>
      <c r="B987" t="s">
        <v>11</v>
      </c>
      <c r="C987">
        <f>11749203125/10^5</f>
      </c>
      <c r="D987">
        <f>0</f>
      </c>
      <c r="E987">
        <f>741263794/10^6</f>
      </c>
      <c r="F987">
        <f>0</f>
      </c>
      <c r="G987">
        <f>256923096/10^6</f>
      </c>
      <c r="H987">
        <f>0</f>
      </c>
      <c r="I987">
        <f>-36709717/10^6</f>
      </c>
      <c r="J987">
        <f>0</f>
      </c>
    </row>
    <row r="988">
      <c r="A988" t="s">
        <v>997</v>
      </c>
      <c r="B988" t="s">
        <v>11</v>
      </c>
      <c r="C988">
        <f>116865710938/10^6</f>
      </c>
      <c r="D988">
        <f>0</f>
      </c>
      <c r="E988">
        <f>744811951/10^6</f>
      </c>
      <c r="F988">
        <f>0</f>
      </c>
      <c r="G988">
        <f>256717896/10^6</f>
      </c>
      <c r="H988">
        <f>0</f>
      </c>
      <c r="I988">
        <f>-372836/10^4</f>
      </c>
      <c r="J988">
        <f>0</f>
      </c>
    </row>
    <row r="989">
      <c r="A989" t="s">
        <v>998</v>
      </c>
      <c r="B989" t="s">
        <v>11</v>
      </c>
      <c r="C989">
        <f>11627771875/10^5</f>
      </c>
      <c r="D989">
        <f>0</f>
      </c>
      <c r="E989">
        <f>74812439/10^5</f>
      </c>
      <c r="F989">
        <f>0</f>
      </c>
      <c r="G989">
        <f>256475342/10^6</f>
      </c>
      <c r="H989">
        <f>0</f>
      </c>
      <c r="I989">
        <f>-38200806/10^6</f>
      </c>
      <c r="J989">
        <f>0</f>
      </c>
    </row>
    <row r="990">
      <c r="A990" t="s">
        <v>999</v>
      </c>
      <c r="B990" t="s">
        <v>11</v>
      </c>
      <c r="C990">
        <f>115689289063/10^6</f>
      </c>
      <c r="D990">
        <f>0</f>
      </c>
      <c r="E990">
        <f>751660889/10^6</f>
      </c>
      <c r="F990">
        <f>0</f>
      </c>
      <c r="G990">
        <f>256203766/10^6</f>
      </c>
      <c r="H990">
        <f>0</f>
      </c>
      <c r="I990">
        <f>-39211315/10^6</f>
      </c>
      <c r="J990">
        <f>0</f>
      </c>
    </row>
    <row r="991">
      <c r="A991" t="s">
        <v>1000</v>
      </c>
      <c r="B991" t="s">
        <v>11</v>
      </c>
      <c r="C991">
        <f>11505459375/10^5</f>
      </c>
      <c r="D991">
        <f>0</f>
      </c>
      <c r="E991">
        <f>755732239/10^6</f>
      </c>
      <c r="F991">
        <f>0</f>
      </c>
      <c r="G991">
        <f>255961288/10^6</f>
      </c>
      <c r="H991">
        <f>0</f>
      </c>
      <c r="I991">
        <f>-39821529/10^6</f>
      </c>
      <c r="J991">
        <f>0</f>
      </c>
    </row>
    <row r="992">
      <c r="A992" t="s">
        <v>1001</v>
      </c>
      <c r="B992" t="s">
        <v>11</v>
      </c>
      <c r="C992">
        <f>114407273438/10^6</f>
      </c>
      <c r="D992">
        <f>0</f>
      </c>
      <c r="E992">
        <f>758755493/10^6</f>
      </c>
      <c r="F992">
        <f>0</f>
      </c>
      <c r="G992">
        <f>255777542/10^6</f>
      </c>
      <c r="H992">
        <f>0</f>
      </c>
      <c r="I992">
        <f>-4079454/10^5</f>
      </c>
      <c r="J992">
        <f>0</f>
      </c>
    </row>
    <row r="993">
      <c r="A993" t="s">
        <v>1002</v>
      </c>
      <c r="B993" t="s">
        <v>11</v>
      </c>
      <c r="C993">
        <f>11389721875/10^5</f>
      </c>
      <c r="D993">
        <f>0</f>
      </c>
      <c r="E993">
        <f>758768311/10^6</f>
      </c>
      <c r="F993">
        <f>0</f>
      </c>
      <c r="G993">
        <f>255489929/10^6</f>
      </c>
      <c r="H993">
        <f>0</f>
      </c>
      <c r="I993">
        <f>-41385231/10^6</f>
      </c>
      <c r="J993">
        <f>0</f>
      </c>
    </row>
    <row r="994">
      <c r="A994" t="s">
        <v>1003</v>
      </c>
      <c r="B994" t="s">
        <v>11</v>
      </c>
      <c r="C994">
        <f>113656125/10^3</f>
      </c>
      <c r="D994">
        <f>0</f>
      </c>
      <c r="E994">
        <f>758553406/10^6</f>
      </c>
      <c r="F994">
        <f>0</f>
      </c>
      <c r="G994">
        <f>254770981/10^6</f>
      </c>
      <c r="H994">
        <f>0</f>
      </c>
      <c r="I994">
        <f>-40796333/10^6</f>
      </c>
      <c r="J994">
        <f>0</f>
      </c>
    </row>
    <row r="995">
      <c r="A995" t="s">
        <v>1004</v>
      </c>
      <c r="B995" t="s">
        <v>11</v>
      </c>
      <c r="C995">
        <f>113465710938/10^6</f>
      </c>
      <c r="D995">
        <f>0</f>
      </c>
      <c r="E995">
        <f>760490662/10^6</f>
      </c>
      <c r="F995">
        <f>0</f>
      </c>
      <c r="G995">
        <f>254188492/10^6</f>
      </c>
      <c r="H995">
        <f>0</f>
      </c>
      <c r="I995">
        <f>-40304596/10^6</f>
      </c>
      <c r="J995">
        <f>0</f>
      </c>
    </row>
    <row r="996">
      <c r="A996" t="s">
        <v>1005</v>
      </c>
      <c r="B996" t="s">
        <v>11</v>
      </c>
      <c r="C996">
        <f>113273242188/10^6</f>
      </c>
      <c r="D996">
        <f>0</f>
      </c>
      <c r="E996">
        <f>757215393/10^6</f>
      </c>
      <c r="F996">
        <f>0</f>
      </c>
      <c r="G996">
        <f>253297897/10^6</f>
      </c>
      <c r="H996">
        <f>0</f>
      </c>
      <c r="I996">
        <f>-39389301/10^6</f>
      </c>
      <c r="J996">
        <f>0</f>
      </c>
    </row>
    <row r="997">
      <c r="A997" t="s">
        <v>1006</v>
      </c>
      <c r="B997" t="s">
        <v>11</v>
      </c>
      <c r="C997">
        <f>113602625/10^3</f>
      </c>
      <c r="D997">
        <f>0</f>
      </c>
      <c r="E997">
        <f>746234497/10^6</f>
      </c>
      <c r="F997">
        <f>0</f>
      </c>
      <c r="G997">
        <f>250952515/10^6</f>
      </c>
      <c r="H997">
        <f>0</f>
      </c>
      <c r="I997">
        <f>-37413754/10^6</f>
      </c>
      <c r="J997">
        <f>0</f>
      </c>
    </row>
    <row r="998">
      <c r="A998" t="s">
        <v>1007</v>
      </c>
      <c r="B998" t="s">
        <v>11</v>
      </c>
      <c r="C998">
        <f>114453671875/10^6</f>
      </c>
      <c r="D998">
        <f>0</f>
      </c>
      <c r="E998">
        <f>739848755/10^6</f>
      </c>
      <c r="F998">
        <f>0</f>
      </c>
      <c r="G998">
        <f>249617126/10^6</f>
      </c>
      <c r="H998">
        <f>0</f>
      </c>
      <c r="I998">
        <f>-36059174/10^6</f>
      </c>
      <c r="J998">
        <f>0</f>
      </c>
    </row>
    <row r="999">
      <c r="A999" t="s">
        <v>1008</v>
      </c>
      <c r="B999" t="s">
        <v>11</v>
      </c>
      <c r="C999">
        <f>1152135625/10^4</f>
      </c>
      <c r="D999">
        <f>0</f>
      </c>
      <c r="E999">
        <f>742493835/10^6</f>
      </c>
      <c r="F999">
        <f>0</f>
      </c>
      <c r="G999">
        <f>251084351/10^6</f>
      </c>
      <c r="H999">
        <f>0</f>
      </c>
      <c r="I999">
        <f>-34929699/10^6</f>
      </c>
      <c r="J999">
        <f>0</f>
      </c>
    </row>
    <row r="1000">
      <c r="A1000" t="s">
        <v>1009</v>
      </c>
      <c r="B1000" t="s">
        <v>11</v>
      </c>
      <c r="C1000">
        <f>115787539063/10^6</f>
      </c>
      <c r="D1000">
        <f>0</f>
      </c>
      <c r="E1000">
        <f>745777466/10^6</f>
      </c>
      <c r="F1000">
        <f>0</f>
      </c>
      <c r="G1000">
        <f>252622543/10^6</f>
      </c>
      <c r="H1000">
        <f>0</f>
      </c>
      <c r="I1000">
        <f>-33416817/10^6</f>
      </c>
      <c r="J1000">
        <f>0</f>
      </c>
    </row>
    <row r="1001">
      <c r="A1001" t="s">
        <v>1010</v>
      </c>
      <c r="B1001" t="s">
        <v>11</v>
      </c>
      <c r="C1001">
        <f>116379476563/10^6</f>
      </c>
      <c r="D1001">
        <f>0</f>
      </c>
      <c r="E1001">
        <f>745927612/10^6</f>
      </c>
      <c r="F1001">
        <f>0</f>
      </c>
      <c r="G1001">
        <f>253679886/10^6</f>
      </c>
      <c r="H1001">
        <f>0</f>
      </c>
      <c r="I1001">
        <f>-33062401/10^6</f>
      </c>
      <c r="J1001">
        <f>0</f>
      </c>
    </row>
    <row r="1002">
      <c r="A1002" t="s">
        <v>1011</v>
      </c>
      <c r="B1002" t="s">
        <v>11</v>
      </c>
      <c r="C1002">
        <f>116976140625/10^6</f>
      </c>
      <c r="D1002">
        <f>0</f>
      </c>
      <c r="E1002">
        <f>745078918/10^6</f>
      </c>
      <c r="F1002">
        <f>0</f>
      </c>
      <c r="G1002">
        <f>255585617/10^6</f>
      </c>
      <c r="H1002">
        <f>0</f>
      </c>
      <c r="I1002">
        <f>-33584301/10^6</f>
      </c>
      <c r="J1002">
        <f>0</f>
      </c>
    </row>
    <row r="1003">
      <c r="A1003" t="s">
        <v>1012</v>
      </c>
      <c r="B1003" t="s">
        <v>11</v>
      </c>
      <c r="C1003">
        <f>117537109375/10^6</f>
      </c>
      <c r="D1003">
        <f>0</f>
      </c>
      <c r="E1003">
        <f>744118164/10^6</f>
      </c>
      <c r="F1003">
        <f>0</f>
      </c>
      <c r="G1003">
        <f>257022919/10^6</f>
      </c>
      <c r="H1003">
        <f>0</f>
      </c>
      <c r="I1003">
        <f>-33703812/10^6</f>
      </c>
      <c r="J1003">
        <f>0</f>
      </c>
    </row>
    <row r="1004">
      <c r="A1004" t="s">
        <v>1013</v>
      </c>
      <c r="B1004" t="s">
        <v>11</v>
      </c>
      <c r="C1004">
        <f>118101078125/10^6</f>
      </c>
      <c r="D1004">
        <f>0</f>
      </c>
      <c r="E1004">
        <f>742491028/10^6</f>
      </c>
      <c r="F1004">
        <f>0</f>
      </c>
      <c r="G1004">
        <f>257816681/10^6</f>
      </c>
      <c r="H1004">
        <f>0</f>
      </c>
      <c r="I1004">
        <f>-33531189/10^6</f>
      </c>
      <c r="J1004">
        <f>0</f>
      </c>
    </row>
    <row r="1005">
      <c r="A1005" t="s">
        <v>1014</v>
      </c>
      <c r="B1005" t="s">
        <v>11</v>
      </c>
      <c r="C1005">
        <f>11872034375/10^5</f>
      </c>
      <c r="D1005">
        <f>0</f>
      </c>
      <c r="E1005">
        <f>740215698/10^6</f>
      </c>
      <c r="F1005">
        <f>0</f>
      </c>
      <c r="G1005">
        <f>258728455/10^6</f>
      </c>
      <c r="H1005">
        <f>0</f>
      </c>
      <c r="I1005">
        <f>-33443672/10^6</f>
      </c>
      <c r="J1005">
        <f>0</f>
      </c>
    </row>
    <row r="1006">
      <c r="A1006" t="s">
        <v>1015</v>
      </c>
      <c r="B1006" t="s">
        <v>11</v>
      </c>
      <c r="C1006">
        <f>11938428125/10^5</f>
      </c>
      <c r="D1006">
        <f>0</f>
      </c>
      <c r="E1006">
        <f>737519409/10^6</f>
      </c>
      <c r="F1006">
        <f>0</f>
      </c>
      <c r="G1006">
        <f>259334106/10^6</f>
      </c>
      <c r="H1006">
        <f>0</f>
      </c>
      <c r="I1006">
        <f>-33236656/10^6</f>
      </c>
      <c r="J1006">
        <f>0</f>
      </c>
    </row>
    <row r="1007">
      <c r="A1007" t="s">
        <v>1016</v>
      </c>
      <c r="B1007" t="s">
        <v>11</v>
      </c>
      <c r="C1007">
        <f>120060429688/10^6</f>
      </c>
      <c r="D1007">
        <f>0</f>
      </c>
      <c r="E1007">
        <f>734009888/10^6</f>
      </c>
      <c r="F1007">
        <f>0</f>
      </c>
      <c r="G1007">
        <f>259925018/10^6</f>
      </c>
      <c r="H1007">
        <f>0</f>
      </c>
      <c r="I1007">
        <f>-32843277/10^6</f>
      </c>
      <c r="J1007">
        <f>0</f>
      </c>
    </row>
    <row r="1008">
      <c r="A1008" t="s">
        <v>1017</v>
      </c>
      <c r="B1008" t="s">
        <v>11</v>
      </c>
      <c r="C1008">
        <f>120730796875/10^6</f>
      </c>
      <c r="D1008">
        <f>0</f>
      </c>
      <c r="E1008">
        <f>73009021/10^5</f>
      </c>
      <c r="F1008">
        <f>0</f>
      </c>
      <c r="G1008">
        <f>260393036/10^6</f>
      </c>
      <c r="H1008">
        <f>0</f>
      </c>
      <c r="I1008">
        <f>-32558075/10^6</f>
      </c>
      <c r="J1008">
        <f>0</f>
      </c>
    </row>
    <row r="1009">
      <c r="A1009" t="s">
        <v>1018</v>
      </c>
      <c r="B1009" t="s">
        <v>11</v>
      </c>
      <c r="C1009">
        <f>1213256875/10^4</f>
      </c>
      <c r="D1009">
        <f>0</f>
      </c>
      <c r="E1009">
        <f>726661926/10^6</f>
      </c>
      <c r="F1009">
        <f>0</f>
      </c>
      <c r="G1009">
        <f>260463593/10^6</f>
      </c>
      <c r="H1009">
        <f>0</f>
      </c>
      <c r="I1009">
        <f>-3208662/10^5</f>
      </c>
      <c r="J1009">
        <f>0</f>
      </c>
    </row>
    <row r="1010">
      <c r="A1010" t="s">
        <v>1019</v>
      </c>
      <c r="B1010" t="s">
        <v>11</v>
      </c>
      <c r="C1010">
        <f>121756390625/10^6</f>
      </c>
      <c r="D1010">
        <f>0</f>
      </c>
      <c r="E1010">
        <f>723560364/10^6</f>
      </c>
      <c r="F1010">
        <f>0</f>
      </c>
      <c r="G1010">
        <f>260579193/10^6</f>
      </c>
      <c r="H1010">
        <f>0</f>
      </c>
      <c r="I1010">
        <f>-31470058/10^6</f>
      </c>
      <c r="J1010">
        <f>0</f>
      </c>
    </row>
    <row r="1011">
      <c r="A1011" t="s">
        <v>1020</v>
      </c>
      <c r="B1011" t="s">
        <v>11</v>
      </c>
      <c r="C1011">
        <f>122000890625/10^6</f>
      </c>
      <c r="D1011">
        <f>0</f>
      </c>
      <c r="E1011">
        <f>720840576/10^6</f>
      </c>
      <c r="F1011">
        <f>0</f>
      </c>
      <c r="G1011">
        <f>26047937/10^5</f>
      </c>
      <c r="H1011">
        <f>0</f>
      </c>
      <c r="I1011">
        <f>-31379307/10^6</f>
      </c>
      <c r="J1011">
        <f>0</f>
      </c>
    </row>
    <row r="1012">
      <c r="A1012" t="s">
        <v>1021</v>
      </c>
      <c r="B1012" t="s">
        <v>11</v>
      </c>
      <c r="C1012">
        <f>1220951875/10^4</f>
      </c>
      <c r="D1012">
        <f>0</f>
      </c>
      <c r="E1012">
        <f>719574463/10^6</f>
      </c>
      <c r="F1012">
        <f>0</f>
      </c>
      <c r="G1012">
        <f>260075562/10^6</f>
      </c>
      <c r="H1012">
        <f>0</f>
      </c>
      <c r="I1012">
        <f>-31546722/10^6</f>
      </c>
      <c r="J1012">
        <f>0</f>
      </c>
    </row>
    <row r="1013">
      <c r="A1013" t="s">
        <v>1022</v>
      </c>
      <c r="B1013" t="s">
        <v>11</v>
      </c>
      <c r="C1013">
        <f>122066273438/10^6</f>
      </c>
      <c r="D1013">
        <f>0</f>
      </c>
      <c r="E1013">
        <f>719529358/10^6</f>
      </c>
      <c r="F1013">
        <f>0</f>
      </c>
      <c r="G1013">
        <f>259806244/10^6</f>
      </c>
      <c r="H1013">
        <f>0</f>
      </c>
      <c r="I1013">
        <f>-31625454/10^6</f>
      </c>
      <c r="J1013">
        <f>0</f>
      </c>
    </row>
    <row r="1014">
      <c r="A1014" t="s">
        <v>1023</v>
      </c>
      <c r="B1014" t="s">
        <v>11</v>
      </c>
      <c r="C1014">
        <f>12193721875/10^5</f>
      </c>
      <c r="D1014">
        <f>0</f>
      </c>
      <c r="E1014">
        <f>719468445/10^6</f>
      </c>
      <c r="F1014">
        <f>0</f>
      </c>
      <c r="G1014">
        <f>259541626/10^6</f>
      </c>
      <c r="H1014">
        <f>0</f>
      </c>
      <c r="I1014">
        <f>-31944771/10^6</f>
      </c>
      <c r="J1014">
        <f>0</f>
      </c>
    </row>
    <row r="1015">
      <c r="A1015" t="s">
        <v>1024</v>
      </c>
      <c r="B1015" t="s">
        <v>11</v>
      </c>
      <c r="C1015">
        <f>12175415625/10^5</f>
      </c>
      <c r="D1015">
        <f>0</f>
      </c>
      <c r="E1015">
        <f>719610657/10^6</f>
      </c>
      <c r="F1015">
        <f>0</f>
      </c>
      <c r="G1015">
        <f>259233795/10^6</f>
      </c>
      <c r="H1015">
        <f>0</f>
      </c>
      <c r="I1015">
        <f>-32322006/10^6</f>
      </c>
      <c r="J1015">
        <f>0</f>
      </c>
    </row>
    <row r="1016">
      <c r="A1016" t="s">
        <v>1025</v>
      </c>
      <c r="B1016" t="s">
        <v>11</v>
      </c>
      <c r="C1016">
        <f>121532382813/10^6</f>
      </c>
      <c r="D1016">
        <f>0</f>
      </c>
      <c r="E1016">
        <f>720512329/10^6</f>
      </c>
      <c r="F1016">
        <f>0</f>
      </c>
      <c r="G1016">
        <f>25900293/10^5</f>
      </c>
      <c r="H1016">
        <f>0</f>
      </c>
      <c r="I1016">
        <f>-3260984/10^5</f>
      </c>
      <c r="J1016">
        <f>0</f>
      </c>
    </row>
    <row r="1017">
      <c r="A1017" t="s">
        <v>1026</v>
      </c>
      <c r="B1017" t="s">
        <v>11</v>
      </c>
      <c r="C1017">
        <f>1212723125/10^4</f>
      </c>
      <c r="D1017">
        <f>0</f>
      </c>
      <c r="E1017">
        <f>721718445/10^6</f>
      </c>
      <c r="F1017">
        <f>0</f>
      </c>
      <c r="G1017">
        <f>258701263/10^6</f>
      </c>
      <c r="H1017">
        <f>0</f>
      </c>
      <c r="I1017">
        <f>-32989395/10^6</f>
      </c>
      <c r="J1017">
        <f>0</f>
      </c>
    </row>
    <row r="1018">
      <c r="A1018" t="s">
        <v>1027</v>
      </c>
      <c r="B1018" t="s">
        <v>11</v>
      </c>
      <c r="C1018">
        <f>121013632813/10^6</f>
      </c>
      <c r="D1018">
        <f>0</f>
      </c>
      <c r="E1018">
        <f>722940063/10^6</f>
      </c>
      <c r="F1018">
        <f>0</f>
      </c>
      <c r="G1018">
        <f>258460907/10^6</f>
      </c>
      <c r="H1018">
        <f>0</f>
      </c>
      <c r="I1018">
        <f>-33313107/10^6</f>
      </c>
      <c r="J1018">
        <f>0</f>
      </c>
    </row>
    <row r="1019">
      <c r="A1019" t="s">
        <v>1028</v>
      </c>
      <c r="B1019" t="s">
        <v>11</v>
      </c>
      <c r="C1019">
        <f>120769429688/10^6</f>
      </c>
      <c r="D1019">
        <f>0</f>
      </c>
      <c r="E1019">
        <f>724212402/10^6</f>
      </c>
      <c r="F1019">
        <f>0</f>
      </c>
      <c r="G1019">
        <f>258351654/10^6</f>
      </c>
      <c r="H1019">
        <f>0</f>
      </c>
      <c r="I1019">
        <f>-33699215/10^6</f>
      </c>
      <c r="J1019">
        <f>0</f>
      </c>
    </row>
    <row r="1020">
      <c r="A1020" t="s">
        <v>1029</v>
      </c>
      <c r="B1020" t="s">
        <v>11</v>
      </c>
      <c r="C1020">
        <f>120506/10^0</f>
      </c>
      <c r="D1020">
        <f>0</f>
      </c>
      <c r="E1020">
        <f>725492004/10^6</f>
      </c>
      <c r="F1020">
        <f>0</f>
      </c>
      <c r="G1020">
        <f>258241943/10^6</f>
      </c>
      <c r="H1020">
        <f>0</f>
      </c>
      <c r="I1020">
        <f>-34139069/10^6</f>
      </c>
      <c r="J1020">
        <f>0</f>
      </c>
    </row>
    <row r="1021">
      <c r="A1021" t="s">
        <v>1030</v>
      </c>
      <c r="B1021" t="s">
        <v>11</v>
      </c>
      <c r="C1021">
        <f>120212335938/10^6</f>
      </c>
      <c r="D1021">
        <f>0</f>
      </c>
      <c r="E1021">
        <f>726955322/10^6</f>
      </c>
      <c r="F1021">
        <f>0</f>
      </c>
      <c r="G1021">
        <f>258110504/10^6</f>
      </c>
      <c r="H1021">
        <f>0</f>
      </c>
      <c r="I1021">
        <f>-34442093/10^6</f>
      </c>
      <c r="J1021">
        <f>0</f>
      </c>
    </row>
    <row r="1022">
      <c r="A1022" t="s">
        <v>1031</v>
      </c>
      <c r="B1022" t="s">
        <v>11</v>
      </c>
      <c r="C1022">
        <f>119890203125/10^6</f>
      </c>
      <c r="D1022">
        <f>0</f>
      </c>
      <c r="E1022">
        <f>728769958/10^6</f>
      </c>
      <c r="F1022">
        <f>0</f>
      </c>
      <c r="G1022">
        <f>257943268/10^6</f>
      </c>
      <c r="H1022">
        <f>0</f>
      </c>
      <c r="I1022">
        <f>-3472377/10^5</f>
      </c>
      <c r="J1022">
        <f>0</f>
      </c>
    </row>
    <row r="1023">
      <c r="A1023" t="s">
        <v>1032</v>
      </c>
      <c r="B1023" t="s">
        <v>11</v>
      </c>
      <c r="C1023">
        <f>119530617188/10^6</f>
      </c>
      <c r="D1023">
        <f>0</f>
      </c>
      <c r="E1023">
        <f>7308125/10^4</f>
      </c>
      <c r="F1023">
        <f>0</f>
      </c>
      <c r="G1023">
        <f>257804626/10^6</f>
      </c>
      <c r="H1023">
        <f>0</f>
      </c>
      <c r="I1023">
        <f>-35014999/10^6</f>
      </c>
      <c r="J1023">
        <f>0</f>
      </c>
    </row>
    <row r="1024">
      <c r="A1024" t="s">
        <v>1033</v>
      </c>
      <c r="B1024" t="s">
        <v>11</v>
      </c>
      <c r="C1024">
        <f>119141421875/10^6</f>
      </c>
      <c r="D1024">
        <f>0</f>
      </c>
      <c r="E1024">
        <f>732941711/10^6</f>
      </c>
      <c r="F1024">
        <f>0</f>
      </c>
      <c r="G1024">
        <f>257660065/10^6</f>
      </c>
      <c r="H1024">
        <f>0</f>
      </c>
      <c r="I1024">
        <f>-3547649/10^5</f>
      </c>
      <c r="J1024">
        <f>0</f>
      </c>
    </row>
    <row r="1025">
      <c r="A1025" t="s">
        <v>1034</v>
      </c>
      <c r="B1025" t="s">
        <v>11</v>
      </c>
      <c r="C1025">
        <f>1187326875/10^4</f>
      </c>
      <c r="D1025">
        <f>0</f>
      </c>
      <c r="E1025">
        <f>735141846/10^6</f>
      </c>
      <c r="F1025">
        <f>0</f>
      </c>
      <c r="G1025">
        <f>257506226/10^6</f>
      </c>
      <c r="H1025">
        <f>0</f>
      </c>
      <c r="I1025">
        <f>-35960812/10^6</f>
      </c>
      <c r="J1025">
        <f>0</f>
      </c>
    </row>
    <row r="1026">
      <c r="A1026" t="s">
        <v>1035</v>
      </c>
      <c r="B1026" t="s">
        <v>11</v>
      </c>
      <c r="C1026">
        <f>118310625/10^3</f>
      </c>
      <c r="D1026">
        <f>0</f>
      </c>
      <c r="E1026">
        <f>737391418/10^6</f>
      </c>
      <c r="F1026">
        <f>0</f>
      </c>
      <c r="G1026">
        <f>257367462/10^6</f>
      </c>
      <c r="H1026">
        <f>0</f>
      </c>
      <c r="I1026">
        <f>-36393425/10^6</f>
      </c>
      <c r="J1026">
        <f>0</f>
      </c>
    </row>
    <row r="1027">
      <c r="A1027" t="s">
        <v>1036</v>
      </c>
      <c r="B1027" t="s">
        <v>11</v>
      </c>
      <c r="C1027">
        <f>117894765625/10^6</f>
      </c>
      <c r="D1027">
        <f>0</f>
      </c>
      <c r="E1027">
        <f>739751221/10^6</f>
      </c>
      <c r="F1027">
        <f>0</f>
      </c>
      <c r="G1027">
        <f>257171753/10^6</f>
      </c>
      <c r="H1027">
        <f>0</f>
      </c>
      <c r="I1027">
        <f>-3700386/10^5</f>
      </c>
      <c r="J1027">
        <f>0</f>
      </c>
    </row>
    <row r="1028">
      <c r="A1028" t="s">
        <v>1037</v>
      </c>
      <c r="B1028" t="s">
        <v>11</v>
      </c>
      <c r="C1028">
        <f>117483585938/10^6</f>
      </c>
      <c r="D1028">
        <f>0</f>
      </c>
      <c r="E1028">
        <f>742294067/10^6</f>
      </c>
      <c r="F1028">
        <f>0</f>
      </c>
      <c r="G1028">
        <f>257016022/10^6</f>
      </c>
      <c r="H1028">
        <f>0</f>
      </c>
      <c r="I1028">
        <f>-37503803/10^6</f>
      </c>
      <c r="J1028">
        <f>0</f>
      </c>
    </row>
    <row r="1029">
      <c r="A1029" t="s">
        <v>1038</v>
      </c>
      <c r="B1029" t="s">
        <v>11</v>
      </c>
      <c r="C1029">
        <f>11706484375/10^5</f>
      </c>
      <c r="D1029">
        <f>0</f>
      </c>
      <c r="E1029">
        <f>744809265/10^6</f>
      </c>
      <c r="F1029">
        <f>0</f>
      </c>
      <c r="G1029">
        <f>256911469/10^6</f>
      </c>
      <c r="H1029">
        <f>0</f>
      </c>
      <c r="I1029">
        <f>-37955795/10^6</f>
      </c>
      <c r="J1029">
        <f>0</f>
      </c>
    </row>
    <row r="1030">
      <c r="A1030" t="s">
        <v>1039</v>
      </c>
      <c r="B1030" t="s">
        <v>11</v>
      </c>
      <c r="C1030">
        <f>116645460938/10^6</f>
      </c>
      <c r="D1030">
        <f>0</f>
      </c>
      <c r="E1030">
        <f>7471698/10^4</f>
      </c>
      <c r="F1030">
        <f>0</f>
      </c>
      <c r="G1030">
        <f>256798615/10^6</f>
      </c>
      <c r="H1030">
        <f>0</f>
      </c>
      <c r="I1030">
        <f>-38436462/10^6</f>
      </c>
      <c r="J1030">
        <f>0</f>
      </c>
    </row>
    <row r="1031">
      <c r="A1031" t="s">
        <v>1040</v>
      </c>
      <c r="B1031" t="s">
        <v>11</v>
      </c>
      <c r="C1031">
        <f>116213945313/10^6</f>
      </c>
      <c r="D1031">
        <f>0</f>
      </c>
      <c r="E1031">
        <f>749714783/10^6</f>
      </c>
      <c r="F1031">
        <f>0</f>
      </c>
      <c r="G1031">
        <f>256675262/10^6</f>
      </c>
      <c r="H1031">
        <f>0</f>
      </c>
      <c r="I1031">
        <f>-38873722/10^6</f>
      </c>
      <c r="J1031">
        <f>0</f>
      </c>
    </row>
    <row r="1032">
      <c r="A1032" t="s">
        <v>1041</v>
      </c>
      <c r="B1032" t="s">
        <v>11</v>
      </c>
      <c r="C1032">
        <f>115730007813/10^6</f>
      </c>
      <c r="D1032">
        <f>0</f>
      </c>
      <c r="E1032">
        <f>752429382/10^6</f>
      </c>
      <c r="F1032">
        <f>0</f>
      </c>
      <c r="G1032">
        <f>25656134/10^5</f>
      </c>
      <c r="H1032">
        <f>0</f>
      </c>
      <c r="I1032">
        <f>-39503098/10^6</f>
      </c>
      <c r="J1032">
        <f>0</f>
      </c>
    </row>
    <row r="1033">
      <c r="A1033" t="s">
        <v>1042</v>
      </c>
      <c r="B1033" t="s">
        <v>11</v>
      </c>
      <c r="C1033">
        <f>115217609375/10^6</f>
      </c>
      <c r="D1033">
        <f>0</f>
      </c>
      <c r="E1033">
        <f>755179321/10^6</f>
      </c>
      <c r="F1033">
        <f>0</f>
      </c>
      <c r="G1033">
        <f>256400055/10^6</f>
      </c>
      <c r="H1033">
        <f>0</f>
      </c>
      <c r="I1033">
        <f>-39907757/10^6</f>
      </c>
      <c r="J1033">
        <f>0</f>
      </c>
    </row>
    <row r="1034">
      <c r="A1034" t="s">
        <v>1043</v>
      </c>
      <c r="B1034" t="s">
        <v>11</v>
      </c>
      <c r="C1034">
        <f>114772664063/10^6</f>
      </c>
      <c r="D1034">
        <f>0</f>
      </c>
      <c r="E1034">
        <f>75860498/10^5</f>
      </c>
      <c r="F1034">
        <f>0</f>
      </c>
      <c r="G1034">
        <f>256106537/10^6</f>
      </c>
      <c r="H1034">
        <f>0</f>
      </c>
      <c r="I1034">
        <f>-40259766/10^6</f>
      </c>
      <c r="J1034">
        <f>0</f>
      </c>
    </row>
    <row r="1035">
      <c r="A1035" t="s">
        <v>1044</v>
      </c>
      <c r="B1035" t="s">
        <v>11</v>
      </c>
      <c r="C1035">
        <f>114399351563/10^6</f>
      </c>
      <c r="D1035">
        <f>0</f>
      </c>
      <c r="E1035">
        <f>760160461/10^6</f>
      </c>
      <c r="F1035">
        <f>0</f>
      </c>
      <c r="G1035">
        <f>255930832/10^6</f>
      </c>
      <c r="H1035">
        <f>0</f>
      </c>
      <c r="I1035">
        <f>-409436/10^4</f>
      </c>
      <c r="J1035">
        <f>0</f>
      </c>
    </row>
    <row r="1036">
      <c r="A1036" t="s">
        <v>1045</v>
      </c>
      <c r="B1036" t="s">
        <v>11</v>
      </c>
      <c r="C1036">
        <f>114195335938/10^6</f>
      </c>
      <c r="D1036">
        <f>0</f>
      </c>
      <c r="E1036">
        <f>754510498/10^6</f>
      </c>
      <c r="F1036">
        <f>0</f>
      </c>
      <c r="G1036">
        <f>255411285/10^6</f>
      </c>
      <c r="H1036">
        <f>0</f>
      </c>
      <c r="I1036">
        <f>-40502651/10^6</f>
      </c>
      <c r="J1036">
        <f>0</f>
      </c>
    </row>
    <row r="1037">
      <c r="A1037" t="s">
        <v>1046</v>
      </c>
      <c r="B1037" t="s">
        <v>11</v>
      </c>
      <c r="C1037">
        <f>114120507813/10^6</f>
      </c>
      <c r="D1037">
        <f>0</f>
      </c>
      <c r="E1037">
        <f>756234863/10^6</f>
      </c>
      <c r="F1037">
        <f>0</f>
      </c>
      <c r="G1037">
        <f>254051773/10^6</f>
      </c>
      <c r="H1037">
        <f>0</f>
      </c>
      <c r="I1037">
        <f>-38769073/10^6</f>
      </c>
      <c r="J1037">
        <f>0</f>
      </c>
    </row>
    <row r="1038">
      <c r="A1038" t="s">
        <v>1047</v>
      </c>
      <c r="B1038" t="s">
        <v>11</v>
      </c>
      <c r="C1038">
        <f>11346584375/10^5</f>
      </c>
      <c r="D1038">
        <f>0</f>
      </c>
      <c r="E1038">
        <f>766273987/10^6</f>
      </c>
      <c r="F1038">
        <f>0</f>
      </c>
      <c r="G1038">
        <f>252986801/10^6</f>
      </c>
      <c r="H1038">
        <f>0</f>
      </c>
      <c r="I1038">
        <f>-37206173/10^6</f>
      </c>
      <c r="J1038">
        <f>0</f>
      </c>
    </row>
    <row r="1039">
      <c r="A1039" t="s">
        <v>1048</v>
      </c>
      <c r="B1039" t="s">
        <v>11</v>
      </c>
      <c r="C1039">
        <f>113215617188/10^6</f>
      </c>
      <c r="D1039">
        <f>0</f>
      </c>
      <c r="E1039">
        <f>739021118/10^6</f>
      </c>
      <c r="F1039">
        <f>0</f>
      </c>
      <c r="G1039">
        <f>25388443/10^5</f>
      </c>
      <c r="H1039">
        <f>0</f>
      </c>
      <c r="I1039">
        <f>-3779987/10^5</f>
      </c>
      <c r="J1039">
        <f>0</f>
      </c>
    </row>
    <row r="1040">
      <c r="A1040" t="s">
        <v>1049</v>
      </c>
      <c r="B1040" t="s">
        <v>11</v>
      </c>
      <c r="C1040">
        <f>116471851563/10^6</f>
      </c>
      <c r="D1040">
        <f>0</f>
      </c>
      <c r="E1040">
        <f>689395569/10^6</f>
      </c>
      <c r="F1040">
        <f>0</f>
      </c>
      <c r="G1040">
        <f>255531448/10^6</f>
      </c>
      <c r="H1040">
        <f>0</f>
      </c>
      <c r="I1040">
        <f>-4034874/10^5</f>
      </c>
      <c r="J1040">
        <f>0</f>
      </c>
    </row>
    <row r="1041">
      <c r="A1041" t="s">
        <v>1050</v>
      </c>
      <c r="B1041" t="s">
        <v>11</v>
      </c>
      <c r="C1041">
        <f>12275984375/10^5</f>
      </c>
      <c r="D1041">
        <f>0</f>
      </c>
      <c r="E1041">
        <f>663913757/10^6</f>
      </c>
      <c r="F1041">
        <f>0</f>
      </c>
      <c r="G1041">
        <f>25277829/10^5</f>
      </c>
      <c r="H1041">
        <f>0</f>
      </c>
      <c r="I1041">
        <f>-35129848/10^6</f>
      </c>
      <c r="J1041">
        <f>0</f>
      </c>
    </row>
    <row r="1042">
      <c r="A1042" t="s">
        <v>1051</v>
      </c>
      <c r="B1042" t="s">
        <v>11</v>
      </c>
      <c r="C1042">
        <f>12786859375/10^5</f>
      </c>
      <c r="D1042">
        <f>0</f>
      </c>
      <c r="E1042">
        <f>625964478/10^6</f>
      </c>
      <c r="F1042">
        <f>0</f>
      </c>
      <c r="G1042">
        <f>248196854/10^6</f>
      </c>
      <c r="H1042">
        <f>0</f>
      </c>
      <c r="I1042">
        <f>-20597776/10^6</f>
      </c>
      <c r="J1042">
        <f>0</f>
      </c>
    </row>
    <row r="1043">
      <c r="A1043" t="s">
        <v>1052</v>
      </c>
      <c r="B1043" t="s">
        <v>11</v>
      </c>
      <c r="C1043">
        <f>129334046875/10^6</f>
      </c>
      <c r="D1043">
        <f>0</f>
      </c>
      <c r="E1043">
        <f>574975342/10^6</f>
      </c>
      <c r="F1043">
        <f>0</f>
      </c>
      <c r="G1043">
        <f>244953232/10^6</f>
      </c>
      <c r="H1043">
        <f>0</f>
      </c>
      <c r="I1043">
        <f>-1186125/10^5</f>
      </c>
      <c r="J1043">
        <f>0</f>
      </c>
    </row>
    <row r="1044">
      <c r="A1044" t="s">
        <v>1053</v>
      </c>
      <c r="B1044" t="s">
        <v>11</v>
      </c>
      <c r="C1044">
        <f>127940007813/10^6</f>
      </c>
      <c r="D1044">
        <f>0</f>
      </c>
      <c r="E1044">
        <f>5576203/10^4</f>
      </c>
      <c r="F1044">
        <f>0</f>
      </c>
      <c r="G1044">
        <f>230981216/10^6</f>
      </c>
      <c r="H1044">
        <f>0</f>
      </c>
      <c r="I1044">
        <f>-8313216/10^6</f>
      </c>
      <c r="J1044">
        <f>0</f>
      </c>
    </row>
    <row r="1045">
      <c r="A1045" t="s">
        <v>1054</v>
      </c>
      <c r="B1045" t="s">
        <v>11</v>
      </c>
      <c r="C1045">
        <f>126790578125/10^6</f>
      </c>
      <c r="D1045">
        <f>0</f>
      </c>
      <c r="E1045">
        <f>574757446/10^6</f>
      </c>
      <c r="F1045">
        <f>0</f>
      </c>
      <c r="G1045">
        <f>211617325/10^6</f>
      </c>
      <c r="H1045">
        <f>0</f>
      </c>
      <c r="I1045">
        <f>-2211142/10^6</f>
      </c>
      <c r="J1045">
        <f>0</f>
      </c>
    </row>
    <row r="1046">
      <c r="A1046" t="s">
        <v>1055</v>
      </c>
      <c r="B1046" t="s">
        <v>11</v>
      </c>
      <c r="C1046">
        <f>12720696875/10^5</f>
      </c>
      <c r="D1046">
        <f>0</f>
      </c>
      <c r="E1046">
        <f>597078003/10^6</f>
      </c>
      <c r="F1046">
        <f>0</f>
      </c>
      <c r="G1046">
        <f>211531769/10^6</f>
      </c>
      <c r="H1046">
        <f>0</f>
      </c>
      <c r="I1046">
        <f>-3210198/10^6</f>
      </c>
      <c r="J1046">
        <f>0</f>
      </c>
    </row>
    <row r="1047">
      <c r="A1047" t="s">
        <v>1056</v>
      </c>
      <c r="B1047" t="s">
        <v>11</v>
      </c>
      <c r="C1047">
        <f>127233859375/10^6</f>
      </c>
      <c r="D1047">
        <f>0</f>
      </c>
      <c r="E1047">
        <f>613761841/10^6</f>
      </c>
      <c r="F1047">
        <f>0</f>
      </c>
      <c r="G1047">
        <f>225094467/10^6</f>
      </c>
      <c r="H1047">
        <f>0</f>
      </c>
      <c r="I1047">
        <f>-12349237/10^6</f>
      </c>
      <c r="J1047">
        <f>0</f>
      </c>
    </row>
    <row r="1048">
      <c r="A1048" t="s">
        <v>1057</v>
      </c>
      <c r="B1048" t="s">
        <v>11</v>
      </c>
      <c r="C1048">
        <f>126034773438/10^6</f>
      </c>
      <c r="D1048">
        <f>0</f>
      </c>
      <c r="E1048">
        <f>628000061/10^6</f>
      </c>
      <c r="F1048">
        <f>0</f>
      </c>
      <c r="G1048">
        <f>231723694/10^6</f>
      </c>
      <c r="H1048">
        <f>0</f>
      </c>
      <c r="I1048">
        <f>-17439619/10^6</f>
      </c>
      <c r="J1048">
        <f>0</f>
      </c>
    </row>
    <row r="1049">
      <c r="A1049" t="s">
        <v>1058</v>
      </c>
      <c r="B1049" t="s">
        <v>11</v>
      </c>
      <c r="C1049">
        <f>1250123125/10^4</f>
      </c>
      <c r="D1049">
        <f>0</f>
      </c>
      <c r="E1049">
        <f>640938416/10^6</f>
      </c>
      <c r="F1049">
        <f>0</f>
      </c>
      <c r="G1049">
        <f>233660477/10^6</f>
      </c>
      <c r="H1049">
        <f>0</f>
      </c>
      <c r="I1049">
        <f>-17914583/10^6</f>
      </c>
      <c r="J1049">
        <f>0</f>
      </c>
    </row>
    <row r="1050">
      <c r="A1050" t="s">
        <v>1059</v>
      </c>
      <c r="B1050" t="s">
        <v>11</v>
      </c>
      <c r="C1050">
        <f>124624273438/10^6</f>
      </c>
      <c r="D1050">
        <f>0</f>
      </c>
      <c r="E1050">
        <f>651892334/10^6</f>
      </c>
      <c r="F1050">
        <f>0</f>
      </c>
      <c r="G1050">
        <f>236807388/10^6</f>
      </c>
      <c r="H1050">
        <f>0</f>
      </c>
      <c r="I1050">
        <f>-18867477/10^6</f>
      </c>
      <c r="J1050">
        <f>0</f>
      </c>
    </row>
    <row r="1051">
      <c r="A1051" t="s">
        <v>1060</v>
      </c>
      <c r="B1051" t="s">
        <v>11</v>
      </c>
      <c r="C1051">
        <f>124218554688/10^6</f>
      </c>
      <c r="D1051">
        <f>0</f>
      </c>
      <c r="E1051">
        <f>6611521/10^4</f>
      </c>
      <c r="F1051">
        <f>0</f>
      </c>
      <c r="G1051">
        <f>239383652/10^6</f>
      </c>
      <c r="H1051">
        <f>0</f>
      </c>
      <c r="I1051">
        <f>-20198763/10^6</f>
      </c>
      <c r="J1051">
        <f>0</f>
      </c>
    </row>
    <row r="1052">
      <c r="A1052" t="s">
        <v>1061</v>
      </c>
      <c r="B1052" t="s">
        <v>11</v>
      </c>
      <c r="C1052">
        <f>12370590625/10^5</f>
      </c>
      <c r="D1052">
        <f>0</f>
      </c>
      <c r="E1052">
        <f>666265747/10^6</f>
      </c>
      <c r="F1052">
        <f>0</f>
      </c>
      <c r="G1052">
        <f>24225145/10^5</f>
      </c>
      <c r="H1052">
        <f>0</f>
      </c>
      <c r="I1052">
        <f>-21362923/10^6</f>
      </c>
      <c r="J1052">
        <f>0</f>
      </c>
    </row>
    <row r="1053">
      <c r="A1053" t="s">
        <v>1062</v>
      </c>
      <c r="B1053" t="s">
        <v>11</v>
      </c>
      <c r="C1053">
        <f>123280523438/10^6</f>
      </c>
      <c r="D1053">
        <f>0</f>
      </c>
      <c r="E1053">
        <f>668897827/10^6</f>
      </c>
      <c r="F1053">
        <f>0</f>
      </c>
      <c r="G1053">
        <f>244536072/10^6</f>
      </c>
      <c r="H1053">
        <f>0</f>
      </c>
      <c r="I1053">
        <f>-22409666/10^6</f>
      </c>
      <c r="J1053">
        <f>0</f>
      </c>
    </row>
    <row r="1054">
      <c r="A1054" t="s">
        <v>1063</v>
      </c>
      <c r="B1054" t="s">
        <v>11</v>
      </c>
      <c r="C1054">
        <f>122812867188/10^6</f>
      </c>
      <c r="D1054">
        <f>0</f>
      </c>
      <c r="E1054">
        <f>674640625/10^6</f>
      </c>
      <c r="F1054">
        <f>0</f>
      </c>
      <c r="G1054">
        <f>244943497/10^6</f>
      </c>
      <c r="H1054">
        <f>0</f>
      </c>
      <c r="I1054">
        <f>-23815344/10^6</f>
      </c>
      <c r="J1054">
        <f>0</f>
      </c>
    </row>
    <row r="1055">
      <c r="A1055" t="s">
        <v>1064</v>
      </c>
      <c r="B1055" t="s">
        <v>11</v>
      </c>
      <c r="C1055">
        <f>122232679688/10^6</f>
      </c>
      <c r="D1055">
        <f>0</f>
      </c>
      <c r="E1055">
        <f>683073059/10^6</f>
      </c>
      <c r="F1055">
        <f>0</f>
      </c>
      <c r="G1055">
        <f>245116928/10^6</f>
      </c>
      <c r="H1055">
        <f>0</f>
      </c>
      <c r="I1055">
        <f>-25330248/10^6</f>
      </c>
      <c r="J1055">
        <f>0</f>
      </c>
    </row>
    <row r="1056">
      <c r="A1056" t="s">
        <v>1065</v>
      </c>
      <c r="B1056" t="s">
        <v>11</v>
      </c>
      <c r="C1056">
        <f>121628148438/10^6</f>
      </c>
      <c r="D1056">
        <f>0</f>
      </c>
      <c r="E1056">
        <f>691397583/10^6</f>
      </c>
      <c r="F1056">
        <f>0</f>
      </c>
      <c r="G1056">
        <f>246270325/10^6</f>
      </c>
      <c r="H1056">
        <f>0</f>
      </c>
      <c r="I1056">
        <f>-26595623/10^6</f>
      </c>
      <c r="J1056">
        <f>0</f>
      </c>
    </row>
    <row r="1057">
      <c r="A1057" t="s">
        <v>1066</v>
      </c>
      <c r="B1057" t="s">
        <v>11</v>
      </c>
      <c r="C1057">
        <f>121016765625/10^6</f>
      </c>
      <c r="D1057">
        <f>0</f>
      </c>
      <c r="E1057">
        <f>699479736/10^6</f>
      </c>
      <c r="F1057">
        <f>0</f>
      </c>
      <c r="G1057">
        <f>248357513/10^6</f>
      </c>
      <c r="H1057">
        <f>0</f>
      </c>
      <c r="I1057">
        <f>-28227734/10^6</f>
      </c>
      <c r="J1057">
        <f>0</f>
      </c>
    </row>
    <row r="1058">
      <c r="A1058" t="s">
        <v>1067</v>
      </c>
      <c r="B1058" t="s">
        <v>11</v>
      </c>
      <c r="C1058">
        <f>120325125/10^3</f>
      </c>
      <c r="D1058">
        <f>0</f>
      </c>
      <c r="E1058">
        <f>707264954/10^6</f>
      </c>
      <c r="F1058">
        <f>0</f>
      </c>
      <c r="G1058">
        <f>249794922/10^6</f>
      </c>
      <c r="H1058">
        <f>0</f>
      </c>
      <c r="I1058">
        <f>-29594971/10^6</f>
      </c>
      <c r="J1058">
        <f>0</f>
      </c>
    </row>
    <row r="1059">
      <c r="A1059" t="s">
        <v>1068</v>
      </c>
      <c r="B1059" t="s">
        <v>11</v>
      </c>
      <c r="C1059">
        <f>119474257813/10^6</f>
      </c>
      <c r="D1059">
        <f>0</f>
      </c>
      <c r="E1059">
        <f>714891602/10^6</f>
      </c>
      <c r="F1059">
        <f>0</f>
      </c>
      <c r="G1059">
        <f>250681198/10^6</f>
      </c>
      <c r="H1059">
        <f>0</f>
      </c>
      <c r="I1059">
        <f>-31025766/10^6</f>
      </c>
      <c r="J1059">
        <f>0</f>
      </c>
    </row>
    <row r="1060">
      <c r="A1060" t="s">
        <v>1069</v>
      </c>
      <c r="B1060" t="s">
        <v>11</v>
      </c>
      <c r="C1060">
        <f>118550578125/10^6</f>
      </c>
      <c r="D1060">
        <f>0</f>
      </c>
      <c r="E1060">
        <f>722624939/10^6</f>
      </c>
      <c r="F1060">
        <f>0</f>
      </c>
      <c r="G1060">
        <f>25174939/10^5</f>
      </c>
      <c r="H1060">
        <f>0</f>
      </c>
      <c r="I1060">
        <f>-32624413/10^6</f>
      </c>
      <c r="J1060">
        <f>0</f>
      </c>
    </row>
    <row r="1061">
      <c r="A1061" t="s">
        <v>1070</v>
      </c>
      <c r="B1061" t="s">
        <v>11</v>
      </c>
      <c r="C1061">
        <f>117693226563/10^6</f>
      </c>
      <c r="D1061">
        <f>0</f>
      </c>
      <c r="E1061">
        <f>729635986/10^6</f>
      </c>
      <c r="F1061">
        <f>0</f>
      </c>
      <c r="G1061">
        <f>252363785/10^6</f>
      </c>
      <c r="H1061">
        <f>0</f>
      </c>
      <c r="I1061">
        <f>-33762184/10^6</f>
      </c>
      <c r="J1061">
        <f>0</f>
      </c>
    </row>
    <row r="1062">
      <c r="A1062" t="s">
        <v>1071</v>
      </c>
      <c r="B1062" t="s">
        <v>11</v>
      </c>
      <c r="C1062">
        <f>116825617188/10^6</f>
      </c>
      <c r="D1062">
        <f>0</f>
      </c>
      <c r="E1062">
        <f>735621582/10^6</f>
      </c>
      <c r="F1062">
        <f>0</f>
      </c>
      <c r="G1062">
        <f>252948578/10^6</f>
      </c>
      <c r="H1062">
        <f>0</f>
      </c>
      <c r="I1062">
        <f>-35054501/10^6</f>
      </c>
      <c r="J1062">
        <f>0</f>
      </c>
    </row>
    <row r="1063">
      <c r="A1063" t="s">
        <v>1072</v>
      </c>
      <c r="B1063" t="s">
        <v>11</v>
      </c>
      <c r="C1063">
        <f>115892601563/10^6</f>
      </c>
      <c r="D1063">
        <f>0</f>
      </c>
      <c r="E1063">
        <f>741266724/10^6</f>
      </c>
      <c r="F1063">
        <f>0</f>
      </c>
      <c r="G1063">
        <f>253371338/10^6</f>
      </c>
      <c r="H1063">
        <f>0</f>
      </c>
      <c r="I1063">
        <f>-36085175/10^6</f>
      </c>
      <c r="J1063">
        <f>0</f>
      </c>
    </row>
    <row r="1064">
      <c r="A1064" t="s">
        <v>1073</v>
      </c>
      <c r="B1064" t="s">
        <v>11</v>
      </c>
      <c r="C1064">
        <f>1150124375/10^4</f>
      </c>
      <c r="D1064">
        <f>0</f>
      </c>
      <c r="E1064">
        <f>747147034/10^6</f>
      </c>
      <c r="F1064">
        <f>0</f>
      </c>
      <c r="G1064">
        <f>253179916/10^6</f>
      </c>
      <c r="H1064">
        <f>0</f>
      </c>
      <c r="I1064">
        <f>-37145576/10^6</f>
      </c>
      <c r="J1064">
        <f>0</f>
      </c>
    </row>
    <row r="1065">
      <c r="A1065" t="s">
        <v>1074</v>
      </c>
      <c r="B1065" t="s">
        <v>11</v>
      </c>
      <c r="C1065">
        <f>114261101563/10^6</f>
      </c>
      <c r="D1065">
        <f>0</f>
      </c>
      <c r="E1065">
        <f>752226929/10^6</f>
      </c>
      <c r="F1065">
        <f>0</f>
      </c>
      <c r="G1065">
        <f>253090973/10^6</f>
      </c>
      <c r="H1065">
        <f>0</f>
      </c>
      <c r="I1065">
        <f>-38582298/10^6</f>
      </c>
      <c r="J1065">
        <f>0</f>
      </c>
    </row>
    <row r="1066">
      <c r="A1066" t="s">
        <v>1075</v>
      </c>
      <c r="B1066" t="s">
        <v>11</v>
      </c>
      <c r="C1066">
        <f>113684242188/10^6</f>
      </c>
      <c r="D1066">
        <f>0</f>
      </c>
      <c r="E1066">
        <f>753260925/10^6</f>
      </c>
      <c r="F1066">
        <f>0</f>
      </c>
      <c r="G1066">
        <f>252607742/10^6</f>
      </c>
      <c r="H1066">
        <f>0</f>
      </c>
      <c r="I1066">
        <f>-386026/10^4</f>
      </c>
      <c r="J1066">
        <f>0</f>
      </c>
    </row>
    <row r="1067">
      <c r="A1067" t="s">
        <v>1076</v>
      </c>
      <c r="B1067" t="s">
        <v>11</v>
      </c>
      <c r="C1067">
        <f>113321679688/10^6</f>
      </c>
      <c r="D1067">
        <f>0</f>
      </c>
      <c r="E1067">
        <f>7507948/10^4</f>
      </c>
      <c r="F1067">
        <f>0</f>
      </c>
      <c r="G1067">
        <f>251227509/10^6</f>
      </c>
      <c r="H1067">
        <f>0</f>
      </c>
      <c r="I1067">
        <f>-37471039/10^6</f>
      </c>
      <c r="J1067">
        <f>0</f>
      </c>
    </row>
    <row r="1068">
      <c r="A1068" t="s">
        <v>1077</v>
      </c>
      <c r="B1068" t="s">
        <v>11</v>
      </c>
      <c r="C1068">
        <f>113170289063/10^6</f>
      </c>
      <c r="D1068">
        <f>0</f>
      </c>
      <c r="E1068">
        <f>749625488/10^6</f>
      </c>
      <c r="F1068">
        <f>0</f>
      </c>
      <c r="G1068">
        <f>250384781/10^6</f>
      </c>
      <c r="H1068">
        <f>0</f>
      </c>
      <c r="I1068">
        <f>-36906681/10^6</f>
      </c>
      <c r="J1068">
        <f>0</f>
      </c>
    </row>
    <row r="1069">
      <c r="A1069" t="s">
        <v>1078</v>
      </c>
      <c r="B1069" t="s">
        <v>11</v>
      </c>
      <c r="C1069">
        <f>1132506875/10^4</f>
      </c>
      <c r="D1069">
        <f>0</f>
      </c>
      <c r="E1069">
        <f>750097595/10^6</f>
      </c>
      <c r="F1069">
        <f>0</f>
      </c>
      <c r="G1069">
        <f>250435593/10^6</f>
      </c>
      <c r="H1069">
        <f>0</f>
      </c>
      <c r="I1069">
        <f>-36524921/10^6</f>
      </c>
      <c r="J1069">
        <f>0</f>
      </c>
    </row>
    <row r="1070">
      <c r="A1070" t="s">
        <v>1079</v>
      </c>
      <c r="B1070" t="s">
        <v>11</v>
      </c>
      <c r="C1070">
        <f>113458734375/10^6</f>
      </c>
      <c r="D1070">
        <f>0</f>
      </c>
      <c r="E1070">
        <f>749995178/10^6</f>
      </c>
      <c r="F1070">
        <f>0</f>
      </c>
      <c r="G1070">
        <f>250394333/10^6</f>
      </c>
      <c r="H1070">
        <f>0</f>
      </c>
      <c r="I1070">
        <f>-35947945/10^6</f>
      </c>
      <c r="J1070">
        <f>0</f>
      </c>
    </row>
    <row r="1071">
      <c r="A1071" t="s">
        <v>1080</v>
      </c>
      <c r="B1071" t="s">
        <v>11</v>
      </c>
      <c r="C1071">
        <f>113576453125/10^6</f>
      </c>
      <c r="D1071">
        <f>0</f>
      </c>
      <c r="E1071">
        <f>750125183/10^6</f>
      </c>
      <c r="F1071">
        <f>0</f>
      </c>
      <c r="G1071">
        <f>250515549/10^6</f>
      </c>
      <c r="H1071">
        <f>0</f>
      </c>
      <c r="I1071">
        <f>-3585379/10^5</f>
      </c>
      <c r="J1071">
        <f>0</f>
      </c>
    </row>
    <row r="1072">
      <c r="A1072" t="s">
        <v>1081</v>
      </c>
      <c r="B1072" t="s">
        <v>11</v>
      </c>
      <c r="C1072">
        <f>113578421875/10^6</f>
      </c>
      <c r="D1072">
        <f>0</f>
      </c>
      <c r="E1072">
        <f>751211121/10^6</f>
      </c>
      <c r="F1072">
        <f>0</f>
      </c>
      <c r="G1072">
        <f>25104007/10^5</f>
      </c>
      <c r="H1072">
        <f>0</f>
      </c>
      <c r="I1072">
        <f>-35955803/10^6</f>
      </c>
      <c r="J1072">
        <f>0</f>
      </c>
    </row>
    <row r="1073">
      <c r="A1073" t="s">
        <v>1082</v>
      </c>
      <c r="B1073" t="s">
        <v>11</v>
      </c>
      <c r="C1073">
        <f>113538710938/10^6</f>
      </c>
      <c r="D1073">
        <f>0</f>
      </c>
      <c r="E1073">
        <f>752574585/10^6</f>
      </c>
      <c r="F1073">
        <f>0</f>
      </c>
      <c r="G1073">
        <f>251369965/10^6</f>
      </c>
      <c r="H1073">
        <f>0</f>
      </c>
      <c r="I1073">
        <f>-35991356/10^6</f>
      </c>
      <c r="J1073">
        <f>0</f>
      </c>
    </row>
    <row r="1074">
      <c r="A1074" t="s">
        <v>1083</v>
      </c>
      <c r="B1074" t="s">
        <v>11</v>
      </c>
      <c r="C1074">
        <f>113450671875/10^6</f>
      </c>
      <c r="D1074">
        <f>0</f>
      </c>
      <c r="E1074">
        <f>753796082/10^6</f>
      </c>
      <c r="F1074">
        <f>0</f>
      </c>
      <c r="G1074">
        <f>251578232/10^6</f>
      </c>
      <c r="H1074">
        <f>0</f>
      </c>
      <c r="I1074">
        <f>-36711868/10^6</f>
      </c>
      <c r="J1074">
        <f>0</f>
      </c>
    </row>
    <row r="1075">
      <c r="A1075" t="s">
        <v>1084</v>
      </c>
      <c r="B1075" t="s">
        <v>11</v>
      </c>
      <c r="C1075">
        <f>11336646875/10^5</f>
      </c>
      <c r="D1075">
        <f>0</f>
      </c>
      <c r="E1075">
        <f>754362183/10^6</f>
      </c>
      <c r="F1075">
        <f>0</f>
      </c>
      <c r="G1075">
        <f>251877808/10^6</f>
      </c>
      <c r="H1075">
        <f>0</f>
      </c>
      <c r="I1075">
        <f>-37698269/10^6</f>
      </c>
      <c r="J1075">
        <f>0</f>
      </c>
    </row>
    <row r="1076">
      <c r="A1076" t="s">
        <v>1085</v>
      </c>
      <c r="B1076" t="s">
        <v>11</v>
      </c>
      <c r="C1076">
        <f>113355/10^0</f>
      </c>
      <c r="D1076">
        <f>0</f>
      </c>
      <c r="E1076">
        <f>754294067/10^6</f>
      </c>
      <c r="F1076">
        <f>0</f>
      </c>
      <c r="G1076">
        <f>251958511/10^6</f>
      </c>
      <c r="H1076">
        <f>0</f>
      </c>
      <c r="I1076">
        <f>-37760441/10^6</f>
      </c>
      <c r="J1076">
        <f>0</f>
      </c>
    </row>
    <row r="1077">
      <c r="A1077" t="s">
        <v>1086</v>
      </c>
      <c r="B1077" t="s">
        <v>11</v>
      </c>
      <c r="C1077">
        <f>11340609375/10^5</f>
      </c>
      <c r="D1077">
        <f>0</f>
      </c>
      <c r="E1077">
        <f>754272278/10^6</f>
      </c>
      <c r="F1077">
        <f>0</f>
      </c>
      <c r="G1077">
        <f>251801468/10^6</f>
      </c>
      <c r="H1077">
        <f>0</f>
      </c>
      <c r="I1077">
        <f>-37285984/10^6</f>
      </c>
      <c r="J1077">
        <f>0</f>
      </c>
    </row>
    <row r="1078">
      <c r="A1078" t="s">
        <v>1087</v>
      </c>
      <c r="B1078" t="s">
        <v>11</v>
      </c>
      <c r="C1078">
        <f>113543789063/10^6</f>
      </c>
      <c r="D1078">
        <f>0</f>
      </c>
      <c r="E1078">
        <f>754057922/10^6</f>
      </c>
      <c r="F1078">
        <f>0</f>
      </c>
      <c r="G1078">
        <f>251764389/10^6</f>
      </c>
      <c r="H1078">
        <f>0</f>
      </c>
      <c r="I1078">
        <f>-37063663/10^6</f>
      </c>
      <c r="J1078">
        <f>0</f>
      </c>
    </row>
    <row r="1079">
      <c r="A1079" t="s">
        <v>1088</v>
      </c>
      <c r="B1079" t="s">
        <v>11</v>
      </c>
      <c r="C1079">
        <f>113775679688/10^6</f>
      </c>
      <c r="D1079">
        <f>0</f>
      </c>
      <c r="E1079">
        <f>753059998/10^6</f>
      </c>
      <c r="F1079">
        <f>0</f>
      </c>
      <c r="G1079">
        <f>252037384/10^6</f>
      </c>
      <c r="H1079">
        <f>0</f>
      </c>
      <c r="I1079">
        <f>-36896358/10^6</f>
      </c>
      <c r="J1079">
        <f>0</f>
      </c>
    </row>
    <row r="1080">
      <c r="A1080" t="s">
        <v>1089</v>
      </c>
      <c r="B1080" t="s">
        <v>11</v>
      </c>
      <c r="C1080">
        <f>114032320313/10^6</f>
      </c>
      <c r="D1080">
        <f>0</f>
      </c>
      <c r="E1080">
        <f>751445374/10^6</f>
      </c>
      <c r="F1080">
        <f>0</f>
      </c>
      <c r="G1080">
        <f>252353287/10^6</f>
      </c>
      <c r="H1080">
        <f>0</f>
      </c>
      <c r="I1080">
        <f>-36702354/10^6</f>
      </c>
      <c r="J1080">
        <f>0</f>
      </c>
    </row>
    <row r="1081">
      <c r="A1081" t="s">
        <v>1090</v>
      </c>
      <c r="B1081" t="s">
        <v>11</v>
      </c>
      <c r="C1081">
        <f>114303367188/10^6</f>
      </c>
      <c r="D1081">
        <f>0</f>
      </c>
      <c r="E1081">
        <f>749681152/10^6</f>
      </c>
      <c r="F1081">
        <f>0</f>
      </c>
      <c r="G1081">
        <f>252494568/10^6</f>
      </c>
      <c r="H1081">
        <f>0</f>
      </c>
      <c r="I1081">
        <f>-36458179/10^6</f>
      </c>
      <c r="J1081">
        <f>0</f>
      </c>
    </row>
    <row r="1082">
      <c r="A1082" t="s">
        <v>1091</v>
      </c>
      <c r="B1082" t="s">
        <v>11</v>
      </c>
      <c r="C1082">
        <f>1146014375/10^4</f>
      </c>
      <c r="D1082">
        <f>0</f>
      </c>
      <c r="E1082">
        <f>748181641/10^6</f>
      </c>
      <c r="F1082">
        <f>0</f>
      </c>
      <c r="G1082">
        <f>252550079/10^6</f>
      </c>
      <c r="H1082">
        <f>0</f>
      </c>
      <c r="I1082">
        <f>-35968395/10^6</f>
      </c>
      <c r="J1082">
        <f>0</f>
      </c>
    </row>
    <row r="1083">
      <c r="A1083" t="s">
        <v>1092</v>
      </c>
      <c r="B1083" t="s">
        <v>11</v>
      </c>
      <c r="C1083">
        <f>114878757813/10^6</f>
      </c>
      <c r="D1083">
        <f>0</f>
      </c>
      <c r="E1083">
        <f>747255615/10^6</f>
      </c>
      <c r="F1083">
        <f>0</f>
      </c>
      <c r="G1083">
        <f>252671143/10^6</f>
      </c>
      <c r="H1083">
        <f>0</f>
      </c>
      <c r="I1083">
        <f>-35643013/10^6</f>
      </c>
      <c r="J1083">
        <f>0</f>
      </c>
    </row>
    <row r="1084">
      <c r="A1084" t="s">
        <v>1093</v>
      </c>
      <c r="B1084" t="s">
        <v>11</v>
      </c>
      <c r="C1084">
        <f>115150929688/10^6</f>
      </c>
      <c r="D1084">
        <f>0</f>
      </c>
      <c r="E1084">
        <f>746758606/10^6</f>
      </c>
      <c r="F1084">
        <f>0</f>
      </c>
      <c r="G1084">
        <f>25305011/10^5</f>
      </c>
      <c r="H1084">
        <f>0</f>
      </c>
      <c r="I1084">
        <f>-35742558/10^6</f>
      </c>
      <c r="J1084">
        <f>0</f>
      </c>
    </row>
    <row r="1085">
      <c r="A1085" t="s">
        <v>1094</v>
      </c>
      <c r="B1085" t="s">
        <v>11</v>
      </c>
      <c r="C1085">
        <f>115463484375/10^6</f>
      </c>
      <c r="D1085">
        <f>0</f>
      </c>
      <c r="E1085">
        <f>746204834/10^6</f>
      </c>
      <c r="F1085">
        <f>0</f>
      </c>
      <c r="G1085">
        <f>253447235/10^6</f>
      </c>
      <c r="H1085">
        <f>0</f>
      </c>
      <c r="I1085">
        <f>-35872025/10^6</f>
      </c>
      <c r="J1085">
        <f>0</f>
      </c>
    </row>
    <row r="1086">
      <c r="A1086" t="s">
        <v>1095</v>
      </c>
      <c r="B1086" t="s">
        <v>11</v>
      </c>
      <c r="C1086">
        <f>115771648438/10^6</f>
      </c>
      <c r="D1086">
        <f>0</f>
      </c>
      <c r="E1086">
        <f>745494263/10^6</f>
      </c>
      <c r="F1086">
        <f>0</f>
      </c>
      <c r="G1086">
        <f>25377594/10^5</f>
      </c>
      <c r="H1086">
        <f>0</f>
      </c>
      <c r="I1086">
        <f>-35813713/10^6</f>
      </c>
      <c r="J1086">
        <f>0</f>
      </c>
    </row>
    <row r="1087">
      <c r="A1087" t="s">
        <v>1096</v>
      </c>
      <c r="B1087" t="s">
        <v>11</v>
      </c>
      <c r="C1087">
        <f>116059570313/10^6</f>
      </c>
      <c r="D1087">
        <f>0</f>
      </c>
      <c r="E1087">
        <f>744591248/10^6</f>
      </c>
      <c r="F1087">
        <f>0</f>
      </c>
      <c r="G1087">
        <f>254267014/10^6</f>
      </c>
      <c r="H1087">
        <f>0</f>
      </c>
      <c r="I1087">
        <f>-35731152/10^6</f>
      </c>
      <c r="J1087">
        <f>0</f>
      </c>
    </row>
    <row r="1088">
      <c r="A1088" t="s">
        <v>1097</v>
      </c>
      <c r="B1088" t="s">
        <v>11</v>
      </c>
      <c r="C1088">
        <f>116393046875/10^6</f>
      </c>
      <c r="D1088">
        <f>0</f>
      </c>
      <c r="E1088">
        <f>743092468/10^6</f>
      </c>
      <c r="F1088">
        <f>0</f>
      </c>
      <c r="G1088">
        <f>254659958/10^6</f>
      </c>
      <c r="H1088">
        <f>0</f>
      </c>
      <c r="I1088">
        <f>-35658455/10^6</f>
      </c>
      <c r="J1088">
        <f>0</f>
      </c>
    </row>
    <row r="1089">
      <c r="A1089" t="s">
        <v>1098</v>
      </c>
      <c r="B1089" t="s">
        <v>11</v>
      </c>
      <c r="C1089">
        <f>116792492188/10^6</f>
      </c>
      <c r="D1089">
        <f>0</f>
      </c>
      <c r="E1089">
        <f>741119263/10^6</f>
      </c>
      <c r="F1089">
        <f>0</f>
      </c>
      <c r="G1089">
        <f>254931305/10^6</f>
      </c>
      <c r="H1089">
        <f>0</f>
      </c>
      <c r="I1089">
        <f>-35402966/10^6</f>
      </c>
      <c r="J1089">
        <f>0</f>
      </c>
    </row>
    <row r="1090">
      <c r="A1090" t="s">
        <v>1099</v>
      </c>
      <c r="B1090" t="s">
        <v>11</v>
      </c>
      <c r="C1090">
        <f>11722178125/10^5</f>
      </c>
      <c r="D1090">
        <f>0</f>
      </c>
      <c r="E1090">
        <f>739327026/10^6</f>
      </c>
      <c r="F1090">
        <f>0</f>
      </c>
      <c r="G1090">
        <f>255212967/10^6</f>
      </c>
      <c r="H1090">
        <f>0</f>
      </c>
      <c r="I1090">
        <f>-35111423/10^6</f>
      </c>
      <c r="J1090">
        <f>0</f>
      </c>
    </row>
    <row r="1091">
      <c r="A1091" t="s">
        <v>1100</v>
      </c>
      <c r="B1091" t="s">
        <v>11</v>
      </c>
      <c r="C1091">
        <f>1176875/10^1</f>
      </c>
      <c r="D1091">
        <f>0</f>
      </c>
      <c r="E1091">
        <f>737525635/10^6</f>
      </c>
      <c r="F1091">
        <f>0</f>
      </c>
      <c r="G1091">
        <f>255526932/10^6</f>
      </c>
      <c r="H1091">
        <f>0</f>
      </c>
      <c r="I1091">
        <f>-34898232/10^6</f>
      </c>
      <c r="J1091">
        <f>0</f>
      </c>
    </row>
    <row r="1092">
      <c r="A1092" t="s">
        <v>1101</v>
      </c>
      <c r="B1092" t="s">
        <v>11</v>
      </c>
      <c r="C1092">
        <f>118235992188/10^6</f>
      </c>
      <c r="D1092">
        <f>0</f>
      </c>
      <c r="E1092">
        <f>735112/10^3</f>
      </c>
      <c r="F1092">
        <f>0</f>
      </c>
      <c r="G1092">
        <f>255943268/10^6</f>
      </c>
      <c r="H1092">
        <f>0</f>
      </c>
      <c r="I1092">
        <f>-34650585/10^6</f>
      </c>
      <c r="J1092">
        <f>0</f>
      </c>
    </row>
    <row r="1093">
      <c r="A1093" t="s">
        <v>1102</v>
      </c>
      <c r="B1093" t="s">
        <v>11</v>
      </c>
      <c r="C1093">
        <f>118872875/10^3</f>
      </c>
      <c r="D1093">
        <f>0</f>
      </c>
      <c r="E1093">
        <f>732268372/10^6</f>
      </c>
      <c r="F1093">
        <f>0</f>
      </c>
      <c r="G1093">
        <f>256287811/10^6</f>
      </c>
      <c r="H1093">
        <f>0</f>
      </c>
      <c r="I1093">
        <f>-34419876/10^6</f>
      </c>
      <c r="J1093">
        <f>0</f>
      </c>
    </row>
    <row r="1094">
      <c r="A1094" t="s">
        <v>1103</v>
      </c>
      <c r="B1094" t="s">
        <v>11</v>
      </c>
      <c r="C1094">
        <f>119573710938/10^6</f>
      </c>
      <c r="D1094">
        <f>0</f>
      </c>
      <c r="E1094">
        <f>729072205/10^6</f>
      </c>
      <c r="F1094">
        <f>0</f>
      </c>
      <c r="G1094">
        <f>256717072/10^6</f>
      </c>
      <c r="H1094">
        <f>0</f>
      </c>
      <c r="I1094">
        <f>-34071358/10^6</f>
      </c>
      <c r="J1094">
        <f>0</f>
      </c>
    </row>
    <row r="1095">
      <c r="A1095" t="s">
        <v>1104</v>
      </c>
      <c r="B1095" t="s">
        <v>11</v>
      </c>
      <c r="C1095">
        <f>120311179688/10^6</f>
      </c>
      <c r="D1095">
        <f>0</f>
      </c>
      <c r="E1095">
        <f>72553595/10^5</f>
      </c>
      <c r="F1095">
        <f>0</f>
      </c>
      <c r="G1095">
        <f>257199188/10^6</f>
      </c>
      <c r="H1095">
        <f>0</f>
      </c>
      <c r="I1095">
        <f>-33686352/10^6</f>
      </c>
      <c r="J1095">
        <f>0</f>
      </c>
    </row>
    <row r="1096">
      <c r="A1096" t="s">
        <v>1105</v>
      </c>
      <c r="B1096" t="s">
        <v>11</v>
      </c>
      <c r="C1096">
        <f>121058421875/10^6</f>
      </c>
      <c r="D1096">
        <f>0</f>
      </c>
      <c r="E1096">
        <f>721951965/10^6</f>
      </c>
      <c r="F1096">
        <f>0</f>
      </c>
      <c r="G1096">
        <f>257508911/10^6</f>
      </c>
      <c r="H1096">
        <f>0</f>
      </c>
      <c r="I1096">
        <f>-33401356/10^6</f>
      </c>
      <c r="J1096">
        <f>0</f>
      </c>
    </row>
    <row r="1097">
      <c r="A1097" t="s">
        <v>1106</v>
      </c>
      <c r="B1097" t="s">
        <v>11</v>
      </c>
      <c r="C1097">
        <f>1217875/10^1</f>
      </c>
      <c r="D1097">
        <f>0</f>
      </c>
      <c r="E1097">
        <f>718195923/10^6</f>
      </c>
      <c r="F1097">
        <f>0</f>
      </c>
      <c r="G1097">
        <f>257903564/10^6</f>
      </c>
      <c r="H1097">
        <f>0</f>
      </c>
      <c r="I1097">
        <f>-33056995/10^6</f>
      </c>
      <c r="J1097">
        <f>0</f>
      </c>
    </row>
    <row r="1098">
      <c r="A1098" t="s">
        <v>1107</v>
      </c>
      <c r="B1098" t="s">
        <v>11</v>
      </c>
      <c r="C1098">
        <f>122422070313/10^6</f>
      </c>
      <c r="D1098">
        <f>0</f>
      </c>
      <c r="E1098">
        <f>714515747/10^6</f>
      </c>
      <c r="F1098">
        <f>0</f>
      </c>
      <c r="G1098">
        <f>258205963/10^6</f>
      </c>
      <c r="H1098">
        <f>0</f>
      </c>
      <c r="I1098">
        <f>-32770481/10^6</f>
      </c>
      <c r="J1098">
        <f>0</f>
      </c>
    </row>
    <row r="1099">
      <c r="A1099" t="s">
        <v>1108</v>
      </c>
      <c r="B1099" t="s">
        <v>11</v>
      </c>
      <c r="C1099">
        <f>122908523438/10^6</f>
      </c>
      <c r="D1099">
        <f>0</f>
      </c>
      <c r="E1099">
        <f>711476929/10^6</f>
      </c>
      <c r="F1099">
        <f>0</f>
      </c>
      <c r="G1099">
        <f>258236969/10^6</f>
      </c>
      <c r="H1099">
        <f>0</f>
      </c>
      <c r="I1099">
        <f>-32445122/10^6</f>
      </c>
      <c r="J1099">
        <f>0</f>
      </c>
    </row>
    <row r="1100">
      <c r="A1100" t="s">
        <v>1109</v>
      </c>
      <c r="B1100" t="s">
        <v>11</v>
      </c>
      <c r="C1100">
        <f>123279320313/10^6</f>
      </c>
      <c r="D1100">
        <f>0</f>
      </c>
      <c r="E1100">
        <f>709053467/10^6</f>
      </c>
      <c r="F1100">
        <f>0</f>
      </c>
      <c r="G1100">
        <f>258272552/10^6</f>
      </c>
      <c r="H1100">
        <f>0</f>
      </c>
      <c r="I1100">
        <f>-32051285/10^6</f>
      </c>
      <c r="J1100">
        <f>0</f>
      </c>
    </row>
    <row r="1101">
      <c r="A1101" t="s">
        <v>1110</v>
      </c>
      <c r="B1101" t="s">
        <v>11</v>
      </c>
      <c r="C1101">
        <f>123570039063/10^6</f>
      </c>
      <c r="D1101">
        <f>0</f>
      </c>
      <c r="E1101">
        <f>707289001/10^6</f>
      </c>
      <c r="F1101">
        <f>0</f>
      </c>
      <c r="G1101">
        <f>258286926/10^6</f>
      </c>
      <c r="H1101">
        <f>0</f>
      </c>
      <c r="I1101">
        <f>-31910082/10^6</f>
      </c>
      <c r="J1101">
        <f>0</f>
      </c>
    </row>
    <row r="1102">
      <c r="A1102" t="s">
        <v>1111</v>
      </c>
      <c r="B1102" t="s">
        <v>11</v>
      </c>
      <c r="C1102">
        <f>1237994375/10^4</f>
      </c>
      <c r="D1102">
        <f>0</f>
      </c>
      <c r="E1102">
        <f>706130432/10^6</f>
      </c>
      <c r="F1102">
        <f>0</f>
      </c>
      <c r="G1102">
        <f>258239868/10^6</f>
      </c>
      <c r="H1102">
        <f>0</f>
      </c>
      <c r="I1102">
        <f>-31869596/10^6</f>
      </c>
      <c r="J1102">
        <f>0</f>
      </c>
    </row>
    <row r="1103">
      <c r="A1103" t="s">
        <v>1112</v>
      </c>
      <c r="B1103" t="s">
        <v>11</v>
      </c>
      <c r="C1103">
        <f>123974140625/10^6</f>
      </c>
      <c r="D1103">
        <f>0</f>
      </c>
      <c r="E1103">
        <f>705021545/10^6</f>
      </c>
      <c r="F1103">
        <f>0</f>
      </c>
      <c r="G1103">
        <f>258205627/10^6</f>
      </c>
      <c r="H1103">
        <f>0</f>
      </c>
      <c r="I1103">
        <f>-31806629/10^6</f>
      </c>
      <c r="J1103">
        <f>0</f>
      </c>
    </row>
    <row r="1104">
      <c r="A1104" t="s">
        <v>1113</v>
      </c>
      <c r="B1104" t="s">
        <v>11</v>
      </c>
      <c r="C1104">
        <f>124082445313/10^6</f>
      </c>
      <c r="D1104">
        <f>0</f>
      </c>
      <c r="E1104">
        <f>703950256/10^6</f>
      </c>
      <c r="F1104">
        <f>0</f>
      </c>
      <c r="G1104">
        <f>25812973/10^5</f>
      </c>
      <c r="H1104">
        <f>0</f>
      </c>
      <c r="I1104">
        <f>-31851286/10^6</f>
      </c>
      <c r="J1104">
        <f>0</f>
      </c>
    </row>
    <row r="1105">
      <c r="A1105" t="s">
        <v>1114</v>
      </c>
      <c r="B1105" t="s">
        <v>11</v>
      </c>
      <c r="C1105">
        <f>12413190625/10^5</f>
      </c>
      <c r="D1105">
        <f>0</f>
      </c>
      <c r="E1105">
        <f>703536682/10^6</f>
      </c>
      <c r="F1105">
        <f>0</f>
      </c>
      <c r="G1105">
        <f>258045532/10^6</f>
      </c>
      <c r="H1105">
        <f>0</f>
      </c>
      <c r="I1105">
        <f>-31912878/10^6</f>
      </c>
      <c r="J1105">
        <f>0</f>
      </c>
    </row>
    <row r="1106">
      <c r="A1106" t="s">
        <v>1115</v>
      </c>
      <c r="B1106" t="s">
        <v>11</v>
      </c>
      <c r="C1106">
        <f>124138304688/10^6</f>
      </c>
      <c r="D1106">
        <f>0</f>
      </c>
      <c r="E1106">
        <f>703513672/10^6</f>
      </c>
      <c r="F1106">
        <f>0</f>
      </c>
      <c r="G1106">
        <f>257966858/10^6</f>
      </c>
      <c r="H1106">
        <f>0</f>
      </c>
      <c r="I1106">
        <f>-31970058/10^6</f>
      </c>
      <c r="J1106">
        <f>0</f>
      </c>
    </row>
    <row r="1107">
      <c r="A1107" t="s">
        <v>1116</v>
      </c>
      <c r="B1107" t="s">
        <v>11</v>
      </c>
      <c r="C1107">
        <f>12411090625/10^5</f>
      </c>
      <c r="D1107">
        <f>0</f>
      </c>
      <c r="E1107">
        <f>703130188/10^6</f>
      </c>
      <c r="F1107">
        <f>0</f>
      </c>
      <c r="G1107">
        <f>257858429/10^6</f>
      </c>
      <c r="H1107">
        <f>0</f>
      </c>
      <c r="I1107">
        <f>-32039589/10^6</f>
      </c>
      <c r="J1107">
        <f>0</f>
      </c>
    </row>
    <row r="1108">
      <c r="A1108" t="s">
        <v>1117</v>
      </c>
      <c r="B1108" t="s">
        <v>11</v>
      </c>
      <c r="C1108">
        <f>124066765625/10^6</f>
      </c>
      <c r="D1108">
        <f>0</f>
      </c>
      <c r="E1108">
        <f>702926575/10^6</f>
      </c>
      <c r="F1108">
        <f>0</f>
      </c>
      <c r="G1108">
        <f>257763397/10^6</f>
      </c>
      <c r="H1108">
        <f>0</f>
      </c>
      <c r="I1108">
        <f>-32116074/10^6</f>
      </c>
      <c r="J1108">
        <f>0</f>
      </c>
    </row>
    <row r="1109">
      <c r="A1109" t="s">
        <v>1118</v>
      </c>
      <c r="B1109" t="s">
        <v>11</v>
      </c>
      <c r="C1109">
        <f>124003921875/10^6</f>
      </c>
      <c r="D1109">
        <f>0</f>
      </c>
      <c r="E1109">
        <f>703269043/10^6</f>
      </c>
      <c r="F1109">
        <f>0</f>
      </c>
      <c r="G1109">
        <f>257643036/10^6</f>
      </c>
      <c r="H1109">
        <f>0</f>
      </c>
      <c r="I1109">
        <f>-32316441/10^6</f>
      </c>
      <c r="J1109">
        <f>0</f>
      </c>
    </row>
    <row r="1110">
      <c r="A1110" t="s">
        <v>1119</v>
      </c>
      <c r="B1110" t="s">
        <v>11</v>
      </c>
      <c r="C1110">
        <f>123881648438/10^6</f>
      </c>
      <c r="D1110">
        <f>0</f>
      </c>
      <c r="E1110">
        <f>703593079/10^6</f>
      </c>
      <c r="F1110">
        <f>0</f>
      </c>
      <c r="G1110">
        <f>257517059/10^6</f>
      </c>
      <c r="H1110">
        <f>0</f>
      </c>
      <c r="I1110">
        <f>-32538307/10^6</f>
      </c>
      <c r="J1110">
        <f>0</f>
      </c>
    </row>
    <row r="1111">
      <c r="A1111" t="s">
        <v>1120</v>
      </c>
      <c r="B1111" t="s">
        <v>11</v>
      </c>
      <c r="C1111">
        <f>123663351563/10^6</f>
      </c>
      <c r="D1111">
        <f>0</f>
      </c>
      <c r="E1111">
        <f>704255798/10^6</f>
      </c>
      <c r="F1111">
        <f>0</f>
      </c>
      <c r="G1111">
        <f>257393036/10^6</f>
      </c>
      <c r="H1111">
        <f>0</f>
      </c>
      <c r="I1111">
        <f>-32726379/10^6</f>
      </c>
      <c r="J1111">
        <f>0</f>
      </c>
    </row>
    <row r="1112">
      <c r="A1112" t="s">
        <v>1121</v>
      </c>
      <c r="B1112" t="s">
        <v>11</v>
      </c>
      <c r="C1112">
        <f>12337715625/10^5</f>
      </c>
      <c r="D1112">
        <f>0</f>
      </c>
      <c r="E1112">
        <f>705708008/10^6</f>
      </c>
      <c r="F1112">
        <f>0</f>
      </c>
      <c r="G1112">
        <f>257213531/10^6</f>
      </c>
      <c r="H1112">
        <f>0</f>
      </c>
      <c r="I1112">
        <f>-32934898/10^6</f>
      </c>
      <c r="J1112">
        <f>0</f>
      </c>
    </row>
    <row r="1113">
      <c r="A1113" t="s">
        <v>1122</v>
      </c>
      <c r="B1113" t="s">
        <v>11</v>
      </c>
      <c r="C1113">
        <f>123076328125/10^6</f>
      </c>
      <c r="D1113">
        <f>0</f>
      </c>
      <c r="E1113">
        <f>707351746/10^6</f>
      </c>
      <c r="F1113">
        <f>0</f>
      </c>
      <c r="G1113">
        <f>257071594/10^6</f>
      </c>
      <c r="H1113">
        <f>0</f>
      </c>
      <c r="I1113">
        <f>-33152596/10^6</f>
      </c>
      <c r="J1113">
        <f>0</f>
      </c>
    </row>
    <row r="1114">
      <c r="A1114" t="s">
        <v>1123</v>
      </c>
      <c r="B1114" t="s">
        <v>11</v>
      </c>
      <c r="C1114">
        <f>122742367188/10^6</f>
      </c>
      <c r="D1114">
        <f>0</f>
      </c>
      <c r="E1114">
        <f>708911255/10^6</f>
      </c>
      <c r="F1114">
        <f>0</f>
      </c>
      <c r="G1114">
        <f>256930359/10^6</f>
      </c>
      <c r="H1114">
        <f>0</f>
      </c>
      <c r="I1114">
        <f>-33552673/10^6</f>
      </c>
      <c r="J1114">
        <f>0</f>
      </c>
    </row>
    <row r="1115">
      <c r="A1115" t="s">
        <v>1124</v>
      </c>
      <c r="B1115" t="s">
        <v>11</v>
      </c>
      <c r="C1115">
        <f>122356320313/10^6</f>
      </c>
      <c r="D1115">
        <f>0</f>
      </c>
      <c r="E1115">
        <f>710940247/10^6</f>
      </c>
      <c r="F1115">
        <f>0</f>
      </c>
      <c r="G1115">
        <f>256765656/10^6</f>
      </c>
      <c r="H1115">
        <f>0</f>
      </c>
      <c r="I1115">
        <f>-33957752/10^6</f>
      </c>
      <c r="J1115">
        <f>0</f>
      </c>
    </row>
    <row r="1116">
      <c r="A1116" t="s">
        <v>1125</v>
      </c>
      <c r="B1116" t="s">
        <v>11</v>
      </c>
      <c r="C1116">
        <f>1219741875/10^4</f>
      </c>
      <c r="D1116">
        <f>0</f>
      </c>
      <c r="E1116">
        <f>713444702/10^6</f>
      </c>
      <c r="F1116">
        <f>0</f>
      </c>
      <c r="G1116">
        <f>256666809/10^6</f>
      </c>
      <c r="H1116">
        <f>0</f>
      </c>
      <c r="I1116">
        <f>-34387924/10^6</f>
      </c>
      <c r="J1116">
        <f>0</f>
      </c>
    </row>
    <row r="1117">
      <c r="A1117" t="s">
        <v>1126</v>
      </c>
      <c r="B1117" t="s">
        <v>11</v>
      </c>
      <c r="C1117">
        <f>121614375/10^3</f>
      </c>
      <c r="D1117">
        <f>0</f>
      </c>
      <c r="E1117">
        <f>715598694/10^6</f>
      </c>
      <c r="F1117">
        <f>0</f>
      </c>
      <c r="G1117">
        <f>256586243/10^6</f>
      </c>
      <c r="H1117">
        <f>0</f>
      </c>
      <c r="I1117">
        <f>-3507798/10^5</f>
      </c>
      <c r="J1117">
        <f>0</f>
      </c>
    </row>
    <row r="1118">
      <c r="A1118" t="s">
        <v>1127</v>
      </c>
      <c r="B1118" t="s">
        <v>11</v>
      </c>
      <c r="C1118">
        <f>121236421875/10^6</f>
      </c>
      <c r="D1118">
        <f>0</f>
      </c>
      <c r="E1118">
        <f>717415771/10^6</f>
      </c>
      <c r="F1118">
        <f>0</f>
      </c>
      <c r="G1118">
        <f>25650058/10^5</f>
      </c>
      <c r="H1118">
        <f>0</f>
      </c>
      <c r="I1118">
        <f>-35608349/10^6</f>
      </c>
      <c r="J1118">
        <f>0</f>
      </c>
    </row>
    <row r="1119">
      <c r="A1119" t="s">
        <v>1128</v>
      </c>
      <c r="B1119" t="s">
        <v>11</v>
      </c>
      <c r="C1119">
        <f>120855484375/10^6</f>
      </c>
      <c r="D1119">
        <f>0</f>
      </c>
      <c r="E1119">
        <f>719535889/10^6</f>
      </c>
      <c r="F1119">
        <f>0</f>
      </c>
      <c r="G1119">
        <f>256397827/10^6</f>
      </c>
      <c r="H1119">
        <f>0</f>
      </c>
      <c r="I1119">
        <f>-3603297/10^5</f>
      </c>
      <c r="J1119">
        <f>0</f>
      </c>
    </row>
    <row r="1120">
      <c r="A1120" t="s">
        <v>1129</v>
      </c>
      <c r="B1120" t="s">
        <v>11</v>
      </c>
      <c r="C1120">
        <f>120510539063/10^6</f>
      </c>
      <c r="D1120">
        <f>0</f>
      </c>
      <c r="E1120">
        <f>721576294/10^6</f>
      </c>
      <c r="F1120">
        <f>0</f>
      </c>
      <c r="G1120">
        <f>256297424/10^6</f>
      </c>
      <c r="H1120">
        <f>0</f>
      </c>
      <c r="I1120">
        <f>-36512646/10^6</f>
      </c>
      <c r="J1120">
        <f>0</f>
      </c>
    </row>
    <row r="1121">
      <c r="A1121" t="s">
        <v>1130</v>
      </c>
      <c r="B1121" t="s">
        <v>11</v>
      </c>
      <c r="C1121">
        <f>120173265625/10^6</f>
      </c>
      <c r="D1121">
        <f>0</f>
      </c>
      <c r="E1121">
        <f>723284302/10^6</f>
      </c>
      <c r="F1121">
        <f>0</f>
      </c>
      <c r="G1121">
        <f>25618399/10^5</f>
      </c>
      <c r="H1121">
        <f>0</f>
      </c>
      <c r="I1121">
        <f>-36885624/10^6</f>
      </c>
      <c r="J1121">
        <f>0</f>
      </c>
    </row>
    <row r="1122">
      <c r="A1122" t="s">
        <v>1131</v>
      </c>
      <c r="B1122" t="s">
        <v>11</v>
      </c>
      <c r="C1122">
        <f>119802335938/10^6</f>
      </c>
      <c r="D1122">
        <f>0</f>
      </c>
      <c r="E1122">
        <f>72518634/10^5</f>
      </c>
      <c r="F1122">
        <f>0</f>
      </c>
      <c r="G1122">
        <f>256005981/10^6</f>
      </c>
      <c r="H1122">
        <f>0</f>
      </c>
      <c r="I1122">
        <f>-37281605/10^6</f>
      </c>
      <c r="J1122">
        <f>0</f>
      </c>
    </row>
    <row r="1123">
      <c r="A1123" t="s">
        <v>1132</v>
      </c>
      <c r="B1123" t="s">
        <v>11</v>
      </c>
      <c r="C1123">
        <f>11942034375/10^5</f>
      </c>
      <c r="D1123">
        <f>0</f>
      </c>
      <c r="E1123">
        <f>727191284/10^6</f>
      </c>
      <c r="F1123">
        <f>0</f>
      </c>
      <c r="G1123">
        <f>255877289/10^6</f>
      </c>
      <c r="H1123">
        <f>0</f>
      </c>
      <c r="I1123">
        <f>-37638199/10^6</f>
      </c>
      <c r="J1123">
        <f>0</f>
      </c>
    </row>
    <row r="1124">
      <c r="A1124" t="s">
        <v>1133</v>
      </c>
      <c r="B1124" t="s">
        <v>11</v>
      </c>
      <c r="C1124">
        <f>119062601563/10^6</f>
      </c>
      <c r="D1124">
        <f>0</f>
      </c>
      <c r="E1124">
        <f>729226379/10^6</f>
      </c>
      <c r="F1124">
        <f>0</f>
      </c>
      <c r="G1124">
        <f>255752106/10^6</f>
      </c>
      <c r="H1124">
        <f>0</f>
      </c>
      <c r="I1124">
        <f>-38077129/10^6</f>
      </c>
      <c r="J1124">
        <f>0</f>
      </c>
    </row>
    <row r="1125">
      <c r="A1125" t="s">
        <v>1134</v>
      </c>
      <c r="B1125" t="s">
        <v>11</v>
      </c>
      <c r="C1125">
        <f>11874890625/10^5</f>
      </c>
      <c r="D1125">
        <f>0</f>
      </c>
      <c r="E1125">
        <f>731478577/10^6</f>
      </c>
      <c r="F1125">
        <f>0</f>
      </c>
      <c r="G1125">
        <f>255581604/10^6</f>
      </c>
      <c r="H1125">
        <f>0</f>
      </c>
      <c r="I1125">
        <f>-38561794/10^6</f>
      </c>
      <c r="J1125">
        <f>0</f>
      </c>
    </row>
    <row r="1126">
      <c r="A1126" t="s">
        <v>1135</v>
      </c>
      <c r="B1126" t="s">
        <v>11</v>
      </c>
      <c r="C1126">
        <f>118505804688/10^6</f>
      </c>
      <c r="D1126">
        <f>0</f>
      </c>
      <c r="E1126">
        <f>733405762/10^6</f>
      </c>
      <c r="F1126">
        <f>0</f>
      </c>
      <c r="G1126">
        <f>25556485/10^5</f>
      </c>
      <c r="H1126">
        <f>0</f>
      </c>
      <c r="I1126">
        <f>-38895611/10^6</f>
      </c>
      <c r="J1126">
        <f>0</f>
      </c>
    </row>
    <row r="1127">
      <c r="A1127" t="s">
        <v>1136</v>
      </c>
      <c r="B1127" t="s">
        <v>11</v>
      </c>
      <c r="C1127">
        <f>118295484375/10^6</f>
      </c>
      <c r="D1127">
        <f>0</f>
      </c>
      <c r="E1127">
        <f>734720581/10^6</f>
      </c>
      <c r="F1127">
        <f>0</f>
      </c>
      <c r="G1127">
        <f>255672058/10^6</f>
      </c>
      <c r="H1127">
        <f>0</f>
      </c>
      <c r="I1127">
        <f>-39294765/10^6</f>
      </c>
      <c r="J1127">
        <f>0</f>
      </c>
    </row>
    <row r="1128">
      <c r="A1128" t="s">
        <v>1137</v>
      </c>
      <c r="B1128" t="s">
        <v>11</v>
      </c>
      <c r="C1128">
        <f>118058914063/10^6</f>
      </c>
      <c r="D1128">
        <f>0</f>
      </c>
      <c r="E1128">
        <f>735990906/10^6</f>
      </c>
      <c r="F1128">
        <f>0</f>
      </c>
      <c r="G1128">
        <f>255717804/10^6</f>
      </c>
      <c r="H1128">
        <f>0</f>
      </c>
      <c r="I1128">
        <f>-39631474/10^6</f>
      </c>
      <c r="J1128">
        <f>0</f>
      </c>
    </row>
    <row r="1129">
      <c r="A1129" t="s">
        <v>1138</v>
      </c>
      <c r="B1129" t="s">
        <v>11</v>
      </c>
      <c r="C1129">
        <f>117832476563/10^6</f>
      </c>
      <c r="D1129">
        <f>0</f>
      </c>
      <c r="E1129">
        <f>737527832/10^6</f>
      </c>
      <c r="F1129">
        <f>0</f>
      </c>
      <c r="G1129">
        <f>2557285/10^4</f>
      </c>
      <c r="H1129">
        <f>0</f>
      </c>
      <c r="I1129">
        <f>-39835232/10^6</f>
      </c>
      <c r="J1129">
        <f>0</f>
      </c>
    </row>
    <row r="1130">
      <c r="A1130" t="s">
        <v>1139</v>
      </c>
      <c r="B1130" t="s">
        <v>11</v>
      </c>
      <c r="C1130">
        <f>1176409375/10^4</f>
      </c>
      <c r="D1130">
        <f>0</f>
      </c>
      <c r="E1130">
        <f>739045105/10^6</f>
      </c>
      <c r="F1130">
        <f>0</f>
      </c>
      <c r="G1130">
        <f>255759171/10^6</f>
      </c>
      <c r="H1130">
        <f>0</f>
      </c>
      <c r="I1130">
        <f>-40036591/10^6</f>
      </c>
      <c r="J1130">
        <f>0</f>
      </c>
    </row>
    <row r="1131">
      <c r="A1131" t="s">
        <v>1140</v>
      </c>
      <c r="B1131" t="s">
        <v>11</v>
      </c>
      <c r="C1131">
        <f>117440984375/10^6</f>
      </c>
      <c r="D1131">
        <f>0</f>
      </c>
      <c r="E1131">
        <f>740349304/10^6</f>
      </c>
      <c r="F1131">
        <f>0</f>
      </c>
      <c r="G1131">
        <f>25574263/10^5</f>
      </c>
      <c r="H1131">
        <f>0</f>
      </c>
      <c r="I1131">
        <f>-40270317/10^6</f>
      </c>
      <c r="J1131">
        <f>0</f>
      </c>
    </row>
    <row r="1132">
      <c r="A1132" t="s">
        <v>1141</v>
      </c>
      <c r="B1132" t="s">
        <v>11</v>
      </c>
      <c r="C1132">
        <f>11723940625/10^5</f>
      </c>
      <c r="D1132">
        <f>0</f>
      </c>
      <c r="E1132">
        <f>741595093/10^6</f>
      </c>
      <c r="F1132">
        <f>0</f>
      </c>
      <c r="G1132">
        <f>255684067/10^6</f>
      </c>
      <c r="H1132">
        <f>0</f>
      </c>
      <c r="I1132">
        <f>-40600719/10^6</f>
      </c>
      <c r="J1132">
        <f>0</f>
      </c>
    </row>
    <row r="1133">
      <c r="A1133" t="s">
        <v>1142</v>
      </c>
      <c r="B1133" t="s">
        <v>11</v>
      </c>
      <c r="C1133">
        <f>11706275/10^2</f>
      </c>
      <c r="D1133">
        <f>0</f>
      </c>
      <c r="E1133">
        <f>742818298/10^6</f>
      </c>
      <c r="F1133">
        <f>0</f>
      </c>
      <c r="G1133">
        <f>255645844/10^6</f>
      </c>
      <c r="H1133">
        <f>0</f>
      </c>
      <c r="I1133">
        <f>-40862125/10^6</f>
      </c>
      <c r="J1133">
        <f>0</f>
      </c>
    </row>
    <row r="1134">
      <c r="A1134" t="s">
        <v>1143</v>
      </c>
      <c r="B1134" t="s">
        <v>11</v>
      </c>
      <c r="C1134">
        <f>116865015625/10^6</f>
      </c>
      <c r="D1134">
        <f>0</f>
      </c>
      <c r="E1134">
        <f>744034485/10^6</f>
      </c>
      <c r="F1134">
        <f>0</f>
      </c>
      <c r="G1134">
        <f>255579636/10^6</f>
      </c>
      <c r="H1134">
        <f>0</f>
      </c>
      <c r="I1134">
        <f>-41078304/10^6</f>
      </c>
      <c r="J1134">
        <f>0</f>
      </c>
    </row>
    <row r="1135">
      <c r="A1135" t="s">
        <v>1144</v>
      </c>
      <c r="B1135" t="s">
        <v>11</v>
      </c>
      <c r="C1135">
        <f>116612648438/10^6</f>
      </c>
      <c r="D1135">
        <f>0</f>
      </c>
      <c r="E1135">
        <f>745464661/10^6</f>
      </c>
      <c r="F1135">
        <f>0</f>
      </c>
      <c r="G1135">
        <f>255491684/10^6</f>
      </c>
      <c r="H1135">
        <f>0</f>
      </c>
      <c r="I1135">
        <f>-41312393/10^6</f>
      </c>
      <c r="J1135">
        <f>0</f>
      </c>
    </row>
    <row r="1136">
      <c r="A1136" t="s">
        <v>1145</v>
      </c>
      <c r="B1136" t="s">
        <v>11</v>
      </c>
      <c r="C1136">
        <f>11634203125/10^5</f>
      </c>
      <c r="D1136">
        <f>0</f>
      </c>
      <c r="E1136">
        <f>74717157/10^5</f>
      </c>
      <c r="F1136">
        <f>0</f>
      </c>
      <c r="G1136">
        <f>255461746/10^6</f>
      </c>
      <c r="H1136">
        <f>0</f>
      </c>
      <c r="I1136">
        <f>-41527866/10^6</f>
      </c>
      <c r="J1136">
        <f>0</f>
      </c>
    </row>
    <row r="1137">
      <c r="A1137" t="s">
        <v>1146</v>
      </c>
      <c r="B1137" t="s">
        <v>11</v>
      </c>
      <c r="C1137">
        <f>116072648438/10^6</f>
      </c>
      <c r="D1137">
        <f>0</f>
      </c>
      <c r="E1137">
        <f>748981201/10^6</f>
      </c>
      <c r="F1137">
        <f>0</f>
      </c>
      <c r="G1137">
        <f>255485184/10^6</f>
      </c>
      <c r="H1137">
        <f>0</f>
      </c>
      <c r="I1137">
        <f>-41801277/10^6</f>
      </c>
      <c r="J1137">
        <f>0</f>
      </c>
    </row>
    <row r="1138">
      <c r="A1138" t="s">
        <v>1147</v>
      </c>
      <c r="B1138" t="s">
        <v>11</v>
      </c>
      <c r="C1138">
        <f>115795835938/10^6</f>
      </c>
      <c r="D1138">
        <f>0</f>
      </c>
      <c r="E1138">
        <f>750759094/10^6</f>
      </c>
      <c r="F1138">
        <f>0</f>
      </c>
      <c r="G1138">
        <f>255467819/10^6</f>
      </c>
      <c r="H1138">
        <f>0</f>
      </c>
      <c r="I1138">
        <f>-42010979/10^6</f>
      </c>
      <c r="J1138">
        <f>0</f>
      </c>
    </row>
    <row r="1139">
      <c r="A1139" t="s">
        <v>1148</v>
      </c>
      <c r="B1139" t="s">
        <v>11</v>
      </c>
      <c r="C1139">
        <f>115525921875/10^6</f>
      </c>
      <c r="D1139">
        <f>0</f>
      </c>
      <c r="E1139">
        <f>752257263/10^6</f>
      </c>
      <c r="F1139">
        <f>0</f>
      </c>
      <c r="G1139">
        <f>255369019/10^6</f>
      </c>
      <c r="H1139">
        <f>0</f>
      </c>
      <c r="I1139">
        <f>-42279926/10^6</f>
      </c>
      <c r="J1139">
        <f>0</f>
      </c>
    </row>
    <row r="1140">
      <c r="A1140" t="s">
        <v>1149</v>
      </c>
      <c r="B1140" t="s">
        <v>11</v>
      </c>
      <c r="C1140">
        <f>115289460938/10^6</f>
      </c>
      <c r="D1140">
        <f>0</f>
      </c>
      <c r="E1140">
        <f>7530625/10^4</f>
      </c>
      <c r="F1140">
        <f>0</f>
      </c>
      <c r="G1140">
        <f>25529393/10^5</f>
      </c>
      <c r="H1140">
        <f>0</f>
      </c>
      <c r="I1140">
        <f>-42644753/10^6</f>
      </c>
      <c r="J1140">
        <f>0</f>
      </c>
    </row>
    <row r="1141">
      <c r="A1141" t="s">
        <v>1150</v>
      </c>
      <c r="B1141" t="s">
        <v>11</v>
      </c>
      <c r="C1141">
        <f>115084273438/10^6</f>
      </c>
      <c r="D1141">
        <f>0</f>
      </c>
      <c r="E1141">
        <f>753533875/10^6</f>
      </c>
      <c r="F1141">
        <f>0</f>
      </c>
      <c r="G1141">
        <f>255135986/10^6</f>
      </c>
      <c r="H1141">
        <f>0</f>
      </c>
      <c r="I1141">
        <f>-42663216/10^6</f>
      </c>
      <c r="J1141">
        <f>0</f>
      </c>
    </row>
    <row r="1142">
      <c r="A1142" t="s">
        <v>1151</v>
      </c>
      <c r="B1142" t="s">
        <v>11</v>
      </c>
      <c r="C1142">
        <f>114891632813/10^6</f>
      </c>
      <c r="D1142">
        <f>0</f>
      </c>
      <c r="E1142">
        <f>754287781/10^6</f>
      </c>
      <c r="F1142">
        <f>0</f>
      </c>
      <c r="G1142">
        <f>254799438/10^6</f>
      </c>
      <c r="H1142">
        <f>0</f>
      </c>
      <c r="I1142">
        <f>-42415089/10^6</f>
      </c>
      <c r="J1142">
        <f>0</f>
      </c>
    </row>
    <row r="1143">
      <c r="A1143" t="s">
        <v>1152</v>
      </c>
      <c r="B1143" t="s">
        <v>11</v>
      </c>
      <c r="C1143">
        <f>114729296875/10^6</f>
      </c>
      <c r="D1143">
        <f>0</f>
      </c>
      <c r="E1143">
        <f>754897888/10^6</f>
      </c>
      <c r="F1143">
        <f>0</f>
      </c>
      <c r="G1143">
        <f>254577301/10^6</f>
      </c>
      <c r="H1143">
        <f>0</f>
      </c>
      <c r="I1143">
        <f>-42298019/10^6</f>
      </c>
      <c r="J1143">
        <f>0</f>
      </c>
    </row>
    <row r="1144">
      <c r="A1144" t="s">
        <v>1153</v>
      </c>
      <c r="B1144" t="s">
        <v>11</v>
      </c>
      <c r="C1144">
        <f>114627789063/10^6</f>
      </c>
      <c r="D1144">
        <f>0</f>
      </c>
      <c r="E1144">
        <f>755179626/10^6</f>
      </c>
      <c r="F1144">
        <f>0</f>
      </c>
      <c r="G1144">
        <f>254455643/10^6</f>
      </c>
      <c r="H1144">
        <f>0</f>
      </c>
      <c r="I1144">
        <f>-42246582/10^6</f>
      </c>
      <c r="J1144">
        <f>0</f>
      </c>
    </row>
    <row r="1145">
      <c r="A1145" t="s">
        <v>1154</v>
      </c>
      <c r="B1145" t="s">
        <v>11</v>
      </c>
      <c r="C1145">
        <f>11460075/10^2</f>
      </c>
      <c r="D1145">
        <f>0</f>
      </c>
      <c r="E1145">
        <f>755536499/10^6</f>
      </c>
      <c r="F1145">
        <f>0</f>
      </c>
      <c r="G1145">
        <f>254280823/10^6</f>
      </c>
      <c r="H1145">
        <f>0</f>
      </c>
      <c r="I1145">
        <f>-42154644/10^6</f>
      </c>
      <c r="J1145">
        <f>0</f>
      </c>
    </row>
    <row r="1146">
      <c r="A1146" t="s">
        <v>1155</v>
      </c>
      <c r="B1146" t="s">
        <v>11</v>
      </c>
      <c r="C1146">
        <f>114642710938/10^6</f>
      </c>
      <c r="D1146">
        <f>0</f>
      </c>
      <c r="E1146">
        <f>755714539/10^6</f>
      </c>
      <c r="F1146">
        <f>0</f>
      </c>
      <c r="G1146">
        <f>254282425/10^6</f>
      </c>
      <c r="H1146">
        <f>0</f>
      </c>
      <c r="I1146">
        <f>-42119289/10^6</f>
      </c>
      <c r="J1146">
        <f>0</f>
      </c>
    </row>
    <row r="1147">
      <c r="A1147" t="s">
        <v>1156</v>
      </c>
      <c r="B1147" t="s">
        <v>11</v>
      </c>
      <c r="C1147">
        <f>11471546875/10^5</f>
      </c>
      <c r="D1147">
        <f>0</f>
      </c>
      <c r="E1147">
        <f>755558594/10^6</f>
      </c>
      <c r="F1147">
        <f>0</f>
      </c>
      <c r="G1147">
        <f>25441362/10^5</f>
      </c>
      <c r="H1147">
        <f>0</f>
      </c>
      <c r="I1147">
        <f>-4216716/10^5</f>
      </c>
      <c r="J1147">
        <f>0</f>
      </c>
    </row>
    <row r="1148">
      <c r="A1148" t="s">
        <v>1157</v>
      </c>
      <c r="B1148" t="s">
        <v>11</v>
      </c>
      <c r="C1148">
        <f>114804671875/10^6</f>
      </c>
      <c r="D1148">
        <f>0</f>
      </c>
      <c r="E1148">
        <f>755310425/10^6</f>
      </c>
      <c r="F1148">
        <f>0</f>
      </c>
      <c r="G1148">
        <f>254497742/10^6</f>
      </c>
      <c r="H1148">
        <f>0</f>
      </c>
      <c r="I1148">
        <f>-42167778/10^6</f>
      </c>
      <c r="J1148">
        <f>0</f>
      </c>
    </row>
    <row r="1149">
      <c r="A1149" t="s">
        <v>1158</v>
      </c>
      <c r="B1149" t="s">
        <v>11</v>
      </c>
      <c r="C1149">
        <f>114923492188/10^6</f>
      </c>
      <c r="D1149">
        <f>0</f>
      </c>
      <c r="E1149">
        <f>75482489/10^5</f>
      </c>
      <c r="F1149">
        <f>0</f>
      </c>
      <c r="G1149">
        <f>254686478/10^6</f>
      </c>
      <c r="H1149">
        <f>0</f>
      </c>
      <c r="I1149">
        <f>-41996376/10^6</f>
      </c>
      <c r="J1149">
        <f>0</f>
      </c>
    </row>
    <row r="1150">
      <c r="A1150" t="s">
        <v>1159</v>
      </c>
      <c r="B1150" t="s">
        <v>11</v>
      </c>
      <c r="C1150">
        <f>115069828125/10^6</f>
      </c>
      <c r="D1150">
        <f>0</f>
      </c>
      <c r="E1150">
        <f>754164185/10^6</f>
      </c>
      <c r="F1150">
        <f>0</f>
      </c>
      <c r="G1150">
        <f>254912903/10^6</f>
      </c>
      <c r="H1150">
        <f>0</f>
      </c>
      <c r="I1150">
        <f>-41807747/10^6</f>
      </c>
      <c r="J1150">
        <f>0</f>
      </c>
    </row>
    <row r="1151">
      <c r="A1151" t="s">
        <v>1160</v>
      </c>
      <c r="B1151" t="s">
        <v>11</v>
      </c>
      <c r="C1151">
        <f>115261710938/10^6</f>
      </c>
      <c r="D1151">
        <f>0</f>
      </c>
      <c r="E1151">
        <f>753487/10^3</f>
      </c>
      <c r="F1151">
        <f>0</f>
      </c>
      <c r="G1151">
        <f>255060699/10^6</f>
      </c>
      <c r="H1151">
        <f>0</f>
      </c>
      <c r="I1151">
        <f>-41714268/10^6</f>
      </c>
      <c r="J1151">
        <f>0</f>
      </c>
    </row>
    <row r="1152">
      <c r="A1152" t="s">
        <v>1161</v>
      </c>
      <c r="B1152" t="s">
        <v>11</v>
      </c>
      <c r="C1152">
        <f>115492960938/10^6</f>
      </c>
      <c r="D1152">
        <f>0</f>
      </c>
      <c r="E1152">
        <f>752480225/10^6</f>
      </c>
      <c r="F1152">
        <f>0</f>
      </c>
      <c r="G1152">
        <f>255207336/10^6</f>
      </c>
      <c r="H1152">
        <f>0</f>
      </c>
      <c r="I1152">
        <f>-41572159/10^6</f>
      </c>
      <c r="J1152">
        <f>0</f>
      </c>
    </row>
    <row r="1153">
      <c r="A1153" t="s">
        <v>1162</v>
      </c>
      <c r="B1153" t="s">
        <v>11</v>
      </c>
      <c r="C1153">
        <f>115731601563/10^6</f>
      </c>
      <c r="D1153">
        <f>0</f>
      </c>
      <c r="E1153">
        <f>751332275/10^6</f>
      </c>
      <c r="F1153">
        <f>0</f>
      </c>
      <c r="G1153">
        <f>255370148/10^6</f>
      </c>
      <c r="H1153">
        <f>0</f>
      </c>
      <c r="I1153">
        <f>-41442997/10^6</f>
      </c>
      <c r="J1153">
        <f>0</f>
      </c>
    </row>
    <row r="1154">
      <c r="A1154" t="s">
        <v>1163</v>
      </c>
      <c r="B1154" t="s">
        <v>11</v>
      </c>
      <c r="C1154">
        <f>11605053125/10^5</f>
      </c>
      <c r="D1154">
        <f>0</f>
      </c>
      <c r="E1154">
        <f>75014563/10^5</f>
      </c>
      <c r="F1154">
        <f>0</f>
      </c>
      <c r="G1154">
        <f>255592102/10^6</f>
      </c>
      <c r="H1154">
        <f>0</f>
      </c>
      <c r="I1154">
        <f>-41566284/10^6</f>
      </c>
      <c r="J1154">
        <f>0</f>
      </c>
    </row>
    <row r="1155">
      <c r="A1155" t="s">
        <v>1164</v>
      </c>
      <c r="B1155" t="s">
        <v>11</v>
      </c>
      <c r="C1155">
        <f>116537453125/10^6</f>
      </c>
      <c r="D1155">
        <f>0</f>
      </c>
      <c r="E1155">
        <f>748220947/10^6</f>
      </c>
      <c r="F1155">
        <f>0</f>
      </c>
      <c r="G1155">
        <f>255784119/10^6</f>
      </c>
      <c r="H1155">
        <f>0</f>
      </c>
      <c r="I1155">
        <f>-41800755/10^6</f>
      </c>
      <c r="J1155">
        <f>0</f>
      </c>
    </row>
    <row r="1156">
      <c r="A1156" t="s">
        <v>1165</v>
      </c>
      <c r="B1156" t="s">
        <v>11</v>
      </c>
      <c r="C1156">
        <f>11714965625/10^5</f>
      </c>
      <c r="D1156">
        <f>0</f>
      </c>
      <c r="E1156">
        <f>745600159/10^6</f>
      </c>
      <c r="F1156">
        <f>0</f>
      </c>
      <c r="G1156">
        <f>256137543/10^6</f>
      </c>
      <c r="H1156">
        <f>0</f>
      </c>
      <c r="I1156">
        <f>-41540276/10^6</f>
      </c>
      <c r="J1156">
        <f>0</f>
      </c>
    </row>
    <row r="1157">
      <c r="A1157" t="s">
        <v>1166</v>
      </c>
      <c r="B1157" t="s">
        <v>11</v>
      </c>
      <c r="C1157">
        <f>117829273438/10^6</f>
      </c>
      <c r="D1157">
        <f>0</f>
      </c>
      <c r="E1157">
        <f>742741211/10^6</f>
      </c>
      <c r="F1157">
        <f>0</f>
      </c>
      <c r="G1157">
        <f>25674411/10^5</f>
      </c>
      <c r="H1157">
        <f>0</f>
      </c>
      <c r="I1157">
        <f>-40949337/10^6</f>
      </c>
      <c r="J1157">
        <f>0</f>
      </c>
    </row>
    <row r="1158">
      <c r="A1158" t="s">
        <v>1167</v>
      </c>
      <c r="B1158" t="s">
        <v>11</v>
      </c>
      <c r="C1158">
        <f>11857328125/10^5</f>
      </c>
      <c r="D1158">
        <f>0</f>
      </c>
      <c r="E1158">
        <f>739394409/10^6</f>
      </c>
      <c r="F1158">
        <f>0</f>
      </c>
      <c r="G1158">
        <f>257216125/10^6</f>
      </c>
      <c r="H1158">
        <f>0</f>
      </c>
      <c r="I1158">
        <f>-40496933/10^6</f>
      </c>
      <c r="J1158">
        <f>0</f>
      </c>
    </row>
    <row r="1159">
      <c r="A1159" t="s">
        <v>1168</v>
      </c>
      <c r="B1159" t="s">
        <v>11</v>
      </c>
      <c r="C1159">
        <f>11936946875/10^5</f>
      </c>
      <c r="D1159">
        <f>0</f>
      </c>
      <c r="E1159">
        <f>735556396/10^6</f>
      </c>
      <c r="F1159">
        <f>0</f>
      </c>
      <c r="G1159">
        <f>257784241/10^6</f>
      </c>
      <c r="H1159">
        <f>0</f>
      </c>
      <c r="I1159">
        <f>-39696362/10^6</f>
      </c>
      <c r="J1159">
        <f>0</f>
      </c>
    </row>
    <row r="1160">
      <c r="A1160" t="s">
        <v>1169</v>
      </c>
      <c r="B1160" t="s">
        <v>11</v>
      </c>
      <c r="C1160">
        <f>120201078125/10^6</f>
      </c>
      <c r="D1160">
        <f>0</f>
      </c>
      <c r="E1160">
        <f>731678406/10^6</f>
      </c>
      <c r="F1160">
        <f>0</f>
      </c>
      <c r="G1160">
        <f>258416718/10^6</f>
      </c>
      <c r="H1160">
        <f>0</f>
      </c>
      <c r="I1160">
        <f>-38801651/10^6</f>
      </c>
      <c r="J1160">
        <f>0</f>
      </c>
    </row>
    <row r="1161">
      <c r="A1161" t="s">
        <v>1170</v>
      </c>
      <c r="B1161" t="s">
        <v>11</v>
      </c>
      <c r="C1161">
        <f>121044679688/10^6</f>
      </c>
      <c r="D1161">
        <f>0</f>
      </c>
      <c r="E1161">
        <f>727649658/10^6</f>
      </c>
      <c r="F1161">
        <f>0</f>
      </c>
      <c r="G1161">
        <f>258851624/10^6</f>
      </c>
      <c r="H1161">
        <f>0</f>
      </c>
      <c r="I1161">
        <f>-38091682/10^6</f>
      </c>
      <c r="J1161">
        <f>0</f>
      </c>
    </row>
    <row r="1162">
      <c r="A1162" t="s">
        <v>1171</v>
      </c>
      <c r="B1162" t="s">
        <v>11</v>
      </c>
      <c r="C1162">
        <f>121832703125/10^6</f>
      </c>
      <c r="D1162">
        <f>0</f>
      </c>
      <c r="E1162">
        <f>723201599/10^6</f>
      </c>
      <c r="F1162">
        <f>0</f>
      </c>
      <c r="G1162">
        <f>259492004/10^6</f>
      </c>
      <c r="H1162">
        <f>0</f>
      </c>
      <c r="I1162">
        <f>-3711602/10^5</f>
      </c>
      <c r="J1162">
        <f>0</f>
      </c>
    </row>
    <row r="1163">
      <c r="A1163" t="s">
        <v>1172</v>
      </c>
      <c r="B1163" t="s">
        <v>11</v>
      </c>
      <c r="C1163">
        <f>122488757813/10^6</f>
      </c>
      <c r="D1163">
        <f>0</f>
      </c>
      <c r="E1163">
        <f>718980957/10^6</f>
      </c>
      <c r="F1163">
        <f>0</f>
      </c>
      <c r="G1163">
        <f>259947632/10^6</f>
      </c>
      <c r="H1163">
        <f>0</f>
      </c>
      <c r="I1163">
        <f>-36346012/10^6</f>
      </c>
      <c r="J1163">
        <f>0</f>
      </c>
    </row>
    <row r="1164">
      <c r="A1164" t="s">
        <v>1173</v>
      </c>
      <c r="B1164" t="s">
        <v>11</v>
      </c>
      <c r="C1164">
        <f>122986140625/10^6</f>
      </c>
      <c r="D1164">
        <f>0</f>
      </c>
      <c r="E1164">
        <f>7157948/10^4</f>
      </c>
      <c r="F1164">
        <f>0</f>
      </c>
      <c r="G1164">
        <f>259813202/10^6</f>
      </c>
      <c r="H1164">
        <f>0</f>
      </c>
      <c r="I1164">
        <f>-35671577/10^6</f>
      </c>
      <c r="J1164">
        <f>0</f>
      </c>
    </row>
    <row r="1165">
      <c r="A1165" t="s">
        <v>1174</v>
      </c>
      <c r="B1165" t="s">
        <v>11</v>
      </c>
      <c r="C1165">
        <f>123327570313/10^6</f>
      </c>
      <c r="D1165">
        <f>0</f>
      </c>
      <c r="E1165">
        <f>713546204/10^6</f>
      </c>
      <c r="F1165">
        <f>0</f>
      </c>
      <c r="G1165">
        <f>259656921/10^6</f>
      </c>
      <c r="H1165">
        <f>0</f>
      </c>
      <c r="I1165">
        <f>-34860462/10^6</f>
      </c>
      <c r="J1165">
        <f>0</f>
      </c>
    </row>
    <row r="1166">
      <c r="A1166" t="s">
        <v>1175</v>
      </c>
      <c r="B1166" t="s">
        <v>11</v>
      </c>
      <c r="C1166">
        <f>123517640625/10^6</f>
      </c>
      <c r="D1166">
        <f>0</f>
      </c>
      <c r="E1166">
        <f>711938049/10^6</f>
      </c>
      <c r="F1166">
        <f>0</f>
      </c>
      <c r="G1166">
        <f>259593903/10^6</f>
      </c>
      <c r="H1166">
        <f>0</f>
      </c>
      <c r="I1166">
        <f>-34525894/10^6</f>
      </c>
      <c r="J1166">
        <f>0</f>
      </c>
    </row>
    <row r="1167">
      <c r="A1167" t="s">
        <v>1176</v>
      </c>
      <c r="B1167" t="s">
        <v>11</v>
      </c>
      <c r="C1167">
        <f>123602632813/10^6</f>
      </c>
      <c r="D1167">
        <f>0</f>
      </c>
      <c r="E1167">
        <f>710900024/10^6</f>
      </c>
      <c r="F1167">
        <f>0</f>
      </c>
      <c r="G1167">
        <f>259445496/10^6</f>
      </c>
      <c r="H1167">
        <f>0</f>
      </c>
      <c r="I1167">
        <f>-34371864/10^6</f>
      </c>
      <c r="J1167">
        <f>0</f>
      </c>
    </row>
    <row r="1168">
      <c r="A1168" t="s">
        <v>1177</v>
      </c>
      <c r="B1168" t="s">
        <v>11</v>
      </c>
      <c r="C1168">
        <f>123642148438/10^6</f>
      </c>
      <c r="D1168">
        <f>0</f>
      </c>
      <c r="E1168">
        <f>710219849/10^6</f>
      </c>
      <c r="F1168">
        <f>0</f>
      </c>
      <c r="G1168">
        <f>25931778/10^5</f>
      </c>
      <c r="H1168">
        <f>0</f>
      </c>
      <c r="I1168">
        <f>-34199345/10^6</f>
      </c>
      <c r="J1168">
        <f>0</f>
      </c>
    </row>
    <row r="1169">
      <c r="A1169" t="s">
        <v>1178</v>
      </c>
      <c r="B1169" t="s">
        <v>11</v>
      </c>
      <c r="C1169">
        <f>123637289063/10^6</f>
      </c>
      <c r="D1169">
        <f>0</f>
      </c>
      <c r="E1169">
        <f>709735718/10^6</f>
      </c>
      <c r="F1169">
        <f>0</f>
      </c>
      <c r="G1169">
        <f>259196777/10^6</f>
      </c>
      <c r="H1169">
        <f>0</f>
      </c>
      <c r="I1169">
        <f>-34295795/10^6</f>
      </c>
      <c r="J1169">
        <f>0</f>
      </c>
    </row>
    <row r="1170">
      <c r="A1170" t="s">
        <v>1179</v>
      </c>
      <c r="B1170" t="s">
        <v>11</v>
      </c>
      <c r="C1170">
        <f>1235838125/10^4</f>
      </c>
      <c r="D1170">
        <f>0</f>
      </c>
      <c r="E1170">
        <f>709488037/10^6</f>
      </c>
      <c r="F1170">
        <f>0</f>
      </c>
      <c r="G1170">
        <f>259081512/10^6</f>
      </c>
      <c r="H1170">
        <f>0</f>
      </c>
      <c r="I1170">
        <f>-34417332/10^6</f>
      </c>
      <c r="J1170">
        <f>0</f>
      </c>
    </row>
    <row r="1171">
      <c r="A1171" t="s">
        <v>1180</v>
      </c>
      <c r="B1171" t="s">
        <v>11</v>
      </c>
      <c r="C1171">
        <f>123499445313/10^6</f>
      </c>
      <c r="D1171">
        <f>0</f>
      </c>
      <c r="E1171">
        <f>709623352/10^6</f>
      </c>
      <c r="F1171">
        <f>0</f>
      </c>
      <c r="G1171">
        <f>258917816/10^6</f>
      </c>
      <c r="H1171">
        <f>0</f>
      </c>
      <c r="I1171">
        <f>-34546963/10^6</f>
      </c>
      <c r="J1171">
        <f>0</f>
      </c>
    </row>
    <row r="1172">
      <c r="A1172" t="s">
        <v>1181</v>
      </c>
      <c r="B1172" t="s">
        <v>11</v>
      </c>
      <c r="C1172">
        <f>123376796875/10^6</f>
      </c>
      <c r="D1172">
        <f>0</f>
      </c>
      <c r="E1172">
        <f>710094666/10^6</f>
      </c>
      <c r="F1172">
        <f>0</f>
      </c>
      <c r="G1172">
        <f>258646301/10^6</f>
      </c>
      <c r="H1172">
        <f>0</f>
      </c>
      <c r="I1172">
        <f>-3476339/10^5</f>
      </c>
      <c r="J1172">
        <f>0</f>
      </c>
    </row>
    <row r="1173">
      <c r="A1173" t="s">
        <v>1182</v>
      </c>
      <c r="B1173" t="s">
        <v>11</v>
      </c>
      <c r="C1173">
        <f>123207132813/10^6</f>
      </c>
      <c r="D1173">
        <f>0</f>
      </c>
      <c r="E1173">
        <f>710691162/10^6</f>
      </c>
      <c r="F1173">
        <f>0</f>
      </c>
      <c r="G1173">
        <f>258440613/10^6</f>
      </c>
      <c r="H1173">
        <f>0</f>
      </c>
      <c r="I1173">
        <f>-34958248/10^6</f>
      </c>
      <c r="J1173">
        <f>0</f>
      </c>
    </row>
    <row r="1174">
      <c r="A1174" t="s">
        <v>1183</v>
      </c>
      <c r="B1174" t="s">
        <v>11</v>
      </c>
      <c r="C1174">
        <f>122991640625/10^6</f>
      </c>
      <c r="D1174">
        <f>0</f>
      </c>
      <c r="E1174">
        <f>711543396/10^6</f>
      </c>
      <c r="F1174">
        <f>0</f>
      </c>
      <c r="G1174">
        <f>258253418/10^6</f>
      </c>
      <c r="H1174">
        <f>0</f>
      </c>
      <c r="I1174">
        <f>-35282684/10^6</f>
      </c>
      <c r="J1174">
        <f>0</f>
      </c>
    </row>
    <row r="1175">
      <c r="A1175" t="s">
        <v>1184</v>
      </c>
      <c r="B1175" t="s">
        <v>11</v>
      </c>
      <c r="C1175">
        <f>122729492188/10^6</f>
      </c>
      <c r="D1175">
        <f>0</f>
      </c>
      <c r="E1175">
        <f>712738708/10^6</f>
      </c>
      <c r="F1175">
        <f>0</f>
      </c>
      <c r="G1175">
        <f>258040466/10^6</f>
      </c>
      <c r="H1175">
        <f>0</f>
      </c>
      <c r="I1175">
        <f>-35625446/10^6</f>
      </c>
      <c r="J1175">
        <f>0</f>
      </c>
    </row>
    <row r="1176">
      <c r="A1176" t="s">
        <v>1185</v>
      </c>
      <c r="B1176" t="s">
        <v>11</v>
      </c>
      <c r="C1176">
        <f>122427835938/10^6</f>
      </c>
      <c r="D1176">
        <f>0</f>
      </c>
      <c r="E1176">
        <f>714122986/10^6</f>
      </c>
      <c r="F1176">
        <f>0</f>
      </c>
      <c r="G1176">
        <f>257894653/10^6</f>
      </c>
      <c r="H1176">
        <f>0</f>
      </c>
      <c r="I1176">
        <f>-35963543/10^6</f>
      </c>
      <c r="J1176">
        <f>0</f>
      </c>
    </row>
    <row r="1177">
      <c r="A1177" t="s">
        <v>1186</v>
      </c>
      <c r="B1177" t="s">
        <v>11</v>
      </c>
      <c r="C1177">
        <f>122098039063/10^6</f>
      </c>
      <c r="D1177">
        <f>0</f>
      </c>
      <c r="E1177">
        <f>715811646/10^6</f>
      </c>
      <c r="F1177">
        <f>0</f>
      </c>
      <c r="G1177">
        <f>257723541/10^6</f>
      </c>
      <c r="H1177">
        <f>0</f>
      </c>
      <c r="I1177">
        <f>-36448685/10^6</f>
      </c>
      <c r="J1177">
        <f>0</f>
      </c>
    </row>
    <row r="1178">
      <c r="A1178" t="s">
        <v>1187</v>
      </c>
      <c r="B1178" t="s">
        <v>11</v>
      </c>
      <c r="C1178">
        <f>1217541875/10^4</f>
      </c>
      <c r="D1178">
        <f>0</f>
      </c>
      <c r="E1178">
        <f>717773987/10^6</f>
      </c>
      <c r="F1178">
        <f>0</f>
      </c>
      <c r="G1178">
        <f>257581238/10^6</f>
      </c>
      <c r="H1178">
        <f>0</f>
      </c>
      <c r="I1178">
        <f>-36852848/10^6</f>
      </c>
      <c r="J1178">
        <f>0</f>
      </c>
    </row>
    <row r="1179">
      <c r="A1179" t="s">
        <v>1188</v>
      </c>
      <c r="B1179" t="s">
        <v>11</v>
      </c>
      <c r="C1179">
        <f>1214068125/10^4</f>
      </c>
      <c r="D1179">
        <f>0</f>
      </c>
      <c r="E1179">
        <f>719781006/10^6</f>
      </c>
      <c r="F1179">
        <f>0</f>
      </c>
      <c r="G1179">
        <f>257527557/10^6</f>
      </c>
      <c r="H1179">
        <f>0</f>
      </c>
      <c r="I1179">
        <f>-37295422/10^6</f>
      </c>
      <c r="J1179">
        <f>0</f>
      </c>
    </row>
    <row r="1180">
      <c r="A1180" t="s">
        <v>1189</v>
      </c>
      <c r="B1180" t="s">
        <v>11</v>
      </c>
      <c r="C1180">
        <f>121062671875/10^6</f>
      </c>
      <c r="D1180">
        <f>0</f>
      </c>
      <c r="E1180">
        <f>721829956/10^6</f>
      </c>
      <c r="F1180">
        <f>0</f>
      </c>
      <c r="G1180">
        <f>257485626/10^6</f>
      </c>
      <c r="H1180">
        <f>0</f>
      </c>
      <c r="I1180">
        <f>-37771847/10^6</f>
      </c>
      <c r="J1180">
        <f>0</f>
      </c>
    </row>
    <row r="1181">
      <c r="A1181" t="s">
        <v>1190</v>
      </c>
      <c r="B1181" t="s">
        <v>11</v>
      </c>
      <c r="C1181">
        <f>120694710938/10^6</f>
      </c>
      <c r="D1181">
        <f>0</f>
      </c>
      <c r="E1181">
        <f>723887756/10^6</f>
      </c>
      <c r="F1181">
        <f>0</f>
      </c>
      <c r="G1181">
        <f>257405365/10^6</f>
      </c>
      <c r="H1181">
        <f>0</f>
      </c>
      <c r="I1181">
        <f>-38207726/10^6</f>
      </c>
      <c r="J1181">
        <f>0</f>
      </c>
    </row>
    <row r="1182">
      <c r="A1182" t="s">
        <v>1191</v>
      </c>
      <c r="B1182" t="s">
        <v>11</v>
      </c>
      <c r="C1182">
        <f>120291921875/10^6</f>
      </c>
      <c r="D1182">
        <f>0</f>
      </c>
      <c r="E1182">
        <f>726105103/10^6</f>
      </c>
      <c r="F1182">
        <f>0</f>
      </c>
      <c r="G1182">
        <f>257248596/10^6</f>
      </c>
      <c r="H1182">
        <f>0</f>
      </c>
      <c r="I1182">
        <f>-38779999/10^6</f>
      </c>
      <c r="J1182">
        <f>0</f>
      </c>
    </row>
    <row r="1183">
      <c r="A1183" t="s">
        <v>1192</v>
      </c>
      <c r="B1183" t="s">
        <v>11</v>
      </c>
      <c r="C1183">
        <f>119957617188/10^6</f>
      </c>
      <c r="D1183">
        <f>0</f>
      </c>
      <c r="E1183">
        <f>728427734/10^6</f>
      </c>
      <c r="F1183">
        <f>0</f>
      </c>
      <c r="G1183">
        <f>257144867/10^6</f>
      </c>
      <c r="H1183">
        <f>0</f>
      </c>
      <c r="I1183">
        <f>-3924437/10^5</f>
      </c>
      <c r="J1183">
        <f>0</f>
      </c>
    </row>
    <row r="1184">
      <c r="A1184" t="s">
        <v>1193</v>
      </c>
      <c r="B1184" t="s">
        <v>11</v>
      </c>
      <c r="C1184">
        <f>119726304688/10^6</f>
      </c>
      <c r="D1184">
        <f>0</f>
      </c>
      <c r="E1184">
        <f>730208557/10^6</f>
      </c>
      <c r="F1184">
        <f>0</f>
      </c>
      <c r="G1184">
        <f>257180695/10^6</f>
      </c>
      <c r="H1184">
        <f>0</f>
      </c>
      <c r="I1184">
        <f>-39802536/10^6</f>
      </c>
      <c r="J1184">
        <f>0</f>
      </c>
    </row>
    <row r="1185">
      <c r="A1185" t="s">
        <v>1194</v>
      </c>
      <c r="B1185" t="s">
        <v>11</v>
      </c>
      <c r="C1185">
        <f>119501234375/10^6</f>
      </c>
      <c r="D1185">
        <f>0</f>
      </c>
      <c r="E1185">
        <f>731517578/10^6</f>
      </c>
      <c r="F1185">
        <f>0</f>
      </c>
      <c r="G1185">
        <f>257233795/10^6</f>
      </c>
      <c r="H1185">
        <f>0</f>
      </c>
      <c r="I1185">
        <f>-40476051/10^6</f>
      </c>
      <c r="J1185">
        <f>0</f>
      </c>
    </row>
    <row r="1186">
      <c r="A1186" t="s">
        <v>1195</v>
      </c>
      <c r="B1186" t="s">
        <v>11</v>
      </c>
      <c r="C1186">
        <f>119275054688/10^6</f>
      </c>
      <c r="D1186">
        <f>0</f>
      </c>
      <c r="E1186">
        <f>732828918/10^6</f>
      </c>
      <c r="F1186">
        <f>0</f>
      </c>
      <c r="G1186">
        <f>257217651/10^6</f>
      </c>
      <c r="H1186">
        <f>0</f>
      </c>
      <c r="I1186">
        <f>-40769302/10^6</f>
      </c>
      <c r="J1186">
        <f>0</f>
      </c>
    </row>
    <row r="1187">
      <c r="A1187" t="s">
        <v>1196</v>
      </c>
      <c r="B1187" t="s">
        <v>11</v>
      </c>
      <c r="C1187">
        <f>119085445313/10^6</f>
      </c>
      <c r="D1187">
        <f>0</f>
      </c>
      <c r="E1187">
        <f>734043152/10^6</f>
      </c>
      <c r="F1187">
        <f>0</f>
      </c>
      <c r="G1187">
        <f>257139832/10^6</f>
      </c>
      <c r="H1187">
        <f>0</f>
      </c>
      <c r="I1187">
        <f>-40904064/10^6</f>
      </c>
      <c r="J1187">
        <f>0</f>
      </c>
    </row>
    <row r="1188">
      <c r="A1188" t="s">
        <v>1197</v>
      </c>
      <c r="B1188" t="s">
        <v>11</v>
      </c>
      <c r="C1188">
        <f>118927078125/10^6</f>
      </c>
      <c r="D1188">
        <f>0</f>
      </c>
      <c r="E1188">
        <f>735221497/10^6</f>
      </c>
      <c r="F1188">
        <f>0</f>
      </c>
      <c r="G1188">
        <f>257100922/10^6</f>
      </c>
      <c r="H1188">
        <f>0</f>
      </c>
      <c r="I1188">
        <f>-41088406/10^6</f>
      </c>
      <c r="J1188">
        <f>0</f>
      </c>
    </row>
    <row r="1189">
      <c r="A1189" t="s">
        <v>1198</v>
      </c>
      <c r="B1189" t="s">
        <v>11</v>
      </c>
      <c r="C1189">
        <f>118806351563/10^6</f>
      </c>
      <c r="D1189">
        <f>0</f>
      </c>
      <c r="E1189">
        <f>736328613/10^6</f>
      </c>
      <c r="F1189">
        <f>0</f>
      </c>
      <c r="G1189">
        <f>257196472/10^6</f>
      </c>
      <c r="H1189">
        <f>0</f>
      </c>
      <c r="I1189">
        <f>-41282108/10^6</f>
      </c>
      <c r="J1189">
        <f>0</f>
      </c>
    </row>
    <row r="1190">
      <c r="A1190" t="s">
        <v>1199</v>
      </c>
      <c r="B1190" t="s">
        <v>11</v>
      </c>
      <c r="C1190">
        <f>118702773438/10^6</f>
      </c>
      <c r="D1190">
        <f>0</f>
      </c>
      <c r="E1190">
        <f>737083496/10^6</f>
      </c>
      <c r="F1190">
        <f>0</f>
      </c>
      <c r="G1190">
        <f>257319397/10^6</f>
      </c>
      <c r="H1190">
        <f>0</f>
      </c>
      <c r="I1190">
        <f>-41482159/10^6</f>
      </c>
      <c r="J1190">
        <f>0</f>
      </c>
    </row>
    <row r="1191">
      <c r="A1191" t="s">
        <v>1200</v>
      </c>
      <c r="B1191" t="s">
        <v>11</v>
      </c>
      <c r="C1191">
        <f>11859178125/10^5</f>
      </c>
      <c r="D1191">
        <f>0</f>
      </c>
      <c r="E1191">
        <f>737762451/10^6</f>
      </c>
      <c r="F1191">
        <f>0</f>
      </c>
      <c r="G1191">
        <f>257320068/10^6</f>
      </c>
      <c r="H1191">
        <f>0</f>
      </c>
      <c r="I1191">
        <f>-41635895/10^6</f>
      </c>
      <c r="J1191">
        <f>0</f>
      </c>
    </row>
    <row r="1192">
      <c r="A1192" t="s">
        <v>1201</v>
      </c>
      <c r="B1192" t="s">
        <v>11</v>
      </c>
      <c r="C1192">
        <f>118492742188/10^6</f>
      </c>
      <c r="D1192">
        <f>0</f>
      </c>
      <c r="E1192">
        <f>738512268/10^6</f>
      </c>
      <c r="F1192">
        <f>0</f>
      </c>
      <c r="G1192">
        <f>257260529/10^6</f>
      </c>
      <c r="H1192">
        <f>0</f>
      </c>
      <c r="I1192">
        <f>-41770741/10^6</f>
      </c>
      <c r="J1192">
        <f>0</f>
      </c>
    </row>
    <row r="1193">
      <c r="A1193" t="s">
        <v>1202</v>
      </c>
      <c r="B1193" t="s">
        <v>11</v>
      </c>
      <c r="C1193">
        <f>118387789063/10^6</f>
      </c>
      <c r="D1193">
        <f>0</f>
      </c>
      <c r="E1193">
        <f>739204285/10^6</f>
      </c>
      <c r="F1193">
        <f>0</f>
      </c>
      <c r="G1193">
        <f>257237122/10^6</f>
      </c>
      <c r="H1193">
        <f>0</f>
      </c>
      <c r="I1193">
        <f>-41908531/10^6</f>
      </c>
      <c r="J1193">
        <f>0</f>
      </c>
    </row>
    <row r="1194">
      <c r="A1194" t="s">
        <v>1203</v>
      </c>
      <c r="B1194" t="s">
        <v>11</v>
      </c>
      <c r="C1194">
        <f>118233828125/10^6</f>
      </c>
      <c r="D1194">
        <f>0</f>
      </c>
      <c r="E1194">
        <f>740209656/10^6</f>
      </c>
      <c r="F1194">
        <f>0</f>
      </c>
      <c r="G1194">
        <f>257182892/10^6</f>
      </c>
      <c r="H1194">
        <f>0</f>
      </c>
      <c r="I1194">
        <f>-42211464/10^6</f>
      </c>
      <c r="J1194">
        <f>0</f>
      </c>
    </row>
    <row r="1195">
      <c r="A1195" t="s">
        <v>1204</v>
      </c>
      <c r="B1195" t="s">
        <v>11</v>
      </c>
      <c r="C1195">
        <f>118066859375/10^6</f>
      </c>
      <c r="D1195">
        <f>0</f>
      </c>
      <c r="E1195">
        <f>741521179/10^6</f>
      </c>
      <c r="F1195">
        <f>0</f>
      </c>
      <c r="G1195">
        <f>257090332/10^6</f>
      </c>
      <c r="H1195">
        <f>0</f>
      </c>
      <c r="I1195">
        <f>-42571674/10^6</f>
      </c>
      <c r="J1195">
        <f>0</f>
      </c>
    </row>
    <row r="1196">
      <c r="A1196" t="s">
        <v>1205</v>
      </c>
      <c r="B1196" t="s">
        <v>11</v>
      </c>
      <c r="C1196">
        <f>117926429688/10^6</f>
      </c>
      <c r="D1196">
        <f>0</f>
      </c>
      <c r="E1196">
        <f>742600464/10^6</f>
      </c>
      <c r="F1196">
        <f>0</f>
      </c>
      <c r="G1196">
        <f>257104126/10^6</f>
      </c>
      <c r="H1196">
        <f>0</f>
      </c>
      <c r="I1196">
        <f>-42741573/10^6</f>
      </c>
      <c r="J1196">
        <f>0</f>
      </c>
    </row>
    <row r="1197">
      <c r="A1197" t="s">
        <v>1206</v>
      </c>
      <c r="B1197" t="s">
        <v>11</v>
      </c>
      <c r="C1197">
        <f>11776296875/10^5</f>
      </c>
      <c r="D1197">
        <f>0</f>
      </c>
      <c r="E1197">
        <f>743524963/10^6</f>
      </c>
      <c r="F1197">
        <f>0</f>
      </c>
      <c r="G1197">
        <f>257249847/10^6</f>
      </c>
      <c r="H1197">
        <f>0</f>
      </c>
      <c r="I1197">
        <f>-42834431/10^6</f>
      </c>
      <c r="J1197">
        <f>0</f>
      </c>
    </row>
    <row r="1198">
      <c r="A1198" t="s">
        <v>1207</v>
      </c>
      <c r="B1198" t="s">
        <v>11</v>
      </c>
      <c r="C1198">
        <f>117548195313/10^6</f>
      </c>
      <c r="D1198">
        <f>0</f>
      </c>
      <c r="E1198">
        <f>744622742/10^6</f>
      </c>
      <c r="F1198">
        <f>0</f>
      </c>
      <c r="G1198">
        <f>257315521/10^6</f>
      </c>
      <c r="H1198">
        <f>0</f>
      </c>
      <c r="I1198">
        <f>-42966801/10^6</f>
      </c>
      <c r="J1198">
        <f>0</f>
      </c>
    </row>
    <row r="1199">
      <c r="A1199" t="s">
        <v>1208</v>
      </c>
      <c r="B1199" t="s">
        <v>11</v>
      </c>
      <c r="C1199">
        <f>117320765625/10^6</f>
      </c>
      <c r="D1199">
        <f>0</f>
      </c>
      <c r="E1199">
        <f>745921326/10^6</f>
      </c>
      <c r="F1199">
        <f>0</f>
      </c>
      <c r="G1199">
        <f>257185211/10^6</f>
      </c>
      <c r="H1199">
        <f>0</f>
      </c>
      <c r="I1199">
        <f>-43217541/10^6</f>
      </c>
      <c r="J1199">
        <f>0</f>
      </c>
    </row>
    <row r="1200">
      <c r="A1200" t="s">
        <v>1209</v>
      </c>
      <c r="B1200" t="s">
        <v>11</v>
      </c>
      <c r="C1200">
        <f>117084664063/10^6</f>
      </c>
      <c r="D1200">
        <f>0</f>
      </c>
      <c r="E1200">
        <f>747407776/10^6</f>
      </c>
      <c r="F1200">
        <f>0</f>
      </c>
      <c r="G1200">
        <f>257043121/10^6</f>
      </c>
      <c r="H1200">
        <f>0</f>
      </c>
      <c r="I1200">
        <f>-43480804/10^6</f>
      </c>
      <c r="J1200">
        <f>0</f>
      </c>
    </row>
    <row r="1201">
      <c r="A1201" t="s">
        <v>1210</v>
      </c>
      <c r="B1201" t="s">
        <v>11</v>
      </c>
      <c r="C1201">
        <f>116826890625/10^6</f>
      </c>
      <c r="D1201">
        <f>0</f>
      </c>
      <c r="E1201">
        <f>748923523/10^6</f>
      </c>
      <c r="F1201">
        <f>0</f>
      </c>
      <c r="G1201">
        <f>256958313/10^6</f>
      </c>
      <c r="H1201">
        <f>0</f>
      </c>
      <c r="I1201">
        <f>-43706409/10^6</f>
      </c>
      <c r="J1201">
        <f>0</f>
      </c>
    </row>
    <row r="1202">
      <c r="A1202" t="s">
        <v>1211</v>
      </c>
      <c r="B1202" t="s">
        <v>11</v>
      </c>
      <c r="C1202">
        <f>116558648438/10^6</f>
      </c>
      <c r="D1202">
        <f>0</f>
      </c>
      <c r="E1202">
        <f>750353821/10^6</f>
      </c>
      <c r="F1202">
        <f>0</f>
      </c>
      <c r="G1202">
        <f>256861511/10^6</f>
      </c>
      <c r="H1202">
        <f>0</f>
      </c>
      <c r="I1202">
        <f>-43997818/10^6</f>
      </c>
      <c r="J1202">
        <f>0</f>
      </c>
    </row>
    <row r="1203">
      <c r="A1203" t="s">
        <v>1212</v>
      </c>
      <c r="B1203" t="s">
        <v>11</v>
      </c>
      <c r="C1203">
        <f>116270039063/10^6</f>
      </c>
      <c r="D1203">
        <f>0</f>
      </c>
      <c r="E1203">
        <f>751924927/10^6</f>
      </c>
      <c r="F1203">
        <f>0</f>
      </c>
      <c r="G1203">
        <f>256762726/10^6</f>
      </c>
      <c r="H1203">
        <f>0</f>
      </c>
      <c r="I1203">
        <f>-44230225/10^6</f>
      </c>
      <c r="J1203">
        <f>0</f>
      </c>
    </row>
    <row r="1204">
      <c r="A1204" t="s">
        <v>1213</v>
      </c>
      <c r="B1204" t="s">
        <v>11</v>
      </c>
      <c r="C1204">
        <f>115949046875/10^6</f>
      </c>
      <c r="D1204">
        <f>0</f>
      </c>
      <c r="E1204">
        <f>75366449/10^5</f>
      </c>
      <c r="F1204">
        <f>0</f>
      </c>
      <c r="G1204">
        <f>256597412/10^6</f>
      </c>
      <c r="H1204">
        <f>0</f>
      </c>
      <c r="I1204">
        <f>-4458429/10^5</f>
      </c>
      <c r="J1204">
        <f>0</f>
      </c>
    </row>
    <row r="1205">
      <c r="A1205" t="s">
        <v>1214</v>
      </c>
      <c r="B1205" t="s">
        <v>11</v>
      </c>
      <c r="C1205">
        <f>115629609375/10^6</f>
      </c>
      <c r="D1205">
        <f>0</f>
      </c>
      <c r="E1205">
        <f>755212463/10^6</f>
      </c>
      <c r="F1205">
        <f>0</f>
      </c>
      <c r="G1205">
        <f>256421906/10^6</f>
      </c>
      <c r="H1205">
        <f>0</f>
      </c>
      <c r="I1205">
        <f>-45042511/10^6</f>
      </c>
      <c r="J1205">
        <f>0</f>
      </c>
    </row>
    <row r="1206">
      <c r="A1206" t="s">
        <v>1215</v>
      </c>
      <c r="B1206" t="s">
        <v>11</v>
      </c>
      <c r="C1206">
        <f>1153510625/10^4</f>
      </c>
      <c r="D1206">
        <f>0</f>
      </c>
      <c r="E1206">
        <f>756201843/10^6</f>
      </c>
      <c r="F1206">
        <f>0</f>
      </c>
      <c r="G1206">
        <f>256266602/10^6</f>
      </c>
      <c r="H1206">
        <f>0</f>
      </c>
      <c r="I1206">
        <f>-45097122/10^6</f>
      </c>
      <c r="J1206">
        <f>0</f>
      </c>
    </row>
    <row r="1207">
      <c r="A1207" t="s">
        <v>1216</v>
      </c>
      <c r="B1207" t="s">
        <v>11</v>
      </c>
      <c r="C1207">
        <f>115120648438/10^6</f>
      </c>
      <c r="D1207">
        <f>0</f>
      </c>
      <c r="E1207">
        <f>756632507/10^6</f>
      </c>
      <c r="F1207">
        <f>0</f>
      </c>
      <c r="G1207">
        <f>256050079/10^6</f>
      </c>
      <c r="H1207">
        <f>0</f>
      </c>
      <c r="I1207">
        <f>-4494286/10^5</f>
      </c>
      <c r="J1207">
        <f>0</f>
      </c>
    </row>
    <row r="1208">
      <c r="A1208" t="s">
        <v>1217</v>
      </c>
      <c r="B1208" t="s">
        <v>11</v>
      </c>
      <c r="C1208">
        <f>114955257813/10^6</f>
      </c>
      <c r="D1208">
        <f>0</f>
      </c>
      <c r="E1208">
        <f>756865295/10^6</f>
      </c>
      <c r="F1208">
        <f>0</f>
      </c>
      <c r="G1208">
        <f>255882889/10^6</f>
      </c>
      <c r="H1208">
        <f>0</f>
      </c>
      <c r="I1208">
        <f>-44870701/10^6</f>
      </c>
      <c r="J1208">
        <f>0</f>
      </c>
    </row>
    <row r="1209">
      <c r="A1209" t="s">
        <v>1218</v>
      </c>
      <c r="B1209" t="s">
        <v>11</v>
      </c>
      <c r="C1209">
        <f>114858140625/10^6</f>
      </c>
      <c r="D1209">
        <f>0</f>
      </c>
      <c r="E1209">
        <f>757324524/10^6</f>
      </c>
      <c r="F1209">
        <f>0</f>
      </c>
      <c r="G1209">
        <f>255700409/10^6</f>
      </c>
      <c r="H1209">
        <f>0</f>
      </c>
      <c r="I1209">
        <f>-44596767/10^6</f>
      </c>
      <c r="J1209">
        <f>0</f>
      </c>
    </row>
    <row r="1210">
      <c r="A1210" t="s">
        <v>1219</v>
      </c>
      <c r="B1210" t="s">
        <v>11</v>
      </c>
      <c r="C1210">
        <f>114807398438/10^6</f>
      </c>
      <c r="D1210">
        <f>0</f>
      </c>
      <c r="E1210">
        <f>757935669/10^6</f>
      </c>
      <c r="F1210">
        <f>0</f>
      </c>
      <c r="G1210">
        <f>255448242/10^6</f>
      </c>
      <c r="H1210">
        <f>0</f>
      </c>
      <c r="I1210">
        <f>-44212059/10^6</f>
      </c>
      <c r="J1210">
        <f>0</f>
      </c>
    </row>
    <row r="1211">
      <c r="A1211" t="s">
        <v>1220</v>
      </c>
      <c r="B1211" t="s">
        <v>11</v>
      </c>
      <c r="C1211">
        <f>114793835938/10^6</f>
      </c>
      <c r="D1211">
        <f>0</f>
      </c>
      <c r="E1211">
        <f>758458862/10^6</f>
      </c>
      <c r="F1211">
        <f>0</f>
      </c>
      <c r="G1211">
        <f>255355698/10^6</f>
      </c>
      <c r="H1211">
        <f>0</f>
      </c>
      <c r="I1211">
        <f>-4396991/10^5</f>
      </c>
      <c r="J1211">
        <f>0</f>
      </c>
    </row>
    <row r="1212">
      <c r="A1212" t="s">
        <v>1221</v>
      </c>
      <c r="B1212" t="s">
        <v>11</v>
      </c>
      <c r="C1212">
        <f>114734265625/10^6</f>
      </c>
      <c r="D1212">
        <f>0</f>
      </c>
      <c r="E1212">
        <f>759053284/10^6</f>
      </c>
      <c r="F1212">
        <f>0</f>
      </c>
      <c r="G1212">
        <f>255534073/10^6</f>
      </c>
      <c r="H1212">
        <f>0</f>
      </c>
      <c r="I1212">
        <f>-44103504/10^6</f>
      </c>
      <c r="J1212">
        <f>0</f>
      </c>
    </row>
    <row r="1213">
      <c r="A1213" t="s">
        <v>1222</v>
      </c>
      <c r="B1213" t="s">
        <v>11</v>
      </c>
      <c r="C1213">
        <f>11463425/10^2</f>
      </c>
      <c r="D1213">
        <f>0</f>
      </c>
      <c r="E1213">
        <f>757768066/10^6</f>
      </c>
      <c r="F1213">
        <f>0</f>
      </c>
      <c r="G1213">
        <f>255592453/10^6</f>
      </c>
      <c r="H1213">
        <f>0</f>
      </c>
      <c r="I1213">
        <f>-44018238/10^6</f>
      </c>
      <c r="J1213">
        <f>0</f>
      </c>
    </row>
    <row r="1214">
      <c r="A1214" t="s">
        <v>1223</v>
      </c>
      <c r="B1214" t="s">
        <v>11</v>
      </c>
      <c r="C1214">
        <f>114718671875/10^6</f>
      </c>
      <c r="D1214">
        <f>0</f>
      </c>
      <c r="E1214">
        <f>753418152/10^6</f>
      </c>
      <c r="F1214">
        <f>0</f>
      </c>
      <c r="G1214">
        <f>254802567/10^6</f>
      </c>
      <c r="H1214">
        <f>0</f>
      </c>
      <c r="I1214">
        <f>-42194897/10^6</f>
      </c>
      <c r="J1214">
        <f>0</f>
      </c>
    </row>
    <row r="1215">
      <c r="A1215" t="s">
        <v>1224</v>
      </c>
      <c r="B1215" t="s">
        <v>11</v>
      </c>
      <c r="C1215">
        <f>11495828125/10^5</f>
      </c>
      <c r="D1215">
        <f>0</f>
      </c>
      <c r="E1215">
        <f>750623352/10^6</f>
      </c>
      <c r="F1215">
        <f>0</f>
      </c>
      <c r="G1215">
        <f>253716629/10^6</f>
      </c>
      <c r="H1215">
        <f>0</f>
      </c>
      <c r="I1215">
        <f>-39885544/10^6</f>
      </c>
      <c r="J1215">
        <f>0</f>
      </c>
    </row>
    <row r="1216">
      <c r="A1216" t="s">
        <v>1225</v>
      </c>
      <c r="B1216" t="s">
        <v>11</v>
      </c>
      <c r="C1216">
        <f>115080859375/10^6</f>
      </c>
      <c r="D1216">
        <f>0</f>
      </c>
      <c r="E1216">
        <f>752003845/10^6</f>
      </c>
      <c r="F1216">
        <f>0</f>
      </c>
      <c r="G1216">
        <f>253810333/10^6</f>
      </c>
      <c r="H1216">
        <f>0</f>
      </c>
      <c r="I1216">
        <f>-39442738/10^6</f>
      </c>
      <c r="J1216">
        <f>0</f>
      </c>
    </row>
    <row r="1217">
      <c r="A1217" t="s">
        <v>1226</v>
      </c>
      <c r="B1217" t="s">
        <v>11</v>
      </c>
      <c r="C1217">
        <f>115086679688/10^6</f>
      </c>
      <c r="D1217">
        <f>0</f>
      </c>
      <c r="E1217">
        <f>7542453/10^4</f>
      </c>
      <c r="F1217">
        <f>0</f>
      </c>
      <c r="G1217">
        <f>254705551/10^6</f>
      </c>
      <c r="H1217">
        <f>0</f>
      </c>
      <c r="I1217">
        <f>-39875668/10^6</f>
      </c>
      <c r="J1217">
        <f>0</f>
      </c>
    </row>
    <row r="1218">
      <c r="A1218" t="s">
        <v>1227</v>
      </c>
      <c r="B1218" t="s">
        <v>11</v>
      </c>
      <c r="C1218">
        <f>11511584375/10^5</f>
      </c>
      <c r="D1218">
        <f>0</f>
      </c>
      <c r="E1218">
        <f>755113586/10^6</f>
      </c>
      <c r="F1218">
        <f>0</f>
      </c>
      <c r="G1218">
        <f>255188629/10^6</f>
      </c>
      <c r="H1218">
        <f>0</f>
      </c>
      <c r="I1218">
        <f>-39888832/10^6</f>
      </c>
      <c r="J1218">
        <f>0</f>
      </c>
    </row>
    <row r="1219">
      <c r="A1219" t="s">
        <v>1228</v>
      </c>
      <c r="B1219" t="s">
        <v>11</v>
      </c>
      <c r="C1219">
        <f>115200617188/10^6</f>
      </c>
      <c r="D1219">
        <f>0</f>
      </c>
      <c r="E1219">
        <f>755250732/10^6</f>
      </c>
      <c r="F1219">
        <f>0</f>
      </c>
      <c r="G1219">
        <f>25552771/10^5</f>
      </c>
      <c r="H1219">
        <f>0</f>
      </c>
      <c r="I1219">
        <f>-39939297/10^6</f>
      </c>
      <c r="J1219">
        <f>0</f>
      </c>
    </row>
    <row r="1220">
      <c r="A1220" t="s">
        <v>1229</v>
      </c>
      <c r="B1220" t="s">
        <v>11</v>
      </c>
      <c r="C1220">
        <f>115348445313/10^6</f>
      </c>
      <c r="D1220">
        <f>0</f>
      </c>
      <c r="E1220">
        <f>755222168/10^6</f>
      </c>
      <c r="F1220">
        <f>0</f>
      </c>
      <c r="G1220">
        <f>25597583/10^5</f>
      </c>
      <c r="H1220">
        <f>0</f>
      </c>
      <c r="I1220">
        <f>-4012421/10^5</f>
      </c>
      <c r="J1220">
        <f>0</f>
      </c>
    </row>
    <row r="1221">
      <c r="A1221" t="s">
        <v>1230</v>
      </c>
      <c r="B1221" t="s">
        <v>11</v>
      </c>
      <c r="C1221">
        <f>115562742188/10^6</f>
      </c>
      <c r="D1221">
        <f>0</f>
      </c>
      <c r="E1221">
        <f>754757141/10^6</f>
      </c>
      <c r="F1221">
        <f>0</f>
      </c>
      <c r="G1221">
        <f>256285797/10^6</f>
      </c>
      <c r="H1221">
        <f>0</f>
      </c>
      <c r="I1221">
        <f>-40073357/10^6</f>
      </c>
      <c r="J1221">
        <f>0</f>
      </c>
    </row>
    <row r="1222">
      <c r="A1222" t="s">
        <v>1231</v>
      </c>
      <c r="B1222" t="s">
        <v>11</v>
      </c>
      <c r="C1222">
        <f>115823460938/10^6</f>
      </c>
      <c r="D1222">
        <f>0</f>
      </c>
      <c r="E1222">
        <f>75378894/10^5</f>
      </c>
      <c r="F1222">
        <f>0</f>
      </c>
      <c r="G1222">
        <f>256584747/10^6</f>
      </c>
      <c r="H1222">
        <f>0</f>
      </c>
      <c r="I1222">
        <f>-39901173/10^6</f>
      </c>
      <c r="J1222">
        <f>0</f>
      </c>
    </row>
    <row r="1223">
      <c r="A1223" t="s">
        <v>1232</v>
      </c>
      <c r="B1223" t="s">
        <v>11</v>
      </c>
      <c r="C1223">
        <f>116116929688/10^6</f>
      </c>
      <c r="D1223">
        <f>0</f>
      </c>
      <c r="E1223">
        <f>752625671/10^6</f>
      </c>
      <c r="F1223">
        <f>0</f>
      </c>
      <c r="G1223">
        <f>256868225/10^6</f>
      </c>
      <c r="H1223">
        <f>0</f>
      </c>
      <c r="I1223">
        <f>-39770187/10^6</f>
      </c>
      <c r="J1223">
        <f>0</f>
      </c>
    </row>
    <row r="1224">
      <c r="A1224" t="s">
        <v>1233</v>
      </c>
      <c r="B1224" t="s">
        <v>11</v>
      </c>
      <c r="C1224">
        <f>116469765625/10^6</f>
      </c>
      <c r="D1224">
        <f>0</f>
      </c>
      <c r="E1224">
        <f>751187744/10^6</f>
      </c>
      <c r="F1224">
        <f>0</f>
      </c>
      <c r="G1224">
        <f>257181702/10^6</f>
      </c>
      <c r="H1224">
        <f>0</f>
      </c>
      <c r="I1224">
        <f>-39470322/10^6</f>
      </c>
      <c r="J1224">
        <f>0</f>
      </c>
    </row>
    <row r="1225">
      <c r="A1225" t="s">
        <v>1234</v>
      </c>
      <c r="B1225" t="s">
        <v>11</v>
      </c>
      <c r="C1225">
        <f>1169229375/10^4</f>
      </c>
      <c r="D1225">
        <f>0</f>
      </c>
      <c r="E1225">
        <f>749177979/10^6</f>
      </c>
      <c r="F1225">
        <f>0</f>
      </c>
      <c r="G1225">
        <f>257506104/10^6</f>
      </c>
      <c r="H1225">
        <f>0</f>
      </c>
      <c r="I1225">
        <f>-39130322/10^6</f>
      </c>
      <c r="J1225">
        <f>0</f>
      </c>
    </row>
    <row r="1226">
      <c r="A1226" t="s">
        <v>1235</v>
      </c>
      <c r="B1226" t="s">
        <v>11</v>
      </c>
      <c r="C1226">
        <f>117475257813/10^6</f>
      </c>
      <c r="D1226">
        <f>0</f>
      </c>
      <c r="E1226">
        <f>746512451/10^6</f>
      </c>
      <c r="F1226">
        <f>0</f>
      </c>
      <c r="G1226">
        <f>257831635/10^6</f>
      </c>
      <c r="H1226">
        <f>0</f>
      </c>
      <c r="I1226">
        <f>-38847702/10^6</f>
      </c>
      <c r="J1226">
        <f>0</f>
      </c>
    </row>
    <row r="1227">
      <c r="A1227" t="s">
        <v>1236</v>
      </c>
      <c r="B1227" t="s">
        <v>11</v>
      </c>
      <c r="C1227">
        <f>118099515625/10^6</f>
      </c>
      <c r="D1227">
        <f>0</f>
      </c>
      <c r="E1227">
        <f>743609741/10^6</f>
      </c>
      <c r="F1227">
        <f>0</f>
      </c>
      <c r="G1227">
        <f>258259399/10^6</f>
      </c>
      <c r="H1227">
        <f>0</f>
      </c>
      <c r="I1227">
        <f>-38510147/10^6</f>
      </c>
      <c r="J1227">
        <f>0</f>
      </c>
    </row>
    <row r="1228">
      <c r="A1228" t="s">
        <v>1237</v>
      </c>
      <c r="B1228" t="s">
        <v>11</v>
      </c>
      <c r="C1228">
        <f>118781273438/10^6</f>
      </c>
      <c r="D1228">
        <f>0</f>
      </c>
      <c r="E1228">
        <f>740796631/10^6</f>
      </c>
      <c r="F1228">
        <f>0</f>
      </c>
      <c r="G1228">
        <f>258618561/10^6</f>
      </c>
      <c r="H1228">
        <f>0</f>
      </c>
      <c r="I1228">
        <f>-38189369/10^6</f>
      </c>
      <c r="J1228">
        <f>0</f>
      </c>
    </row>
    <row r="1229">
      <c r="A1229" t="s">
        <v>1238</v>
      </c>
      <c r="B1229" t="s">
        <v>11</v>
      </c>
      <c r="C1229">
        <f>119498203125/10^6</f>
      </c>
      <c r="D1229">
        <f>0</f>
      </c>
      <c r="E1229">
        <f>737675354/10^6</f>
      </c>
      <c r="F1229">
        <f>0</f>
      </c>
      <c r="G1229">
        <f>259119202/10^6</f>
      </c>
      <c r="H1229">
        <f>0</f>
      </c>
      <c r="I1229">
        <f>-37685493/10^6</f>
      </c>
      <c r="J1229">
        <f>0</f>
      </c>
    </row>
    <row r="1230">
      <c r="A1230" t="s">
        <v>1239</v>
      </c>
      <c r="B1230" t="s">
        <v>11</v>
      </c>
      <c r="C1230">
        <f>120223898438/10^6</f>
      </c>
      <c r="D1230">
        <f>0</f>
      </c>
      <c r="E1230">
        <f>73403656/10^5</f>
      </c>
      <c r="F1230">
        <f>0</f>
      </c>
      <c r="G1230">
        <f>259692108/10^6</f>
      </c>
      <c r="H1230">
        <f>0</f>
      </c>
      <c r="I1230">
        <f>-37157383/10^6</f>
      </c>
      <c r="J1230">
        <f>0</f>
      </c>
    </row>
    <row r="1231">
      <c r="A1231" t="s">
        <v>1240</v>
      </c>
      <c r="B1231" t="s">
        <v>11</v>
      </c>
      <c r="C1231">
        <f>120947640625/10^6</f>
      </c>
      <c r="D1231">
        <f>0</f>
      </c>
      <c r="E1231">
        <f>730236633/10^6</f>
      </c>
      <c r="F1231">
        <f>0</f>
      </c>
      <c r="G1231">
        <f>260000244/10^6</f>
      </c>
      <c r="H1231">
        <f>0</f>
      </c>
      <c r="I1231">
        <f>-36678135/10^6</f>
      </c>
      <c r="J1231">
        <f>0</f>
      </c>
    </row>
    <row r="1232">
      <c r="A1232" t="s">
        <v>1241</v>
      </c>
      <c r="B1232" t="s">
        <v>11</v>
      </c>
      <c r="C1232">
        <f>12161396875/10^5</f>
      </c>
      <c r="D1232">
        <f>0</f>
      </c>
      <c r="E1232">
        <f>726523682/10^6</f>
      </c>
      <c r="F1232">
        <f>0</f>
      </c>
      <c r="G1232">
        <f>26037381/10^5</f>
      </c>
      <c r="H1232">
        <f>0</f>
      </c>
      <c r="I1232">
        <f>-35941895/10^6</f>
      </c>
      <c r="J1232">
        <f>0</f>
      </c>
    </row>
    <row r="1233">
      <c r="A1233" t="s">
        <v>1242</v>
      </c>
      <c r="B1233" t="s">
        <v>11</v>
      </c>
      <c r="C1233">
        <f>122108148438/10^6</f>
      </c>
      <c r="D1233">
        <f>0</f>
      </c>
      <c r="E1233">
        <f>723280151/10^6</f>
      </c>
      <c r="F1233">
        <f>0</f>
      </c>
      <c r="G1233">
        <f>260647583/10^6</f>
      </c>
      <c r="H1233">
        <f>0</f>
      </c>
      <c r="I1233">
        <f>-35403873/10^6</f>
      </c>
      <c r="J1233">
        <f>0</f>
      </c>
    </row>
    <row r="1234">
      <c r="A1234" t="s">
        <v>1243</v>
      </c>
      <c r="B1234" t="s">
        <v>11</v>
      </c>
      <c r="C1234">
        <f>122362835938/10^6</f>
      </c>
      <c r="D1234">
        <f>0</f>
      </c>
      <c r="E1234">
        <f>720990112/10^6</f>
      </c>
      <c r="F1234">
        <f>0</f>
      </c>
      <c r="G1234">
        <f>260510193/10^6</f>
      </c>
      <c r="H1234">
        <f>0</f>
      </c>
      <c r="I1234">
        <f>-35039227/10^6</f>
      </c>
      <c r="J1234">
        <f>0</f>
      </c>
    </row>
    <row r="1235">
      <c r="A1235" t="s">
        <v>1244</v>
      </c>
      <c r="B1235" t="s">
        <v>11</v>
      </c>
      <c r="C1235">
        <f>122440570313/10^6</f>
      </c>
      <c r="D1235">
        <f>0</f>
      </c>
      <c r="E1235">
        <f>719648743/10^6</f>
      </c>
      <c r="F1235">
        <f>0</f>
      </c>
      <c r="G1235">
        <f>260370026/10^6</f>
      </c>
      <c r="H1235">
        <f>0</f>
      </c>
      <c r="I1235">
        <f>-34552391/10^6</f>
      </c>
      <c r="J1235">
        <f>0</f>
      </c>
    </row>
    <row r="1236">
      <c r="A1236" t="s">
        <v>1245</v>
      </c>
      <c r="B1236" t="s">
        <v>11</v>
      </c>
      <c r="C1236">
        <f>122447921875/10^6</f>
      </c>
      <c r="D1236">
        <f>0</f>
      </c>
      <c r="E1236">
        <f>718920227/10^6</f>
      </c>
      <c r="F1236">
        <f>0</f>
      </c>
      <c r="G1236">
        <f>260221191/10^6</f>
      </c>
      <c r="H1236">
        <f>0</f>
      </c>
      <c r="I1236">
        <f>-34489838/10^6</f>
      </c>
      <c r="J1236">
        <f>0</f>
      </c>
    </row>
    <row r="1237">
      <c r="A1237" t="s">
        <v>1246</v>
      </c>
      <c r="B1237" t="s">
        <v>11</v>
      </c>
      <c r="C1237">
        <f>122423015625/10^6</f>
      </c>
      <c r="D1237">
        <f>0</f>
      </c>
      <c r="E1237">
        <f>718501038/10^6</f>
      </c>
      <c r="F1237">
        <f>0</f>
      </c>
      <c r="G1237">
        <f>259884186/10^6</f>
      </c>
      <c r="H1237">
        <f>0</f>
      </c>
      <c r="I1237">
        <f>-34752583/10^6</f>
      </c>
      <c r="J1237">
        <f>0</f>
      </c>
    </row>
    <row r="1238">
      <c r="A1238" t="s">
        <v>1247</v>
      </c>
      <c r="B1238" t="s">
        <v>11</v>
      </c>
      <c r="C1238">
        <f>122387765625/10^6</f>
      </c>
      <c r="D1238">
        <f>0</f>
      </c>
      <c r="E1238">
        <f>7183302/10^4</f>
      </c>
      <c r="F1238">
        <f>0</f>
      </c>
      <c r="G1238">
        <f>25964389/10^5</f>
      </c>
      <c r="H1238">
        <f>0</f>
      </c>
      <c r="I1238">
        <f>-34873795/10^6</f>
      </c>
      <c r="J1238">
        <f>0</f>
      </c>
    </row>
    <row r="1239">
      <c r="A1239" t="s">
        <v>1248</v>
      </c>
      <c r="B1239" t="s">
        <v>11</v>
      </c>
      <c r="C1239">
        <f>1223739375/10^4</f>
      </c>
      <c r="D1239">
        <f>0</f>
      </c>
      <c r="E1239">
        <f>718321228/10^6</f>
      </c>
      <c r="F1239">
        <f>0</f>
      </c>
      <c r="G1239">
        <f>259500458/10^6</f>
      </c>
      <c r="H1239">
        <f>0</f>
      </c>
      <c r="I1239">
        <f>-35075169/10^6</f>
      </c>
      <c r="J1239">
        <f>0</f>
      </c>
    </row>
    <row r="1240">
      <c r="A1240" t="s">
        <v>1249</v>
      </c>
      <c r="B1240" t="s">
        <v>11</v>
      </c>
      <c r="C1240">
        <f>122360734375/10^6</f>
      </c>
      <c r="D1240">
        <f>0</f>
      </c>
      <c r="E1240">
        <f>718236145/10^6</f>
      </c>
      <c r="F1240">
        <f>0</f>
      </c>
      <c r="G1240">
        <f>259330109/10^6</f>
      </c>
      <c r="H1240">
        <f>0</f>
      </c>
      <c r="I1240">
        <f>-35365887/10^6</f>
      </c>
      <c r="J1240">
        <f>0</f>
      </c>
    </row>
    <row r="1241">
      <c r="A1241" t="s">
        <v>1250</v>
      </c>
      <c r="B1241" t="s">
        <v>11</v>
      </c>
      <c r="C1241">
        <f>122322039063/10^6</f>
      </c>
      <c r="D1241">
        <f>0</f>
      </c>
      <c r="E1241">
        <f>718117676/10^6</f>
      </c>
      <c r="F1241">
        <f>0</f>
      </c>
      <c r="G1241">
        <f>259205383/10^6</f>
      </c>
      <c r="H1241">
        <f>0</f>
      </c>
      <c r="I1241">
        <f>-35449444/10^6</f>
      </c>
      <c r="J1241">
        <f>0</f>
      </c>
    </row>
    <row r="1242">
      <c r="A1242" t="s">
        <v>1251</v>
      </c>
      <c r="B1242" t="s">
        <v>11</v>
      </c>
      <c r="C1242">
        <f>122252828125/10^6</f>
      </c>
      <c r="D1242">
        <f>0</f>
      </c>
      <c r="E1242">
        <f>71821051/10^5</f>
      </c>
      <c r="F1242">
        <f>0</f>
      </c>
      <c r="G1242">
        <f>259100586/10^6</f>
      </c>
      <c r="H1242">
        <f>0</f>
      </c>
      <c r="I1242">
        <f>-3535656/10^5</f>
      </c>
      <c r="J1242">
        <f>0</f>
      </c>
    </row>
    <row r="1243">
      <c r="A1243" t="s">
        <v>1252</v>
      </c>
      <c r="B1243" t="s">
        <v>11</v>
      </c>
      <c r="C1243">
        <f>122106867188/10^6</f>
      </c>
      <c r="D1243">
        <f>0</f>
      </c>
      <c r="E1243">
        <f>718704163/10^6</f>
      </c>
      <c r="F1243">
        <f>0</f>
      </c>
      <c r="G1243">
        <f>258996185/10^6</f>
      </c>
      <c r="H1243">
        <f>0</f>
      </c>
      <c r="I1243">
        <f>-35372639/10^6</f>
      </c>
      <c r="J1243">
        <f>0</f>
      </c>
    </row>
    <row r="1244">
      <c r="A1244" t="s">
        <v>1253</v>
      </c>
      <c r="B1244" t="s">
        <v>11</v>
      </c>
      <c r="C1244">
        <f>1218626875/10^4</f>
      </c>
      <c r="D1244">
        <f>0</f>
      </c>
      <c r="E1244">
        <f>719740356/10^6</f>
      </c>
      <c r="F1244">
        <f>0</f>
      </c>
      <c r="G1244">
        <f>258834229/10^6</f>
      </c>
      <c r="H1244">
        <f>0</f>
      </c>
      <c r="I1244">
        <f>-35653889/10^6</f>
      </c>
      <c r="J1244">
        <f>0</f>
      </c>
    </row>
    <row r="1245">
      <c r="A1245" t="s">
        <v>1254</v>
      </c>
      <c r="B1245" t="s">
        <v>11</v>
      </c>
      <c r="C1245">
        <f>121575515625/10^6</f>
      </c>
      <c r="D1245">
        <f>0</f>
      </c>
      <c r="E1245">
        <f>721193787/10^6</f>
      </c>
      <c r="F1245">
        <f>0</f>
      </c>
      <c r="G1245">
        <f>25865387/10^5</f>
      </c>
      <c r="H1245">
        <f>0</f>
      </c>
      <c r="I1245">
        <f>-35931095/10^6</f>
      </c>
      <c r="J1245">
        <f>0</f>
      </c>
    </row>
    <row r="1246">
      <c r="A1246" t="s">
        <v>1255</v>
      </c>
      <c r="B1246" t="s">
        <v>11</v>
      </c>
      <c r="C1246">
        <f>121287710938/10^6</f>
      </c>
      <c r="D1246">
        <f>0</f>
      </c>
      <c r="E1246">
        <f>722770813/10^6</f>
      </c>
      <c r="F1246">
        <f>0</f>
      </c>
      <c r="G1246">
        <f>258543182/10^6</f>
      </c>
      <c r="H1246">
        <f>0</f>
      </c>
      <c r="I1246">
        <f>-36201717/10^6</f>
      </c>
      <c r="J1246">
        <f>0</f>
      </c>
    </row>
    <row r="1247">
      <c r="A1247" t="s">
        <v>1256</v>
      </c>
      <c r="B1247" t="s">
        <v>11</v>
      </c>
      <c r="C1247">
        <f>12101784375/10^5</f>
      </c>
      <c r="D1247">
        <f>0</f>
      </c>
      <c r="E1247">
        <f>724329224/10^6</f>
      </c>
      <c r="F1247">
        <f>0</f>
      </c>
      <c r="G1247">
        <f>258412598/10^6</f>
      </c>
      <c r="H1247">
        <f>0</f>
      </c>
      <c r="I1247">
        <f>-36652088/10^6</f>
      </c>
      <c r="J1247">
        <f>0</f>
      </c>
    </row>
    <row r="1248">
      <c r="A1248" t="s">
        <v>1257</v>
      </c>
      <c r="B1248" t="s">
        <v>11</v>
      </c>
      <c r="C1248">
        <f>12074315625/10^5</f>
      </c>
      <c r="D1248">
        <f>0</f>
      </c>
      <c r="E1248">
        <f>725811279/10^6</f>
      </c>
      <c r="F1248">
        <f>0</f>
      </c>
      <c r="G1248">
        <f>25830777/10^5</f>
      </c>
      <c r="H1248">
        <f>0</f>
      </c>
      <c r="I1248">
        <f>-3700621/10^5</f>
      </c>
      <c r="J1248">
        <f>0</f>
      </c>
    </row>
    <row r="1249">
      <c r="A1249" t="s">
        <v>1258</v>
      </c>
      <c r="B1249" t="s">
        <v>11</v>
      </c>
      <c r="C1249">
        <f>120431796875/10^6</f>
      </c>
      <c r="D1249">
        <f>0</f>
      </c>
      <c r="E1249">
        <f>727450256/10^6</f>
      </c>
      <c r="F1249">
        <f>0</f>
      </c>
      <c r="G1249">
        <f>258264099/10^6</f>
      </c>
      <c r="H1249">
        <f>0</f>
      </c>
      <c r="I1249">
        <f>-37264496/10^6</f>
      </c>
      <c r="J1249">
        <f>0</f>
      </c>
    </row>
    <row r="1250">
      <c r="A1250" t="s">
        <v>1259</v>
      </c>
      <c r="B1250" t="s">
        <v>11</v>
      </c>
      <c r="C1250">
        <f>120175453125/10^6</f>
      </c>
      <c r="D1250">
        <f>0</f>
      </c>
      <c r="E1250">
        <f>729319519/10^6</f>
      </c>
      <c r="F1250">
        <f>0</f>
      </c>
      <c r="G1250">
        <f>25820813/10^5</f>
      </c>
      <c r="H1250">
        <f>0</f>
      </c>
      <c r="I1250">
        <f>-37521343/10^6</f>
      </c>
      <c r="J1250">
        <f>0</f>
      </c>
    </row>
    <row r="1251">
      <c r="A1251" t="s">
        <v>1260</v>
      </c>
      <c r="B1251" t="s">
        <v>11</v>
      </c>
      <c r="C1251">
        <f>120023914063/10^6</f>
      </c>
      <c r="D1251">
        <f>0</f>
      </c>
      <c r="E1251">
        <f>7306521/10^4</f>
      </c>
      <c r="F1251">
        <f>0</f>
      </c>
      <c r="G1251">
        <f>258186401/10^6</f>
      </c>
      <c r="H1251">
        <f>0</f>
      </c>
      <c r="I1251">
        <f>-37822899/10^6</f>
      </c>
      <c r="J1251">
        <f>0</f>
      </c>
    </row>
    <row r="1252">
      <c r="A1252" t="s">
        <v>1261</v>
      </c>
      <c r="B1252" t="s">
        <v>11</v>
      </c>
      <c r="C1252">
        <f>119873125/10^3</f>
      </c>
      <c r="D1252">
        <f>0</f>
      </c>
      <c r="E1252">
        <f>731285339/10^6</f>
      </c>
      <c r="F1252">
        <f>0</f>
      </c>
      <c r="G1252">
        <f>258225128/10^6</f>
      </c>
      <c r="H1252">
        <f>0</f>
      </c>
      <c r="I1252">
        <f>-38328583/10^6</f>
      </c>
      <c r="J1252">
        <f>0</f>
      </c>
    </row>
    <row r="1253">
      <c r="A1253" t="s">
        <v>1262</v>
      </c>
      <c r="B1253" t="s">
        <v>11</v>
      </c>
      <c r="C1253">
        <f>119685023438/10^6</f>
      </c>
      <c r="D1253">
        <f>0</f>
      </c>
      <c r="E1253">
        <f>732089966/10^6</f>
      </c>
      <c r="F1253">
        <f>0</f>
      </c>
      <c r="G1253">
        <f>258234924/10^6</f>
      </c>
      <c r="H1253">
        <f>0</f>
      </c>
      <c r="I1253">
        <f>-38695713/10^6</f>
      </c>
      <c r="J1253">
        <f>0</f>
      </c>
    </row>
    <row r="1254">
      <c r="A1254" t="s">
        <v>1263</v>
      </c>
      <c r="B1254" t="s">
        <v>11</v>
      </c>
      <c r="C1254">
        <f>119498765625/10^6</f>
      </c>
      <c r="D1254">
        <f>0</f>
      </c>
      <c r="E1254">
        <f>733202393/10^6</f>
      </c>
      <c r="F1254">
        <f>0</f>
      </c>
      <c r="G1254">
        <f>258130432/10^6</f>
      </c>
      <c r="H1254">
        <f>0</f>
      </c>
      <c r="I1254">
        <f>-38786526/10^6</f>
      </c>
      <c r="J1254">
        <f>0</f>
      </c>
    </row>
    <row r="1255">
      <c r="A1255" t="s">
        <v>1264</v>
      </c>
      <c r="B1255" t="s">
        <v>11</v>
      </c>
      <c r="C1255">
        <f>119331007813/10^6</f>
      </c>
      <c r="D1255">
        <f>0</f>
      </c>
      <c r="E1255">
        <f>734176086/10^6</f>
      </c>
      <c r="F1255">
        <f>0</f>
      </c>
      <c r="G1255">
        <f>257999481/10^6</f>
      </c>
      <c r="H1255">
        <f>0</f>
      </c>
      <c r="I1255">
        <f>-38865631/10^6</f>
      </c>
      <c r="J1255">
        <f>0</f>
      </c>
    </row>
    <row r="1256">
      <c r="A1256" t="s">
        <v>1265</v>
      </c>
      <c r="B1256" t="s">
        <v>11</v>
      </c>
      <c r="C1256">
        <f>11917771875/10^5</f>
      </c>
      <c r="D1256">
        <f>0</f>
      </c>
      <c r="E1256">
        <f>735089294/10^6</f>
      </c>
      <c r="F1256">
        <f>0</f>
      </c>
      <c r="G1256">
        <f>257971619/10^6</f>
      </c>
      <c r="H1256">
        <f>0</f>
      </c>
      <c r="I1256">
        <f>-39050461/10^6</f>
      </c>
      <c r="J1256">
        <f>0</f>
      </c>
    </row>
    <row r="1257">
      <c r="A1257" t="s">
        <v>1266</v>
      </c>
      <c r="B1257" t="s">
        <v>11</v>
      </c>
      <c r="C1257">
        <f>119010273438/10^6</f>
      </c>
      <c r="D1257">
        <f>0</f>
      </c>
      <c r="E1257">
        <f>736090515/10^6</f>
      </c>
      <c r="F1257">
        <f>0</f>
      </c>
      <c r="G1257">
        <f>258003662/10^6</f>
      </c>
      <c r="H1257">
        <f>0</f>
      </c>
      <c r="I1257">
        <f>-39330883/10^6</f>
      </c>
      <c r="J1257">
        <f>0</f>
      </c>
    </row>
    <row r="1258">
      <c r="A1258" t="s">
        <v>1267</v>
      </c>
      <c r="B1258" t="s">
        <v>11</v>
      </c>
      <c r="C1258">
        <f>1188403125/10^4</f>
      </c>
      <c r="D1258">
        <f>0</f>
      </c>
      <c r="E1258">
        <f>737075867/10^6</f>
      </c>
      <c r="F1258">
        <f>0</f>
      </c>
      <c r="G1258">
        <f>258007996/10^6</f>
      </c>
      <c r="H1258">
        <f>0</f>
      </c>
      <c r="I1258">
        <f>-39536774/10^6</f>
      </c>
      <c r="J1258">
        <f>0</f>
      </c>
    </row>
    <row r="1259">
      <c r="A1259" t="s">
        <v>1268</v>
      </c>
      <c r="B1259" t="s">
        <v>11</v>
      </c>
      <c r="C1259">
        <f>118715804688/10^6</f>
      </c>
      <c r="D1259">
        <f>0</f>
      </c>
      <c r="E1259">
        <f>738030334/10^6</f>
      </c>
      <c r="F1259">
        <f>0</f>
      </c>
      <c r="G1259">
        <f>257936035/10^6</f>
      </c>
      <c r="H1259">
        <f>0</f>
      </c>
      <c r="I1259">
        <f>-39754318/10^6</f>
      </c>
      <c r="J1259">
        <f>0</f>
      </c>
    </row>
    <row r="1260">
      <c r="A1260" t="s">
        <v>1269</v>
      </c>
      <c r="B1260" t="s">
        <v>11</v>
      </c>
      <c r="C1260">
        <f>11864446875/10^5</f>
      </c>
      <c r="D1260">
        <f>0</f>
      </c>
      <c r="E1260">
        <f>73877771/10^5</f>
      </c>
      <c r="F1260">
        <f>0</f>
      </c>
      <c r="G1260">
        <f>257839478/10^6</f>
      </c>
      <c r="H1260">
        <f>0</f>
      </c>
      <c r="I1260">
        <f>-40023514/10^6</f>
      </c>
      <c r="J1260">
        <f>0</f>
      </c>
    </row>
    <row r="1261">
      <c r="A1261" t="s">
        <v>1270</v>
      </c>
      <c r="B1261" t="s">
        <v>11</v>
      </c>
      <c r="C1261">
        <f>118607820313/10^6</f>
      </c>
      <c r="D1261">
        <f>0</f>
      </c>
      <c r="E1261">
        <f>739138916/10^6</f>
      </c>
      <c r="F1261">
        <f>0</f>
      </c>
      <c r="G1261">
        <f>257857025/10^6</f>
      </c>
      <c r="H1261">
        <f>0</f>
      </c>
      <c r="I1261">
        <f>-40129505/10^6</f>
      </c>
      <c r="J1261">
        <f>0</f>
      </c>
    </row>
    <row r="1262">
      <c r="A1262" t="s">
        <v>1271</v>
      </c>
      <c r="B1262" t="s">
        <v>11</v>
      </c>
      <c r="C1262">
        <f>118587921875/10^6</f>
      </c>
      <c r="D1262">
        <f>0</f>
      </c>
      <c r="E1262">
        <f>739418762/10^6</f>
      </c>
      <c r="F1262">
        <f>0</f>
      </c>
      <c r="G1262">
        <f>257954742/10^6</f>
      </c>
      <c r="H1262">
        <f>0</f>
      </c>
      <c r="I1262">
        <f>-40164768/10^6</f>
      </c>
      <c r="J1262">
        <f>0</f>
      </c>
    </row>
    <row r="1263">
      <c r="A1263" t="s">
        <v>1272</v>
      </c>
      <c r="B1263" t="s">
        <v>11</v>
      </c>
      <c r="C1263">
        <f>118573914063/10^6</f>
      </c>
      <c r="D1263">
        <f>0</f>
      </c>
      <c r="E1263">
        <f>739811401/10^6</f>
      </c>
      <c r="F1263">
        <f>0</f>
      </c>
      <c r="G1263">
        <f>258009216/10^6</f>
      </c>
      <c r="H1263">
        <f>0</f>
      </c>
      <c r="I1263">
        <f>-40224731/10^6</f>
      </c>
      <c r="J1263">
        <f>0</f>
      </c>
    </row>
    <row r="1264">
      <c r="A1264" t="s">
        <v>1273</v>
      </c>
      <c r="B1264" t="s">
        <v>11</v>
      </c>
      <c r="C1264">
        <f>118556140625/10^6</f>
      </c>
      <c r="D1264">
        <f>0</f>
      </c>
      <c r="E1264">
        <f>740062378/10^6</f>
      </c>
      <c r="F1264">
        <f>0</f>
      </c>
      <c r="G1264">
        <f>258067505/10^6</f>
      </c>
      <c r="H1264">
        <f>0</f>
      </c>
      <c r="I1264">
        <f>-40236965/10^6</f>
      </c>
      <c r="J1264">
        <f>0</f>
      </c>
    </row>
    <row r="1265">
      <c r="A1265" t="s">
        <v>1274</v>
      </c>
      <c r="B1265" t="s">
        <v>11</v>
      </c>
      <c r="C1265">
        <f>11850996875/10^5</f>
      </c>
      <c r="D1265">
        <f>0</f>
      </c>
      <c r="E1265">
        <f>740226135/10^6</f>
      </c>
      <c r="F1265">
        <f>0</f>
      </c>
      <c r="G1265">
        <f>25814859/10^5</f>
      </c>
      <c r="H1265">
        <f>0</f>
      </c>
      <c r="I1265">
        <f>-40224171/10^6</f>
      </c>
      <c r="J1265">
        <f>0</f>
      </c>
    </row>
    <row r="1266">
      <c r="A1266" t="s">
        <v>1275</v>
      </c>
      <c r="B1266" t="s">
        <v>11</v>
      </c>
      <c r="C1266">
        <f>118444539063/10^6</f>
      </c>
      <c r="D1266">
        <f>0</f>
      </c>
      <c r="E1266">
        <f>740722534/10^6</f>
      </c>
      <c r="F1266">
        <f>0</f>
      </c>
      <c r="G1266">
        <f>258169434/10^6</f>
      </c>
      <c r="H1266">
        <f>0</f>
      </c>
      <c r="I1266">
        <f>-40285828/10^6</f>
      </c>
      <c r="J1266">
        <f>0</f>
      </c>
    </row>
    <row r="1267">
      <c r="A1267" t="s">
        <v>1276</v>
      </c>
      <c r="B1267" t="s">
        <v>11</v>
      </c>
      <c r="C1267">
        <f>118395671875/10^6</f>
      </c>
      <c r="D1267">
        <f>0</f>
      </c>
      <c r="E1267">
        <f>741398438/10^6</f>
      </c>
      <c r="F1267">
        <f>0</f>
      </c>
      <c r="G1267">
        <f>258153687/10^6</f>
      </c>
      <c r="H1267">
        <f>0</f>
      </c>
      <c r="I1267">
        <f>-40421574/10^6</f>
      </c>
      <c r="J1267">
        <f>0</f>
      </c>
    </row>
    <row r="1268">
      <c r="A1268" t="s">
        <v>1277</v>
      </c>
      <c r="B1268" t="s">
        <v>11</v>
      </c>
      <c r="C1268">
        <f>118344132813/10^6</f>
      </c>
      <c r="D1268">
        <f>0</f>
      </c>
      <c r="E1268">
        <f>741805908/10^6</f>
      </c>
      <c r="F1268">
        <f>0</f>
      </c>
      <c r="G1268">
        <f>258151917/10^6</f>
      </c>
      <c r="H1268">
        <f>0</f>
      </c>
      <c r="I1268">
        <f>-4051833/10^5</f>
      </c>
      <c r="J1268">
        <f>0</f>
      </c>
    </row>
    <row r="1269">
      <c r="A1269" t="s">
        <v>1278</v>
      </c>
      <c r="B1269" t="s">
        <v>11</v>
      </c>
      <c r="C1269">
        <f>11825775/10^2</f>
      </c>
      <c r="D1269">
        <f>0</f>
      </c>
      <c r="E1269">
        <f>742131165/10^6</f>
      </c>
      <c r="F1269">
        <f>0</f>
      </c>
      <c r="G1269">
        <f>258156403/10^6</f>
      </c>
      <c r="H1269">
        <f>0</f>
      </c>
      <c r="I1269">
        <f>-40585606/10^6</f>
      </c>
      <c r="J1269">
        <f>0</f>
      </c>
    </row>
    <row r="1270">
      <c r="A1270" t="s">
        <v>1279</v>
      </c>
      <c r="B1270" t="s">
        <v>11</v>
      </c>
      <c r="C1270">
        <f>118159546875/10^6</f>
      </c>
      <c r="D1270">
        <f>0</f>
      </c>
      <c r="E1270">
        <f>742631958/10^6</f>
      </c>
      <c r="F1270">
        <f>0</f>
      </c>
      <c r="G1270">
        <f>258161926/10^6</f>
      </c>
      <c r="H1270">
        <f>0</f>
      </c>
      <c r="I1270">
        <f>-40654778/10^6</f>
      </c>
      <c r="J1270">
        <f>0</f>
      </c>
    </row>
    <row r="1271">
      <c r="A1271" t="s">
        <v>1280</v>
      </c>
      <c r="B1271" t="s">
        <v>11</v>
      </c>
      <c r="C1271">
        <f>118058335938/10^6</f>
      </c>
      <c r="D1271">
        <f>0</f>
      </c>
      <c r="E1271">
        <f>743175049/10^6</f>
      </c>
      <c r="F1271">
        <f>0</f>
      </c>
      <c r="G1271">
        <f>258145447/10^6</f>
      </c>
      <c r="H1271">
        <f>0</f>
      </c>
      <c r="I1271">
        <f>-40757797/10^6</f>
      </c>
      <c r="J1271">
        <f>0</f>
      </c>
    </row>
    <row r="1272">
      <c r="A1272" t="s">
        <v>1281</v>
      </c>
      <c r="B1272" t="s">
        <v>11</v>
      </c>
      <c r="C1272">
        <f>117922/10^0</f>
      </c>
      <c r="D1272">
        <f>0</f>
      </c>
      <c r="E1272">
        <f>743848633/10^6</f>
      </c>
      <c r="F1272">
        <f>0</f>
      </c>
      <c r="G1272">
        <f>258119049/10^6</f>
      </c>
      <c r="H1272">
        <f>0</f>
      </c>
      <c r="I1272">
        <f>-40897335/10^6</f>
      </c>
      <c r="J1272">
        <f>0</f>
      </c>
    </row>
    <row r="1273">
      <c r="A1273" t="s">
        <v>1282</v>
      </c>
      <c r="B1273" t="s">
        <v>11</v>
      </c>
      <c r="C1273">
        <f>117756257813/10^6</f>
      </c>
      <c r="D1273">
        <f>0</f>
      </c>
      <c r="E1273">
        <f>744781616/10^6</f>
      </c>
      <c r="F1273">
        <f>0</f>
      </c>
      <c r="G1273">
        <f>258091461/10^6</f>
      </c>
      <c r="H1273">
        <f>0</f>
      </c>
      <c r="I1273">
        <f>-41024246/10^6</f>
      </c>
      <c r="J1273">
        <f>0</f>
      </c>
    </row>
    <row r="1274">
      <c r="A1274" t="s">
        <v>1283</v>
      </c>
      <c r="B1274" t="s">
        <v>11</v>
      </c>
      <c r="C1274">
        <f>1175835/10^1</f>
      </c>
      <c r="D1274">
        <f>0</f>
      </c>
      <c r="E1274">
        <f>745756775/10^6</f>
      </c>
      <c r="F1274">
        <f>0</f>
      </c>
      <c r="G1274">
        <f>258021881/10^6</f>
      </c>
      <c r="H1274">
        <f>0</f>
      </c>
      <c r="I1274">
        <f>-41234501/10^6</f>
      </c>
      <c r="J1274">
        <f>0</f>
      </c>
    </row>
    <row r="1275">
      <c r="A1275" t="s">
        <v>1284</v>
      </c>
      <c r="B1275" t="s">
        <v>11</v>
      </c>
      <c r="C1275">
        <f>117392734375/10^6</f>
      </c>
      <c r="D1275">
        <f>0</f>
      </c>
      <c r="E1275">
        <f>746799561/10^6</f>
      </c>
      <c r="F1275">
        <f>0</f>
      </c>
      <c r="G1275">
        <f>257954254/10^6</f>
      </c>
      <c r="H1275">
        <f>0</f>
      </c>
      <c r="I1275">
        <f>-41450104/10^6</f>
      </c>
      <c r="J1275">
        <f>0</f>
      </c>
    </row>
    <row r="1276">
      <c r="A1276" t="s">
        <v>1285</v>
      </c>
      <c r="B1276" t="s">
        <v>11</v>
      </c>
      <c r="C1276">
        <f>117191203125/10^6</f>
      </c>
      <c r="D1276">
        <f>0</f>
      </c>
      <c r="E1276">
        <f>748057251/10^6</f>
      </c>
      <c r="F1276">
        <f>0</f>
      </c>
      <c r="G1276">
        <f>257876709/10^6</f>
      </c>
      <c r="H1276">
        <f>0</f>
      </c>
      <c r="I1276">
        <f>-41655819/10^6</f>
      </c>
      <c r="J1276">
        <f>0</f>
      </c>
    </row>
    <row r="1277">
      <c r="A1277" t="s">
        <v>1286</v>
      </c>
      <c r="B1277" t="s">
        <v>11</v>
      </c>
      <c r="C1277">
        <f>117019132813/10^6</f>
      </c>
      <c r="D1277">
        <f>0</f>
      </c>
      <c r="E1277">
        <f>749226013/10^6</f>
      </c>
      <c r="F1277">
        <f>0</f>
      </c>
      <c r="G1277">
        <f>257722778/10^6</f>
      </c>
      <c r="H1277">
        <f>0</f>
      </c>
      <c r="I1277">
        <f>-42013012/10^6</f>
      </c>
      <c r="J1277">
        <f>0</f>
      </c>
    </row>
    <row r="1278">
      <c r="A1278" t="s">
        <v>1287</v>
      </c>
      <c r="B1278" t="s">
        <v>11</v>
      </c>
      <c r="C1278">
        <f>116898835938/10^6</f>
      </c>
      <c r="D1278">
        <f>0</f>
      </c>
      <c r="E1278">
        <f>750014832/10^6</f>
      </c>
      <c r="F1278">
        <f>0</f>
      </c>
      <c r="G1278">
        <f>257616211/10^6</f>
      </c>
      <c r="H1278">
        <f>0</f>
      </c>
      <c r="I1278">
        <f>-42273693/10^6</f>
      </c>
      <c r="J1278">
        <f>0</f>
      </c>
    </row>
    <row r="1279">
      <c r="A1279" t="s">
        <v>1288</v>
      </c>
      <c r="B1279" t="s">
        <v>11</v>
      </c>
      <c r="C1279">
        <f>116799929688/10^6</f>
      </c>
      <c r="D1279">
        <f>0</f>
      </c>
      <c r="E1279">
        <f>750665955/10^6</f>
      </c>
      <c r="F1279">
        <f>0</f>
      </c>
      <c r="G1279">
        <f>257618835/10^6</f>
      </c>
      <c r="H1279">
        <f>0</f>
      </c>
      <c r="I1279">
        <f>-423008/10^4</f>
      </c>
      <c r="J1279">
        <f>0</f>
      </c>
    </row>
    <row r="1280">
      <c r="A1280" t="s">
        <v>1289</v>
      </c>
      <c r="B1280" t="s">
        <v>11</v>
      </c>
      <c r="C1280">
        <f>11667409375/10^5</f>
      </c>
      <c r="D1280">
        <f>0</f>
      </c>
      <c r="E1280">
        <f>751435669/10^6</f>
      </c>
      <c r="F1280">
        <f>0</f>
      </c>
      <c r="G1280">
        <f>257631927/10^6</f>
      </c>
      <c r="H1280">
        <f>0</f>
      </c>
      <c r="I1280">
        <f>-42302692/10^6</f>
      </c>
      <c r="J1280">
        <f>0</f>
      </c>
    </row>
    <row r="1281">
      <c r="A1281" t="s">
        <v>1290</v>
      </c>
      <c r="B1281" t="s">
        <v>11</v>
      </c>
      <c r="C1281">
        <f>116531695313/10^6</f>
      </c>
      <c r="D1281">
        <f>0</f>
      </c>
      <c r="E1281">
        <f>752265015/10^6</f>
      </c>
      <c r="F1281">
        <f>0</f>
      </c>
      <c r="G1281">
        <f>25760144/10^5</f>
      </c>
      <c r="H1281">
        <f>0</f>
      </c>
      <c r="I1281">
        <f>-42428711/10^6</f>
      </c>
      <c r="J1281">
        <f>0</f>
      </c>
    </row>
    <row r="1282">
      <c r="A1282" t="s">
        <v>1291</v>
      </c>
      <c r="B1282" t="s">
        <v>11</v>
      </c>
      <c r="C1282">
        <f>116404210938/10^6</f>
      </c>
      <c r="D1282">
        <f>0</f>
      </c>
      <c r="E1282">
        <f>753215393/10^6</f>
      </c>
      <c r="F1282">
        <f>0</f>
      </c>
      <c r="G1282">
        <f>257515717/10^6</f>
      </c>
      <c r="H1282">
        <f>0</f>
      </c>
      <c r="I1282">
        <f>-42679554/10^6</f>
      </c>
      <c r="J1282">
        <f>0</f>
      </c>
    </row>
    <row r="1283">
      <c r="A1283" t="s">
        <v>1292</v>
      </c>
      <c r="B1283" t="s">
        <v>11</v>
      </c>
      <c r="C1283">
        <f>116304710938/10^6</f>
      </c>
      <c r="D1283">
        <f>0</f>
      </c>
      <c r="E1283">
        <f>75405304/10^5</f>
      </c>
      <c r="F1283">
        <f>0</f>
      </c>
      <c r="G1283">
        <f>257466736/10^6</f>
      </c>
      <c r="H1283">
        <f>0</f>
      </c>
      <c r="I1283">
        <f>-4284676/10^5</f>
      </c>
      <c r="J1283">
        <f>0</f>
      </c>
    </row>
    <row r="1284">
      <c r="A1284" t="s">
        <v>1293</v>
      </c>
      <c r="B1284" t="s">
        <v>11</v>
      </c>
      <c r="C1284">
        <f>116255078125/10^6</f>
      </c>
      <c r="D1284">
        <f>0</f>
      </c>
      <c r="E1284">
        <f>754313354/10^6</f>
      </c>
      <c r="F1284">
        <f>0</f>
      </c>
      <c r="G1284">
        <f>257553894/10^6</f>
      </c>
      <c r="H1284">
        <f>0</f>
      </c>
      <c r="I1284">
        <f>-42897457/10^6</f>
      </c>
      <c r="J1284">
        <f>0</f>
      </c>
    </row>
    <row r="1285">
      <c r="A1285" t="s">
        <v>1294</v>
      </c>
      <c r="B1285" t="s">
        <v>11</v>
      </c>
      <c r="C1285">
        <f>116233835938/10^6</f>
      </c>
      <c r="D1285">
        <f>0</f>
      </c>
      <c r="E1285">
        <f>754283875/10^6</f>
      </c>
      <c r="F1285">
        <f>0</f>
      </c>
      <c r="G1285">
        <f>2576698/10^4</f>
      </c>
      <c r="H1285">
        <f>0</f>
      </c>
      <c r="I1285">
        <f>-42954632/10^6</f>
      </c>
      <c r="J1285">
        <f>0</f>
      </c>
    </row>
    <row r="1286">
      <c r="A1286" t="s">
        <v>1295</v>
      </c>
      <c r="B1286" t="s">
        <v>11</v>
      </c>
      <c r="C1286">
        <f>116192046875/10^6</f>
      </c>
      <c r="D1286">
        <f>0</f>
      </c>
      <c r="E1286">
        <f>754488281/10^6</f>
      </c>
      <c r="F1286">
        <f>0</f>
      </c>
      <c r="G1286">
        <f>257672241/10^6</f>
      </c>
      <c r="H1286">
        <f>0</f>
      </c>
      <c r="I1286">
        <f>-43025383/10^6</f>
      </c>
      <c r="J1286">
        <f>0</f>
      </c>
    </row>
    <row r="1287">
      <c r="A1287" t="s">
        <v>1296</v>
      </c>
      <c r="B1287" t="s">
        <v>11</v>
      </c>
      <c r="C1287">
        <f>116134203125/10^6</f>
      </c>
      <c r="D1287">
        <f>0</f>
      </c>
      <c r="E1287">
        <f>754937622/10^6</f>
      </c>
      <c r="F1287">
        <f>0</f>
      </c>
      <c r="G1287">
        <f>257598145/10^6</f>
      </c>
      <c r="H1287">
        <f>0</f>
      </c>
      <c r="I1287">
        <f>-43110737/10^6</f>
      </c>
      <c r="J1287">
        <f>0</f>
      </c>
    </row>
    <row r="1288">
      <c r="A1288" t="s">
        <v>1297</v>
      </c>
      <c r="B1288" t="s">
        <v>11</v>
      </c>
      <c r="C1288">
        <f>116096015625/10^6</f>
      </c>
      <c r="D1288">
        <f>0</f>
      </c>
      <c r="E1288">
        <f>755326599/10^6</f>
      </c>
      <c r="F1288">
        <f>0</f>
      </c>
      <c r="G1288">
        <f>257572052/10^6</f>
      </c>
      <c r="H1288">
        <f>0</f>
      </c>
      <c r="I1288">
        <f>-43189888/10^6</f>
      </c>
      <c r="J1288">
        <f>0</f>
      </c>
    </row>
    <row r="1289">
      <c r="A1289" t="s">
        <v>1298</v>
      </c>
      <c r="B1289" t="s">
        <v>11</v>
      </c>
      <c r="C1289">
        <f>116098/10^0</f>
      </c>
      <c r="D1289">
        <f>0</f>
      </c>
      <c r="E1289">
        <f>755486267/10^6</f>
      </c>
      <c r="F1289">
        <f>0</f>
      </c>
      <c r="G1289">
        <f>257615051/10^6</f>
      </c>
      <c r="H1289">
        <f>0</f>
      </c>
      <c r="I1289">
        <f>-4324408/10^5</f>
      </c>
      <c r="J1289">
        <f>0</f>
      </c>
    </row>
    <row r="1290">
      <c r="A1290" t="s">
        <v>1299</v>
      </c>
      <c r="B1290" t="s">
        <v>11</v>
      </c>
      <c r="C1290">
        <f>116121882813/10^6</f>
      </c>
      <c r="D1290">
        <f>0</f>
      </c>
      <c r="E1290">
        <f>755649292/10^6</f>
      </c>
      <c r="F1290">
        <f>0</f>
      </c>
      <c r="G1290">
        <f>257645752/10^6</f>
      </c>
      <c r="H1290">
        <f>0</f>
      </c>
      <c r="I1290">
        <f>-43263268/10^6</f>
      </c>
      <c r="J1290">
        <f>0</f>
      </c>
    </row>
    <row r="1291">
      <c r="A1291" t="s">
        <v>1300</v>
      </c>
      <c r="B1291" t="s">
        <v>11</v>
      </c>
      <c r="C1291">
        <f>116142679688/10^6</f>
      </c>
      <c r="D1291">
        <f>0</f>
      </c>
      <c r="E1291">
        <f>755889221/10^6</f>
      </c>
      <c r="F1291">
        <f>0</f>
      </c>
      <c r="G1291">
        <f>257690796/10^6</f>
      </c>
      <c r="H1291">
        <f>0</f>
      </c>
      <c r="I1291">
        <f>-43401165/10^6</f>
      </c>
      <c r="J1291">
        <f>0</f>
      </c>
    </row>
    <row r="1292">
      <c r="A1292" t="s">
        <v>1301</v>
      </c>
      <c r="B1292" t="s">
        <v>11</v>
      </c>
      <c r="C1292">
        <f>116167570313/10^6</f>
      </c>
      <c r="D1292">
        <f>0</f>
      </c>
      <c r="E1292">
        <f>755950256/10^6</f>
      </c>
      <c r="F1292">
        <f>0</f>
      </c>
      <c r="G1292">
        <f>257815674/10^6</f>
      </c>
      <c r="H1292">
        <f>0</f>
      </c>
      <c r="I1292">
        <f>-43770096/10^6</f>
      </c>
      <c r="J1292">
        <f>0</f>
      </c>
    </row>
    <row r="1293">
      <c r="A1293" t="s">
        <v>1302</v>
      </c>
      <c r="B1293" t="s">
        <v>11</v>
      </c>
      <c r="C1293">
        <f>116154257813/10^6</f>
      </c>
      <c r="D1293">
        <f>0</f>
      </c>
      <c r="E1293">
        <f>756110046/10^6</f>
      </c>
      <c r="F1293">
        <f>0</f>
      </c>
      <c r="G1293">
        <f>25789917/10^5</f>
      </c>
      <c r="H1293">
        <f>0</f>
      </c>
      <c r="I1293">
        <f>-43976349/10^6</f>
      </c>
      <c r="J1293">
        <f>0</f>
      </c>
    </row>
    <row r="1294">
      <c r="A1294" t="s">
        <v>1303</v>
      </c>
      <c r="B1294" t="s">
        <v>11</v>
      </c>
      <c r="C1294">
        <f>116153328125/10^6</f>
      </c>
      <c r="D1294">
        <f>0</f>
      </c>
      <c r="E1294">
        <f>756333618/10^6</f>
      </c>
      <c r="F1294">
        <f>0</f>
      </c>
      <c r="G1294">
        <f>25782251/10^5</f>
      </c>
      <c r="H1294">
        <f>0</f>
      </c>
      <c r="I1294">
        <f>-43878269/10^6</f>
      </c>
      <c r="J1294">
        <f>0</f>
      </c>
    </row>
    <row r="1295">
      <c r="A1295" t="s">
        <v>1304</v>
      </c>
      <c r="B1295" t="s">
        <v>11</v>
      </c>
      <c r="C1295">
        <f>116352179688/10^6</f>
      </c>
      <c r="D1295">
        <f>0</f>
      </c>
      <c r="E1295">
        <f>755359741/10^6</f>
      </c>
      <c r="F1295">
        <f>0</f>
      </c>
      <c r="G1295">
        <f>257708069/10^6</f>
      </c>
      <c r="H1295">
        <f>0</f>
      </c>
      <c r="I1295">
        <f>-4382975/10^5</f>
      </c>
      <c r="J1295">
        <f>0</f>
      </c>
    </row>
    <row r="1296">
      <c r="A1296" t="s">
        <v>1305</v>
      </c>
      <c r="B1296" t="s">
        <v>11</v>
      </c>
      <c r="C1296">
        <f>11661578125/10^5</f>
      </c>
      <c r="D1296">
        <f>0</f>
      </c>
      <c r="E1296">
        <f>753479919/10^6</f>
      </c>
      <c r="F1296">
        <f>0</f>
      </c>
      <c r="G1296">
        <f>257771942/10^6</f>
      </c>
      <c r="H1296">
        <f>0</f>
      </c>
      <c r="I1296">
        <f>-43659496/10^6</f>
      </c>
      <c r="J1296">
        <f>0</f>
      </c>
    </row>
    <row r="1297">
      <c r="A1297" t="s">
        <v>1306</v>
      </c>
      <c r="B1297" t="s">
        <v>11</v>
      </c>
      <c r="C1297">
        <f>116710679688/10^6</f>
      </c>
      <c r="D1297">
        <f>0</f>
      </c>
      <c r="E1297">
        <f>752762756/10^6</f>
      </c>
      <c r="F1297">
        <f>0</f>
      </c>
      <c r="G1297">
        <f>257936066/10^6</f>
      </c>
      <c r="H1297">
        <f>0</f>
      </c>
      <c r="I1297">
        <f>-43168327/10^6</f>
      </c>
      <c r="J1297">
        <f>0</f>
      </c>
    </row>
    <row r="1298">
      <c r="A1298" t="s">
        <v>1307</v>
      </c>
      <c r="B1298" t="s">
        <v>11</v>
      </c>
      <c r="C1298">
        <f>11680925/10^2</f>
      </c>
      <c r="D1298">
        <f>0</f>
      </c>
      <c r="E1298">
        <f>752901245/10^6</f>
      </c>
      <c r="F1298">
        <f>0</f>
      </c>
      <c r="G1298">
        <f>258043854/10^6</f>
      </c>
      <c r="H1298">
        <f>0</f>
      </c>
      <c r="I1298">
        <f>-42851055/10^6</f>
      </c>
      <c r="J1298">
        <f>0</f>
      </c>
    </row>
    <row r="1299">
      <c r="A1299" t="s">
        <v>1308</v>
      </c>
      <c r="B1299" t="s">
        <v>11</v>
      </c>
      <c r="C1299">
        <f>117024609375/10^6</f>
      </c>
      <c r="D1299">
        <f>0</f>
      </c>
      <c r="E1299">
        <f>752160278/10^6</f>
      </c>
      <c r="F1299">
        <f>0</f>
      </c>
      <c r="G1299">
        <f>258279785/10^6</f>
      </c>
      <c r="H1299">
        <f>0</f>
      </c>
      <c r="I1299">
        <f>-4290567/10^5</f>
      </c>
      <c r="J1299">
        <f>0</f>
      </c>
    </row>
    <row r="1300">
      <c r="A1300" t="s">
        <v>1309</v>
      </c>
      <c r="B1300" t="s">
        <v>11</v>
      </c>
      <c r="C1300">
        <f>117202414063/10^6</f>
      </c>
      <c r="D1300">
        <f>0</f>
      </c>
      <c r="E1300">
        <f>750998108/10^6</f>
      </c>
      <c r="F1300">
        <f>0</f>
      </c>
      <c r="G1300">
        <f>258593506/10^6</f>
      </c>
      <c r="H1300">
        <f>0</f>
      </c>
      <c r="I1300">
        <f>-42990623/10^6</f>
      </c>
      <c r="J1300">
        <f>0</f>
      </c>
    </row>
    <row r="1301">
      <c r="A1301" t="s">
        <v>1310</v>
      </c>
      <c r="B1301" t="s">
        <v>11</v>
      </c>
      <c r="C1301">
        <f>117298257813/10^6</f>
      </c>
      <c r="D1301">
        <f>0</f>
      </c>
      <c r="E1301">
        <f>750388489/10^6</f>
      </c>
      <c r="F1301">
        <f>0</f>
      </c>
      <c r="G1301">
        <f>258679932/10^6</f>
      </c>
      <c r="H1301">
        <f>0</f>
      </c>
      <c r="I1301">
        <f>-42875244/10^6</f>
      </c>
      <c r="J1301">
        <f>0</f>
      </c>
    </row>
    <row r="1302">
      <c r="A1302" t="s">
        <v>1311</v>
      </c>
      <c r="B1302" t="s">
        <v>11</v>
      </c>
      <c r="C1302">
        <f>117401664063/10^6</f>
      </c>
      <c r="D1302">
        <f>0</f>
      </c>
      <c r="E1302">
        <f>74999469/10^5</f>
      </c>
      <c r="F1302">
        <f>0</f>
      </c>
      <c r="G1302">
        <f>258595795/10^6</f>
      </c>
      <c r="H1302">
        <f>0</f>
      </c>
      <c r="I1302">
        <f>-42652191/10^6</f>
      </c>
      <c r="J1302">
        <f>0</f>
      </c>
    </row>
    <row r="1303">
      <c r="A1303" t="s">
        <v>1312</v>
      </c>
      <c r="B1303" t="s">
        <v>11</v>
      </c>
      <c r="C1303">
        <f>117581507813/10^6</f>
      </c>
      <c r="D1303">
        <f>0</f>
      </c>
      <c r="E1303">
        <f>749433044/10^6</f>
      </c>
      <c r="F1303">
        <f>0</f>
      </c>
      <c r="G1303">
        <f>258602295/10^6</f>
      </c>
      <c r="H1303">
        <f>0</f>
      </c>
      <c r="I1303">
        <f>-42490475/10^6</f>
      </c>
      <c r="J1303">
        <f>0</f>
      </c>
    </row>
    <row r="1304">
      <c r="A1304" t="s">
        <v>1313</v>
      </c>
      <c r="B1304" t="s">
        <v>11</v>
      </c>
      <c r="C1304">
        <f>117798085938/10^6</f>
      </c>
      <c r="D1304">
        <f>0</f>
      </c>
      <c r="E1304">
        <f>748541321/10^6</f>
      </c>
      <c r="F1304">
        <f>0</f>
      </c>
      <c r="G1304">
        <f>258841522/10^6</f>
      </c>
      <c r="H1304">
        <f>0</f>
      </c>
      <c r="I1304">
        <f>-42288372/10^6</f>
      </c>
      <c r="J1304">
        <f>0</f>
      </c>
    </row>
    <row r="1305">
      <c r="A1305" t="s">
        <v>1314</v>
      </c>
      <c r="B1305" t="s">
        <v>11</v>
      </c>
      <c r="C1305">
        <f>117986554688/10^6</f>
      </c>
      <c r="D1305">
        <f>0</f>
      </c>
      <c r="E1305">
        <f>747311829/10^6</f>
      </c>
      <c r="F1305">
        <f>0</f>
      </c>
      <c r="G1305">
        <f>259113495/10^6</f>
      </c>
      <c r="H1305">
        <f>0</f>
      </c>
      <c r="I1305">
        <f>-42062992/10^6</f>
      </c>
      <c r="J1305">
        <f>0</f>
      </c>
    </row>
    <row r="1306">
      <c r="A1306" t="s">
        <v>1315</v>
      </c>
      <c r="B1306" t="s">
        <v>11</v>
      </c>
      <c r="C1306">
        <f>11818703125/10^5</f>
      </c>
      <c r="D1306">
        <f>0</f>
      </c>
      <c r="E1306">
        <f>746218323/10^6</f>
      </c>
      <c r="F1306">
        <f>0</f>
      </c>
      <c r="G1306">
        <f>259246094/10^6</f>
      </c>
      <c r="H1306">
        <f>0</f>
      </c>
      <c r="I1306">
        <f>-41849567/10^6</f>
      </c>
      <c r="J1306">
        <f>0</f>
      </c>
    </row>
    <row r="1307">
      <c r="A1307" t="s">
        <v>1316</v>
      </c>
      <c r="B1307" t="s">
        <v>11</v>
      </c>
      <c r="C1307">
        <f>11845125/10^2</f>
      </c>
      <c r="D1307">
        <f>0</f>
      </c>
      <c r="E1307">
        <f>745087891/10^6</f>
      </c>
      <c r="F1307">
        <f>0</f>
      </c>
      <c r="G1307">
        <f>259334961/10^6</f>
      </c>
      <c r="H1307">
        <f>0</f>
      </c>
      <c r="I1307">
        <f>-41589745/10^6</f>
      </c>
      <c r="J1307">
        <f>0</f>
      </c>
    </row>
    <row r="1308">
      <c r="A1308" t="s">
        <v>1317</v>
      </c>
      <c r="B1308" t="s">
        <v>11</v>
      </c>
      <c r="C1308">
        <f>118785804688/10^6</f>
      </c>
      <c r="D1308">
        <f>0</f>
      </c>
      <c r="E1308">
        <f>743319763/10^6</f>
      </c>
      <c r="F1308">
        <f>0</f>
      </c>
      <c r="G1308">
        <f>259450531/10^6</f>
      </c>
      <c r="H1308">
        <f>0</f>
      </c>
      <c r="I1308">
        <f>-41345715/10^6</f>
      </c>
      <c r="J1308">
        <f>0</f>
      </c>
    </row>
    <row r="1309">
      <c r="A1309" t="s">
        <v>1318</v>
      </c>
      <c r="B1309" t="s">
        <v>11</v>
      </c>
      <c r="C1309">
        <f>119170039063/10^6</f>
      </c>
      <c r="D1309">
        <f>0</f>
      </c>
      <c r="E1309">
        <f>741320801/10^6</f>
      </c>
      <c r="F1309">
        <f>0</f>
      </c>
      <c r="G1309">
        <f>259710297/10^6</f>
      </c>
      <c r="H1309">
        <f>0</f>
      </c>
      <c r="I1309">
        <f>-40973061/10^6</f>
      </c>
      <c r="J1309">
        <f>0</f>
      </c>
    </row>
    <row r="1310">
      <c r="A1310" t="s">
        <v>1319</v>
      </c>
      <c r="B1310" t="s">
        <v>11</v>
      </c>
      <c r="C1310">
        <f>119553109375/10^6</f>
      </c>
      <c r="D1310">
        <f>0</f>
      </c>
      <c r="E1310">
        <f>739456848/10^6</f>
      </c>
      <c r="F1310">
        <f>0</f>
      </c>
      <c r="G1310">
        <f>259999939/10^6</f>
      </c>
      <c r="H1310">
        <f>0</f>
      </c>
      <c r="I1310">
        <f>-40586369/10^6</f>
      </c>
      <c r="J1310">
        <f>0</f>
      </c>
    </row>
    <row r="1311">
      <c r="A1311" t="s">
        <v>1320</v>
      </c>
      <c r="B1311" t="s">
        <v>11</v>
      </c>
      <c r="C1311">
        <f>119938570313/10^6</f>
      </c>
      <c r="D1311">
        <f>0</f>
      </c>
      <c r="E1311">
        <f>737461365/10^6</f>
      </c>
      <c r="F1311">
        <f>0</f>
      </c>
      <c r="G1311">
        <f>260180573/10^6</f>
      </c>
      <c r="H1311">
        <f>0</f>
      </c>
      <c r="I1311">
        <f>-40199146/10^6</f>
      </c>
      <c r="J1311">
        <f>0</f>
      </c>
    </row>
    <row r="1312">
      <c r="A1312" t="s">
        <v>1321</v>
      </c>
      <c r="B1312" t="s">
        <v>11</v>
      </c>
      <c r="C1312">
        <f>12035321875/10^5</f>
      </c>
      <c r="D1312">
        <f>0</f>
      </c>
      <c r="E1312">
        <f>735435913/10^6</f>
      </c>
      <c r="F1312">
        <f>0</f>
      </c>
      <c r="G1312">
        <f>260381317/10^6</f>
      </c>
      <c r="H1312">
        <f>0</f>
      </c>
      <c r="I1312">
        <f>-39621838/10^6</f>
      </c>
      <c r="J1312">
        <f>0</f>
      </c>
    </row>
    <row r="1313">
      <c r="A1313" t="s">
        <v>1322</v>
      </c>
      <c r="B1313" t="s">
        <v>11</v>
      </c>
      <c r="C1313">
        <f>120751257813/10^6</f>
      </c>
      <c r="D1313">
        <f>0</f>
      </c>
      <c r="E1313">
        <f>733543823/10^6</f>
      </c>
      <c r="F1313">
        <f>0</f>
      </c>
      <c r="G1313">
        <f>260554993/10^6</f>
      </c>
      <c r="H1313">
        <f>0</f>
      </c>
      <c r="I1313">
        <f>-39166409/10^6</f>
      </c>
      <c r="J1313">
        <f>0</f>
      </c>
    </row>
    <row r="1314">
      <c r="A1314" t="s">
        <v>1323</v>
      </c>
      <c r="B1314" t="s">
        <v>11</v>
      </c>
      <c r="C1314">
        <f>121109257813/10^6</f>
      </c>
      <c r="D1314">
        <f>0</f>
      </c>
      <c r="E1314">
        <f>731656555/10^6</f>
      </c>
      <c r="F1314">
        <f>0</f>
      </c>
      <c r="G1314">
        <f>260739838/10^6</f>
      </c>
      <c r="H1314">
        <f>0</f>
      </c>
      <c r="I1314">
        <f>-38725471/10^6</f>
      </c>
      <c r="J1314">
        <f>0</f>
      </c>
    </row>
    <row r="1315">
      <c r="A1315" t="s">
        <v>1324</v>
      </c>
      <c r="B1315" t="s">
        <v>11</v>
      </c>
      <c r="C1315">
        <f>12145709375/10^5</f>
      </c>
      <c r="D1315">
        <f>0</f>
      </c>
      <c r="E1315">
        <f>729720337/10^6</f>
      </c>
      <c r="F1315">
        <f>0</f>
      </c>
      <c r="G1315">
        <f>260960175/10^6</f>
      </c>
      <c r="H1315">
        <f>0</f>
      </c>
      <c r="I1315">
        <f>-38220818/10^6</f>
      </c>
      <c r="J1315">
        <f>0</f>
      </c>
    </row>
    <row r="1316">
      <c r="A1316" t="s">
        <v>1325</v>
      </c>
      <c r="B1316" t="s">
        <v>11</v>
      </c>
      <c r="C1316">
        <f>121780304688/10^6</f>
      </c>
      <c r="D1316">
        <f>0</f>
      </c>
      <c r="E1316">
        <f>727734253/10^6</f>
      </c>
      <c r="F1316">
        <f>0</f>
      </c>
      <c r="G1316">
        <f>261038147/10^6</f>
      </c>
      <c r="H1316">
        <f>0</f>
      </c>
      <c r="I1316">
        <f>-37896564/10^6</f>
      </c>
      <c r="J1316">
        <f>0</f>
      </c>
    </row>
    <row r="1317">
      <c r="A1317" t="s">
        <v>1326</v>
      </c>
      <c r="B1317" t="s">
        <v>11</v>
      </c>
      <c r="C1317">
        <f>1220401875/10^4</f>
      </c>
      <c r="D1317">
        <f>0</f>
      </c>
      <c r="E1317">
        <f>725845398/10^6</f>
      </c>
      <c r="F1317">
        <f>0</f>
      </c>
      <c r="G1317">
        <f>261068939/10^6</f>
      </c>
      <c r="H1317">
        <f>0</f>
      </c>
      <c r="I1317">
        <f>-37554192/10^6</f>
      </c>
      <c r="J1317">
        <f>0</f>
      </c>
    </row>
    <row r="1318">
      <c r="A1318" t="s">
        <v>1327</v>
      </c>
      <c r="B1318" t="s">
        <v>11</v>
      </c>
      <c r="C1318">
        <f>1222364375/10^4</f>
      </c>
      <c r="D1318">
        <f>0</f>
      </c>
      <c r="E1318">
        <f>724405823/10^6</f>
      </c>
      <c r="F1318">
        <f>0</f>
      </c>
      <c r="G1318">
        <f>261104553/10^6</f>
      </c>
      <c r="H1318">
        <f>0</f>
      </c>
      <c r="I1318">
        <f>-37264252/10^6</f>
      </c>
      <c r="J1318">
        <f>0</f>
      </c>
    </row>
    <row r="1319">
      <c r="A1319" t="s">
        <v>1328</v>
      </c>
      <c r="B1319" t="s">
        <v>11</v>
      </c>
      <c r="C1319">
        <f>12238096875/10^5</f>
      </c>
      <c r="D1319">
        <f>0</f>
      </c>
      <c r="E1319">
        <f>723380493/10^6</f>
      </c>
      <c r="F1319">
        <f>0</f>
      </c>
      <c r="G1319">
        <f>261027435/10^6</f>
      </c>
      <c r="H1319">
        <f>0</f>
      </c>
      <c r="I1319">
        <f>-37074463/10^6</f>
      </c>
      <c r="J1319">
        <f>0</f>
      </c>
    </row>
    <row r="1320">
      <c r="A1320" t="s">
        <v>1329</v>
      </c>
      <c r="B1320" t="s">
        <v>11</v>
      </c>
      <c r="C1320">
        <f>122482007813/10^6</f>
      </c>
      <c r="D1320">
        <f>0</f>
      </c>
      <c r="E1320">
        <f>722458923/10^6</f>
      </c>
      <c r="F1320">
        <f>0</f>
      </c>
      <c r="G1320">
        <f>260932861/10^6</f>
      </c>
      <c r="H1320">
        <f>0</f>
      </c>
      <c r="I1320">
        <f>-36856056/10^6</f>
      </c>
      <c r="J1320">
        <f>0</f>
      </c>
    </row>
    <row r="1321">
      <c r="A1321" t="s">
        <v>1330</v>
      </c>
      <c r="B1321" t="s">
        <v>11</v>
      </c>
      <c r="C1321">
        <f>1225610625/10^4</f>
      </c>
      <c r="D1321">
        <f>0</f>
      </c>
      <c r="E1321">
        <f>721634888/10^6</f>
      </c>
      <c r="F1321">
        <f>0</f>
      </c>
      <c r="G1321">
        <f>260883667/10^6</f>
      </c>
      <c r="H1321">
        <f>0</f>
      </c>
      <c r="I1321">
        <f>-36750687/10^6</f>
      </c>
      <c r="J1321">
        <f>0</f>
      </c>
    </row>
    <row r="1322">
      <c r="A1322" t="s">
        <v>1331</v>
      </c>
      <c r="B1322" t="s">
        <v>11</v>
      </c>
      <c r="C1322">
        <f>12262896875/10^5</f>
      </c>
      <c r="D1322">
        <f>0</f>
      </c>
      <c r="E1322">
        <f>721141174/10^6</f>
      </c>
      <c r="F1322">
        <f>0</f>
      </c>
      <c r="G1322">
        <f>260811157/10^6</f>
      </c>
      <c r="H1322">
        <f>0</f>
      </c>
      <c r="I1322">
        <f>-36703152/10^6</f>
      </c>
      <c r="J1322">
        <f>0</f>
      </c>
    </row>
    <row r="1323">
      <c r="A1323" t="s">
        <v>1332</v>
      </c>
      <c r="B1323" t="s">
        <v>11</v>
      </c>
      <c r="C1323">
        <f>122676960938/10^6</f>
      </c>
      <c r="D1323">
        <f>0</f>
      </c>
      <c r="E1323">
        <f>720988586/10^6</f>
      </c>
      <c r="F1323">
        <f>0</f>
      </c>
      <c r="G1323">
        <f>260747131/10^6</f>
      </c>
      <c r="H1323">
        <f>0</f>
      </c>
      <c r="I1323">
        <f>-36645142/10^6</f>
      </c>
      <c r="J1323">
        <f>0</f>
      </c>
    </row>
    <row r="1324">
      <c r="A1324" t="s">
        <v>1333</v>
      </c>
      <c r="B1324" t="s">
        <v>11</v>
      </c>
      <c r="C1324">
        <f>122698671875/10^6</f>
      </c>
      <c r="D1324">
        <f>0</f>
      </c>
      <c r="E1324">
        <f>720771118/10^6</f>
      </c>
      <c r="F1324">
        <f>0</f>
      </c>
      <c r="G1324">
        <f>260743835/10^6</f>
      </c>
      <c r="H1324">
        <f>0</f>
      </c>
      <c r="I1324">
        <f>-3663353/10^5</f>
      </c>
      <c r="J1324">
        <f>0</f>
      </c>
    </row>
    <row r="1325">
      <c r="A1325" t="s">
        <v>1334</v>
      </c>
      <c r="B1325" t="s">
        <v>11</v>
      </c>
      <c r="C1325">
        <f>122687609375/10^6</f>
      </c>
      <c r="D1325">
        <f>0</f>
      </c>
      <c r="E1325">
        <f>720460754/10^6</f>
      </c>
      <c r="F1325">
        <f>0</f>
      </c>
      <c r="G1325">
        <f>260764069/10^6</f>
      </c>
      <c r="H1325">
        <f>0</f>
      </c>
      <c r="I1325">
        <f>-36637348/10^6</f>
      </c>
      <c r="J1325">
        <f>0</f>
      </c>
    </row>
    <row r="1326">
      <c r="A1326" t="s">
        <v>1335</v>
      </c>
      <c r="B1326" t="s">
        <v>11</v>
      </c>
      <c r="C1326">
        <f>122627382813/10^6</f>
      </c>
      <c r="D1326">
        <f>0</f>
      </c>
      <c r="E1326">
        <f>720469299/10^6</f>
      </c>
      <c r="F1326">
        <f>0</f>
      </c>
      <c r="G1326">
        <f>260674408/10^6</f>
      </c>
      <c r="H1326">
        <f>0</f>
      </c>
      <c r="I1326">
        <f>-3663842/10^5</f>
      </c>
      <c r="J1326">
        <f>0</f>
      </c>
    </row>
    <row r="1327">
      <c r="A1327" t="s">
        <v>1336</v>
      </c>
      <c r="B1327" t="s">
        <v>11</v>
      </c>
      <c r="C1327">
        <f>1224883125/10^4</f>
      </c>
      <c r="D1327">
        <f>0</f>
      </c>
      <c r="E1327">
        <f>720745728/10^6</f>
      </c>
      <c r="F1327">
        <f>0</f>
      </c>
      <c r="G1327">
        <f>260496857/10^6</f>
      </c>
      <c r="H1327">
        <f>0</f>
      </c>
      <c r="I1327">
        <f>-3656142/10^5</f>
      </c>
      <c r="J1327">
        <f>0</f>
      </c>
    </row>
    <row r="1328">
      <c r="A1328" t="s">
        <v>1337</v>
      </c>
      <c r="B1328" t="s">
        <v>11</v>
      </c>
      <c r="C1328">
        <f>122274023438/10^6</f>
      </c>
      <c r="D1328">
        <f>0</f>
      </c>
      <c r="E1328">
        <f>721359558/10^6</f>
      </c>
      <c r="F1328">
        <f>0</f>
      </c>
      <c r="G1328">
        <f>260366974/10^6</f>
      </c>
      <c r="H1328">
        <f>0</f>
      </c>
      <c r="I1328">
        <f>-36556961/10^6</f>
      </c>
      <c r="J1328">
        <f>0</f>
      </c>
    </row>
    <row r="1329">
      <c r="A1329" t="s">
        <v>1338</v>
      </c>
      <c r="B1329" t="s">
        <v>11</v>
      </c>
      <c r="C1329">
        <f>122036414063/10^6</f>
      </c>
      <c r="D1329">
        <f>0</f>
      </c>
      <c r="E1329">
        <f>722637268/10^6</f>
      </c>
      <c r="F1329">
        <f>0</f>
      </c>
      <c r="G1329">
        <f>260155823/10^6</f>
      </c>
      <c r="H1329">
        <f>0</f>
      </c>
      <c r="I1329">
        <f>-36871838/10^6</f>
      </c>
      <c r="J1329">
        <f>0</f>
      </c>
    </row>
    <row r="1330">
      <c r="A1330" t="s">
        <v>1339</v>
      </c>
      <c r="B1330" t="s">
        <v>11</v>
      </c>
      <c r="C1330">
        <f>121801171875/10^6</f>
      </c>
      <c r="D1330">
        <f>0</f>
      </c>
      <c r="E1330">
        <f>724048157/10^6</f>
      </c>
      <c r="F1330">
        <f>0</f>
      </c>
      <c r="G1330">
        <f>259897278/10^6</f>
      </c>
      <c r="H1330">
        <f>0</f>
      </c>
      <c r="I1330">
        <f>-37207672/10^6</f>
      </c>
      <c r="J1330">
        <f>0</f>
      </c>
    </row>
    <row r="1331">
      <c r="A1331" t="s">
        <v>1340</v>
      </c>
      <c r="B1331" t="s">
        <v>11</v>
      </c>
      <c r="C1331">
        <f>12155075/10^2</f>
      </c>
      <c r="D1331">
        <f>0</f>
      </c>
      <c r="E1331">
        <f>725193787/10^6</f>
      </c>
      <c r="F1331">
        <f>0</f>
      </c>
      <c r="G1331">
        <f>259777618/10^6</f>
      </c>
      <c r="H1331">
        <f>0</f>
      </c>
      <c r="I1331">
        <f>-37484207/10^6</f>
      </c>
      <c r="J1331">
        <f>0</f>
      </c>
    </row>
    <row r="1332">
      <c r="A1332" t="s">
        <v>1341</v>
      </c>
      <c r="B1332" t="s">
        <v>11</v>
      </c>
      <c r="C1332">
        <f>121275023438/10^6</f>
      </c>
      <c r="D1332">
        <f>0</f>
      </c>
      <c r="E1332">
        <f>72652948/10^5</f>
      </c>
      <c r="F1332">
        <f>0</f>
      </c>
      <c r="G1332">
        <f>25970285/10^5</f>
      </c>
      <c r="H1332">
        <f>0</f>
      </c>
      <c r="I1332">
        <f>-37903706/10^6</f>
      </c>
      <c r="J1332">
        <f>0</f>
      </c>
    </row>
    <row r="1333">
      <c r="A1333" t="s">
        <v>1342</v>
      </c>
      <c r="B1333" t="s">
        <v>11</v>
      </c>
      <c r="C1333">
        <f>121004648438/10^6</f>
      </c>
      <c r="D1333">
        <f>0</f>
      </c>
      <c r="E1333">
        <f>728019409/10^6</f>
      </c>
      <c r="F1333">
        <f>0</f>
      </c>
      <c r="G1333">
        <f>259615753/10^6</f>
      </c>
      <c r="H1333">
        <f>0</f>
      </c>
      <c r="I1333">
        <f>-38232758/10^6</f>
      </c>
      <c r="J1333">
        <f>0</f>
      </c>
    </row>
    <row r="1334">
      <c r="A1334" t="s">
        <v>1343</v>
      </c>
      <c r="B1334" t="s">
        <v>11</v>
      </c>
      <c r="C1334">
        <f>120764445313/10^6</f>
      </c>
      <c r="D1334">
        <f>0</f>
      </c>
      <c r="E1334">
        <f>729435425/10^6</f>
      </c>
      <c r="F1334">
        <f>0</f>
      </c>
      <c r="G1334">
        <f>259505096/10^6</f>
      </c>
      <c r="H1334">
        <f>0</f>
      </c>
      <c r="I1334">
        <f>-38554359/10^6</f>
      </c>
      <c r="J1334">
        <f>0</f>
      </c>
    </row>
    <row r="1335">
      <c r="A1335" t="s">
        <v>1344</v>
      </c>
      <c r="B1335" t="s">
        <v>11</v>
      </c>
      <c r="C1335">
        <f>1205301875/10^4</f>
      </c>
      <c r="D1335">
        <f>0</f>
      </c>
      <c r="E1335">
        <f>730903015/10^6</f>
      </c>
      <c r="F1335">
        <f>0</f>
      </c>
      <c r="G1335">
        <f>259382629/10^6</f>
      </c>
      <c r="H1335">
        <f>0</f>
      </c>
      <c r="I1335">
        <f>-38947628/10^6</f>
      </c>
      <c r="J1335">
        <f>0</f>
      </c>
    </row>
    <row r="1336">
      <c r="A1336" t="s">
        <v>1345</v>
      </c>
      <c r="B1336" t="s">
        <v>11</v>
      </c>
      <c r="C1336">
        <f>12030521875/10^5</f>
      </c>
      <c r="D1336">
        <f>0</f>
      </c>
      <c r="E1336">
        <f>732226501/10^6</f>
      </c>
      <c r="F1336">
        <f>0</f>
      </c>
      <c r="G1336">
        <f>259318665/10^6</f>
      </c>
      <c r="H1336">
        <f>0</f>
      </c>
      <c r="I1336">
        <f>-39141174/10^6</f>
      </c>
      <c r="J1336">
        <f>0</f>
      </c>
    </row>
    <row r="1337">
      <c r="A1337" t="s">
        <v>1346</v>
      </c>
      <c r="B1337" t="s">
        <v>11</v>
      </c>
      <c r="C1337">
        <f>120108046875/10^6</f>
      </c>
      <c r="D1337">
        <f>0</f>
      </c>
      <c r="E1337">
        <f>733277161/10^6</f>
      </c>
      <c r="F1337">
        <f>0</f>
      </c>
      <c r="G1337">
        <f>25926416/10^5</f>
      </c>
      <c r="H1337">
        <f>0</f>
      </c>
      <c r="I1337">
        <f>-39189301/10^6</f>
      </c>
      <c r="J1337">
        <f>0</f>
      </c>
    </row>
    <row r="1338">
      <c r="A1338" t="s">
        <v>1347</v>
      </c>
      <c r="B1338" t="s">
        <v>11</v>
      </c>
      <c r="C1338">
        <f>119910609375/10^6</f>
      </c>
      <c r="D1338">
        <f>0</f>
      </c>
      <c r="E1338">
        <f>734372253/10^6</f>
      </c>
      <c r="F1338">
        <f>0</f>
      </c>
      <c r="G1338">
        <f>259212219/10^6</f>
      </c>
      <c r="H1338">
        <f>0</f>
      </c>
      <c r="I1338">
        <f>-39306385/10^6</f>
      </c>
      <c r="J1338">
        <f>0</f>
      </c>
    </row>
    <row r="1339">
      <c r="A1339" t="s">
        <v>1348</v>
      </c>
      <c r="B1339" t="s">
        <v>11</v>
      </c>
      <c r="C1339">
        <f>119700976563/10^6</f>
      </c>
      <c r="D1339">
        <f>0</f>
      </c>
      <c r="E1339">
        <f>735562195/10^6</f>
      </c>
      <c r="F1339">
        <f>0</f>
      </c>
      <c r="G1339">
        <f>259186005/10^6</f>
      </c>
      <c r="H1339">
        <f>0</f>
      </c>
      <c r="I1339">
        <f>-39682674/10^6</f>
      </c>
      <c r="J1339">
        <f>0</f>
      </c>
    </row>
    <row r="1340">
      <c r="A1340" t="s">
        <v>1349</v>
      </c>
      <c r="B1340" t="s">
        <v>11</v>
      </c>
      <c r="C1340">
        <f>119495445313/10^6</f>
      </c>
      <c r="D1340">
        <f>0</f>
      </c>
      <c r="E1340">
        <f>73665094/10^5</f>
      </c>
      <c r="F1340">
        <f>0</f>
      </c>
      <c r="G1340">
        <f>259161591/10^6</f>
      </c>
      <c r="H1340">
        <f>0</f>
      </c>
      <c r="I1340">
        <f>-40103508/10^6</f>
      </c>
      <c r="J1340">
        <f>0</f>
      </c>
    </row>
    <row r="1341">
      <c r="A1341" t="s">
        <v>1350</v>
      </c>
      <c r="B1341" t="s">
        <v>11</v>
      </c>
      <c r="C1341">
        <f>119303742188/10^6</f>
      </c>
      <c r="D1341">
        <f>0</f>
      </c>
      <c r="E1341">
        <f>737833923/10^6</f>
      </c>
      <c r="F1341">
        <f>0</f>
      </c>
      <c r="G1341">
        <f>259135315/10^6</f>
      </c>
      <c r="H1341">
        <f>0</f>
      </c>
      <c r="I1341">
        <f>-40342422/10^6</f>
      </c>
      <c r="J1341">
        <f>0</f>
      </c>
    </row>
    <row r="1342">
      <c r="A1342" t="s">
        <v>1351</v>
      </c>
      <c r="B1342" t="s">
        <v>11</v>
      </c>
      <c r="C1342">
        <f>119128890625/10^6</f>
      </c>
      <c r="D1342">
        <f>0</f>
      </c>
      <c r="E1342">
        <f>739220032/10^6</f>
      </c>
      <c r="F1342">
        <f>0</f>
      </c>
      <c r="G1342">
        <f>259100861/10^6</f>
      </c>
      <c r="H1342">
        <f>0</f>
      </c>
      <c r="I1342">
        <f>-40593273/10^6</f>
      </c>
      <c r="J1342">
        <f>0</f>
      </c>
    </row>
    <row r="1343">
      <c r="A1343" t="s">
        <v>1352</v>
      </c>
      <c r="B1343" t="s">
        <v>11</v>
      </c>
      <c r="C1343">
        <f>1189580625/10^4</f>
      </c>
      <c r="D1343">
        <f>0</f>
      </c>
      <c r="E1343">
        <f>740411377/10^6</f>
      </c>
      <c r="F1343">
        <f>0</f>
      </c>
      <c r="G1343">
        <f>259071136/10^6</f>
      </c>
      <c r="H1343">
        <f>0</f>
      </c>
      <c r="I1343">
        <f>-40826477/10^6</f>
      </c>
      <c r="J1343">
        <f>0</f>
      </c>
    </row>
    <row r="1344">
      <c r="A1344" t="s">
        <v>1353</v>
      </c>
      <c r="B1344" t="s">
        <v>11</v>
      </c>
      <c r="C1344">
        <f>11877896875/10^5</f>
      </c>
      <c r="D1344">
        <f>0</f>
      </c>
      <c r="E1344">
        <f>741343384/10^6</f>
      </c>
      <c r="F1344">
        <f>0</f>
      </c>
      <c r="G1344">
        <f>259060394/10^6</f>
      </c>
      <c r="H1344">
        <f>0</f>
      </c>
      <c r="I1344">
        <f>-4104483/10^5</f>
      </c>
      <c r="J1344">
        <f>0</f>
      </c>
    </row>
    <row r="1345">
      <c r="A1345" t="s">
        <v>1354</v>
      </c>
      <c r="B1345" t="s">
        <v>11</v>
      </c>
      <c r="C1345">
        <f>118604023438/10^6</f>
      </c>
      <c r="D1345">
        <f>0</f>
      </c>
      <c r="E1345">
        <f>742361206/10^6</f>
      </c>
      <c r="F1345">
        <f>0</f>
      </c>
      <c r="G1345">
        <f>259058777/10^6</f>
      </c>
      <c r="H1345">
        <f>0</f>
      </c>
      <c r="I1345">
        <f>-41273674/10^6</f>
      </c>
      <c r="J1345">
        <f>0</f>
      </c>
    </row>
    <row r="1346">
      <c r="A1346" t="s">
        <v>1355</v>
      </c>
      <c r="B1346" t="s">
        <v>11</v>
      </c>
      <c r="C1346">
        <f>118438242188/10^6</f>
      </c>
      <c r="D1346">
        <f>0</f>
      </c>
      <c r="E1346">
        <f>743488647/10^6</f>
      </c>
      <c r="F1346">
        <f>0</f>
      </c>
      <c r="G1346">
        <f>259013977/10^6</f>
      </c>
      <c r="H1346">
        <f>0</f>
      </c>
      <c r="I1346">
        <f>-41474724/10^6</f>
      </c>
      <c r="J1346">
        <f>0</f>
      </c>
    </row>
    <row r="1347">
      <c r="A1347" t="s">
        <v>1356</v>
      </c>
      <c r="B1347" t="s">
        <v>11</v>
      </c>
      <c r="C1347">
        <f>118257054688/10^6</f>
      </c>
      <c r="D1347">
        <f>0</f>
      </c>
      <c r="E1347">
        <f>744598022/10^6</f>
      </c>
      <c r="F1347">
        <f>0</f>
      </c>
      <c r="G1347">
        <f>258926392/10^6</f>
      </c>
      <c r="H1347">
        <f>0</f>
      </c>
      <c r="I1347">
        <f>-41728905/10^6</f>
      </c>
      <c r="J1347">
        <f>0</f>
      </c>
    </row>
    <row r="1348">
      <c r="A1348" t="s">
        <v>1357</v>
      </c>
      <c r="B1348" t="s">
        <v>11</v>
      </c>
      <c r="C1348">
        <f>11805453125/10^5</f>
      </c>
      <c r="D1348">
        <f>0</f>
      </c>
      <c r="E1348">
        <f>745727356/10^6</f>
      </c>
      <c r="F1348">
        <f>0</f>
      </c>
      <c r="G1348">
        <f>258861145/10^6</f>
      </c>
      <c r="H1348">
        <f>0</f>
      </c>
      <c r="I1348">
        <f>-41946014/10^6</f>
      </c>
      <c r="J1348">
        <f>0</f>
      </c>
    </row>
    <row r="1349">
      <c r="A1349" t="s">
        <v>1358</v>
      </c>
      <c r="B1349" t="s">
        <v>11</v>
      </c>
      <c r="C1349">
        <f>11785078125/10^5</f>
      </c>
      <c r="D1349">
        <f>0</f>
      </c>
      <c r="E1349">
        <f>746939087/10^6</f>
      </c>
      <c r="F1349">
        <f>0</f>
      </c>
      <c r="G1349">
        <f>258782471/10^6</f>
      </c>
      <c r="H1349">
        <f>0</f>
      </c>
      <c r="I1349">
        <f>-42152103/10^6</f>
      </c>
      <c r="J1349">
        <f>0</f>
      </c>
    </row>
    <row r="1350">
      <c r="A1350" t="s">
        <v>1359</v>
      </c>
      <c r="B1350" t="s">
        <v>11</v>
      </c>
      <c r="C1350">
        <f>117655851563/10^6</f>
      </c>
      <c r="D1350">
        <f>0</f>
      </c>
      <c r="E1350">
        <f>748152283/10^6</f>
      </c>
      <c r="F1350">
        <f>0</f>
      </c>
      <c r="G1350">
        <f>258692169/10^6</f>
      </c>
      <c r="H1350">
        <f>0</f>
      </c>
      <c r="I1350">
        <f>-42364197/10^6</f>
      </c>
      <c r="J1350">
        <f>0</f>
      </c>
    </row>
    <row r="1351">
      <c r="A1351" t="s">
        <v>1360</v>
      </c>
      <c r="B1351" t="s">
        <v>11</v>
      </c>
      <c r="C1351">
        <f>117456734375/10^6</f>
      </c>
      <c r="D1351">
        <f>0</f>
      </c>
      <c r="E1351">
        <f>749202759/10^6</f>
      </c>
      <c r="F1351">
        <f>0</f>
      </c>
      <c r="G1351">
        <f>258622406/10^6</f>
      </c>
      <c r="H1351">
        <f>0</f>
      </c>
      <c r="I1351">
        <f>-42588902/10^6</f>
      </c>
      <c r="J1351">
        <f>0</f>
      </c>
    </row>
    <row r="1352">
      <c r="A1352" t="s">
        <v>1361</v>
      </c>
      <c r="B1352" t="s">
        <v>11</v>
      </c>
      <c r="C1352">
        <f>117221742188/10^6</f>
      </c>
      <c r="D1352">
        <f>0</f>
      </c>
      <c r="E1352">
        <f>750291077/10^6</f>
      </c>
      <c r="F1352">
        <f>0</f>
      </c>
      <c r="G1352">
        <f>25854599/10^5</f>
      </c>
      <c r="H1352">
        <f>0</f>
      </c>
      <c r="I1352">
        <f>-4290686/10^5</f>
      </c>
      <c r="J1352">
        <f>0</f>
      </c>
    </row>
    <row r="1353">
      <c r="A1353" t="s">
        <v>1362</v>
      </c>
      <c r="B1353" t="s">
        <v>11</v>
      </c>
      <c r="C1353">
        <f>116955421875/10^6</f>
      </c>
      <c r="D1353">
        <f>0</f>
      </c>
      <c r="E1353">
        <f>751740112/10^6</f>
      </c>
      <c r="F1353">
        <f>0</f>
      </c>
      <c r="G1353">
        <f>258475128/10^6</f>
      </c>
      <c r="H1353">
        <f>0</f>
      </c>
      <c r="I1353">
        <f>-43166878/10^6</f>
      </c>
      <c r="J1353">
        <f>0</f>
      </c>
    </row>
    <row r="1354">
      <c r="A1354" t="s">
        <v>1363</v>
      </c>
      <c r="B1354" t="s">
        <v>11</v>
      </c>
      <c r="C1354">
        <f>116695992188/10^6</f>
      </c>
      <c r="D1354">
        <f>0</f>
      </c>
      <c r="E1354">
        <f>753350464/10^6</f>
      </c>
      <c r="F1354">
        <f>0</f>
      </c>
      <c r="G1354">
        <f>258367676/10^6</f>
      </c>
      <c r="H1354">
        <f>0</f>
      </c>
      <c r="I1354">
        <f>-4343306/10^5</f>
      </c>
      <c r="J1354">
        <f>0</f>
      </c>
    </row>
    <row r="1355">
      <c r="A1355" t="s">
        <v>1364</v>
      </c>
      <c r="B1355" t="s">
        <v>11</v>
      </c>
      <c r="C1355">
        <f>11643434375/10^5</f>
      </c>
      <c r="D1355">
        <f>0</f>
      </c>
      <c r="E1355">
        <f>754972351/10^6</f>
      </c>
      <c r="F1355">
        <f>0</f>
      </c>
      <c r="G1355">
        <f>258249329/10^6</f>
      </c>
      <c r="H1355">
        <f>0</f>
      </c>
      <c r="I1355">
        <f>-43715759/10^6</f>
      </c>
      <c r="J1355">
        <f>0</f>
      </c>
    </row>
    <row r="1356">
      <c r="A1356" t="s">
        <v>1365</v>
      </c>
      <c r="B1356" t="s">
        <v>11</v>
      </c>
      <c r="C1356">
        <f>11614471875/10^5</f>
      </c>
      <c r="D1356">
        <f>0</f>
      </c>
      <c r="E1356">
        <f>756735718/10^6</f>
      </c>
      <c r="F1356">
        <f>0</f>
      </c>
      <c r="G1356">
        <f>258172089/10^6</f>
      </c>
      <c r="H1356">
        <f>0</f>
      </c>
      <c r="I1356">
        <f>-43954086/10^6</f>
      </c>
      <c r="J1356">
        <f>0</f>
      </c>
    </row>
    <row r="1357">
      <c r="A1357" t="s">
        <v>1366</v>
      </c>
      <c r="B1357" t="s">
        <v>11</v>
      </c>
      <c r="C1357">
        <f>115880242188/10^6</f>
      </c>
      <c r="D1357">
        <f>0</f>
      </c>
      <c r="E1357">
        <f>758293396/10^6</f>
      </c>
      <c r="F1357">
        <f>0</f>
      </c>
      <c r="G1357">
        <f>258067413/10^6</f>
      </c>
      <c r="H1357">
        <f>0</f>
      </c>
      <c r="I1357">
        <f>-44325935/10^6</f>
      </c>
      <c r="J1357">
        <f>0</f>
      </c>
    </row>
    <row r="1358">
      <c r="A1358" t="s">
        <v>1367</v>
      </c>
      <c r="B1358" t="s">
        <v>11</v>
      </c>
      <c r="C1358">
        <f>11572884375/10^5</f>
      </c>
      <c r="D1358">
        <f>0</f>
      </c>
      <c r="E1358">
        <f>759251953/10^6</f>
      </c>
      <c r="F1358">
        <f>0</f>
      </c>
      <c r="G1358">
        <f>257983673/10^6</f>
      </c>
      <c r="H1358">
        <f>0</f>
      </c>
      <c r="I1358">
        <f>-44588158/10^6</f>
      </c>
      <c r="J1358">
        <f>0</f>
      </c>
    </row>
    <row r="1359">
      <c r="A1359" t="s">
        <v>1368</v>
      </c>
      <c r="B1359" t="s">
        <v>11</v>
      </c>
      <c r="C1359">
        <f>115665203125/10^6</f>
      </c>
      <c r="D1359">
        <f>0</f>
      </c>
      <c r="E1359">
        <f>759805969/10^6</f>
      </c>
      <c r="F1359">
        <f>0</f>
      </c>
      <c r="G1359">
        <f>257984344/10^6</f>
      </c>
      <c r="H1359">
        <f>0</f>
      </c>
      <c r="I1359">
        <f>-44595905/10^6</f>
      </c>
      <c r="J1359">
        <f>0</f>
      </c>
    </row>
    <row r="1360">
      <c r="A1360" t="s">
        <v>1369</v>
      </c>
      <c r="B1360" t="s">
        <v>11</v>
      </c>
      <c r="C1360">
        <f>115575351563/10^6</f>
      </c>
      <c r="D1360">
        <f>0</f>
      </c>
      <c r="E1360">
        <f>760202942/10^6</f>
      </c>
      <c r="F1360">
        <f>0</f>
      </c>
      <c r="G1360">
        <f>258007233/10^6</f>
      </c>
      <c r="H1360">
        <f>0</f>
      </c>
      <c r="I1360">
        <f>-4461525/10^5</f>
      </c>
      <c r="J1360">
        <f>0</f>
      </c>
    </row>
    <row r="1361">
      <c r="A1361" t="s">
        <v>1370</v>
      </c>
      <c r="B1361" t="s">
        <v>11</v>
      </c>
      <c r="C1361">
        <f>11544484375/10^5</f>
      </c>
      <c r="D1361">
        <f>0</f>
      </c>
      <c r="E1361">
        <f>760635498/10^6</f>
      </c>
      <c r="F1361">
        <f>0</f>
      </c>
      <c r="G1361">
        <f>25797049/10^5</f>
      </c>
      <c r="H1361">
        <f>0</f>
      </c>
      <c r="I1361">
        <f>-44606731/10^6</f>
      </c>
      <c r="J1361">
        <f>0</f>
      </c>
    </row>
    <row r="1362">
      <c r="A1362" t="s">
        <v>1371</v>
      </c>
      <c r="B1362" t="s">
        <v>11</v>
      </c>
      <c r="C1362">
        <f>11538559375/10^5</f>
      </c>
      <c r="D1362">
        <f>0</f>
      </c>
      <c r="E1362">
        <f>761223145/10^6</f>
      </c>
      <c r="F1362">
        <f>0</f>
      </c>
      <c r="G1362">
        <f>257820007/10^6</f>
      </c>
      <c r="H1362">
        <f>0</f>
      </c>
      <c r="I1362">
        <f>-44516949/10^6</f>
      </c>
      <c r="J1362">
        <f>0</f>
      </c>
    </row>
    <row r="1363">
      <c r="A1363" t="s">
        <v>1372</v>
      </c>
      <c r="B1363" t="s">
        <v>11</v>
      </c>
      <c r="C1363">
        <f>115445570313/10^6</f>
      </c>
      <c r="D1363">
        <f>0</f>
      </c>
      <c r="E1363">
        <f>761564819/10^6</f>
      </c>
      <c r="F1363">
        <f>0</f>
      </c>
      <c r="G1363">
        <f>257740967/10^6</f>
      </c>
      <c r="H1363">
        <f>0</f>
      </c>
      <c r="I1363">
        <f>-44464596/10^6</f>
      </c>
      <c r="J1363">
        <f>0</f>
      </c>
    </row>
    <row r="1364">
      <c r="A1364" t="s">
        <v>1373</v>
      </c>
      <c r="B1364" t="s">
        <v>11</v>
      </c>
      <c r="C1364">
        <f>11552125/10^2</f>
      </c>
      <c r="D1364">
        <f>0</f>
      </c>
      <c r="E1364">
        <f>761461731/10^6</f>
      </c>
      <c r="F1364">
        <f>0</f>
      </c>
      <c r="G1364">
        <f>257957764/10^6</f>
      </c>
      <c r="H1364">
        <f>0</f>
      </c>
      <c r="I1364">
        <f>-44390446/10^6</f>
      </c>
      <c r="J1364">
        <f>0</f>
      </c>
    </row>
    <row r="1365">
      <c r="A1365" t="s">
        <v>1374</v>
      </c>
      <c r="B1365" t="s">
        <v>11</v>
      </c>
      <c r="C1365">
        <f>115514773438/10^6</f>
      </c>
      <c r="D1365">
        <f>0</f>
      </c>
      <c r="E1365">
        <f>761493652/10^6</f>
      </c>
      <c r="F1365">
        <f>0</f>
      </c>
      <c r="G1365">
        <f>258235657/10^6</f>
      </c>
      <c r="H1365">
        <f>0</f>
      </c>
      <c r="I1365">
        <f>-44276447/10^6</f>
      </c>
      <c r="J1365">
        <f>0</f>
      </c>
    </row>
    <row r="1366">
      <c r="A1366" t="s">
        <v>1375</v>
      </c>
      <c r="B1366" t="s">
        <v>11</v>
      </c>
      <c r="C1366">
        <f>11545228125/10^5</f>
      </c>
      <c r="D1366">
        <f>0</f>
      </c>
      <c r="E1366">
        <f>761862427/10^6</f>
      </c>
      <c r="F1366">
        <f>0</f>
      </c>
      <c r="G1366">
        <f>258265137/10^6</f>
      </c>
      <c r="H1366">
        <f>0</f>
      </c>
      <c r="I1366">
        <f>-44292732/10^6</f>
      </c>
      <c r="J1366">
        <f>0</f>
      </c>
    </row>
    <row r="1367">
      <c r="A1367" t="s">
        <v>1376</v>
      </c>
      <c r="B1367" t="s">
        <v>11</v>
      </c>
      <c r="C1367">
        <f>115404585938/10^6</f>
      </c>
      <c r="D1367">
        <f>0</f>
      </c>
      <c r="E1367">
        <f>762006592/10^6</f>
      </c>
      <c r="F1367">
        <f>0</f>
      </c>
      <c r="G1367">
        <f>258168121/10^6</f>
      </c>
      <c r="H1367">
        <f>0</f>
      </c>
      <c r="I1367">
        <f>-44425369/10^6</f>
      </c>
      <c r="J1367">
        <f>0</f>
      </c>
    </row>
    <row r="1368">
      <c r="A1368" t="s">
        <v>1377</v>
      </c>
      <c r="B1368" t="s">
        <v>11</v>
      </c>
      <c r="C1368">
        <f>115399085938/10^6</f>
      </c>
      <c r="D1368">
        <f>0</f>
      </c>
      <c r="E1368">
        <f>761817505/10^6</f>
      </c>
      <c r="F1368">
        <f>0</f>
      </c>
      <c r="G1368">
        <f>258147003/10^6</f>
      </c>
      <c r="H1368">
        <f>0</f>
      </c>
      <c r="I1368">
        <f>-44494431/10^6</f>
      </c>
      <c r="J1368">
        <f>0</f>
      </c>
    </row>
    <row r="1369">
      <c r="A1369" t="s">
        <v>1378</v>
      </c>
      <c r="B1369" t="s">
        <v>11</v>
      </c>
      <c r="C1369">
        <f>115438820313/10^6</f>
      </c>
      <c r="D1369">
        <f>0</f>
      </c>
      <c r="E1369">
        <f>761827271/10^6</f>
      </c>
      <c r="F1369">
        <f>0</f>
      </c>
      <c r="G1369">
        <f>258150604/10^6</f>
      </c>
      <c r="H1369">
        <f>0</f>
      </c>
      <c r="I1369">
        <f>-44513348/10^6</f>
      </c>
      <c r="J1369">
        <f>0</f>
      </c>
    </row>
    <row r="1370">
      <c r="A1370" t="s">
        <v>1379</v>
      </c>
      <c r="B1370" t="s">
        <v>11</v>
      </c>
      <c r="C1370">
        <f>115526429688/10^6</f>
      </c>
      <c r="D1370">
        <f>0</f>
      </c>
      <c r="E1370">
        <f>762045837/10^6</f>
      </c>
      <c r="F1370">
        <f>0</f>
      </c>
      <c r="G1370">
        <f>258113708/10^6</f>
      </c>
      <c r="H1370">
        <f>0</f>
      </c>
      <c r="I1370">
        <f>-44550865/10^6</f>
      </c>
      <c r="J1370">
        <f>0</f>
      </c>
    </row>
    <row r="1371">
      <c r="A1371" t="s">
        <v>1380</v>
      </c>
      <c r="B1371" t="s">
        <v>11</v>
      </c>
      <c r="C1371">
        <f>115642289063/10^6</f>
      </c>
      <c r="D1371">
        <f>0</f>
      </c>
      <c r="E1371">
        <f>761862793/10^6</f>
      </c>
      <c r="F1371">
        <f>0</f>
      </c>
      <c r="G1371">
        <f>258196442/10^6</f>
      </c>
      <c r="H1371">
        <f>0</f>
      </c>
      <c r="I1371">
        <f>-44536137/10^6</f>
      </c>
      <c r="J1371">
        <f>0</f>
      </c>
    </row>
    <row r="1372">
      <c r="A1372" t="s">
        <v>1381</v>
      </c>
      <c r="B1372" t="s">
        <v>11</v>
      </c>
      <c r="C1372">
        <f>115749796875/10^6</f>
      </c>
      <c r="D1372">
        <f>0</f>
      </c>
      <c r="E1372">
        <f>761198792/10^6</f>
      </c>
      <c r="F1372">
        <f>0</f>
      </c>
      <c r="G1372">
        <f>258412323/10^6</f>
      </c>
      <c r="H1372">
        <f>0</f>
      </c>
      <c r="I1372">
        <f>-44495037/10^6</f>
      </c>
      <c r="J1372">
        <f>0</f>
      </c>
    </row>
    <row r="1373">
      <c r="A1373" t="s">
        <v>1382</v>
      </c>
      <c r="B1373" t="s">
        <v>11</v>
      </c>
      <c r="C1373">
        <f>11584428125/10^5</f>
      </c>
      <c r="D1373">
        <f>0</f>
      </c>
      <c r="E1373">
        <f>760705811/10^6</f>
      </c>
      <c r="F1373">
        <f>0</f>
      </c>
      <c r="G1373">
        <f>258563629/10^6</f>
      </c>
      <c r="H1373">
        <f>0</f>
      </c>
      <c r="I1373">
        <f>-44444153/10^6</f>
      </c>
      <c r="J1373">
        <f>0</f>
      </c>
    </row>
    <row r="1374">
      <c r="A1374" t="s">
        <v>1383</v>
      </c>
      <c r="B1374" t="s">
        <v>11</v>
      </c>
      <c r="C1374">
        <f>115985914063/10^6</f>
      </c>
      <c r="D1374">
        <f>0</f>
      </c>
      <c r="E1374">
        <f>760407349/10^6</f>
      </c>
      <c r="F1374">
        <f>0</f>
      </c>
      <c r="G1374">
        <f>258683258/10^6</f>
      </c>
      <c r="H1374">
        <f>0</f>
      </c>
      <c r="I1374">
        <f>-44316193/10^6</f>
      </c>
      <c r="J1374">
        <f>0</f>
      </c>
    </row>
    <row r="1375">
      <c r="A1375" t="s">
        <v>1384</v>
      </c>
      <c r="B1375" t="s">
        <v>11</v>
      </c>
      <c r="C1375">
        <f>116224789063/10^6</f>
      </c>
      <c r="D1375">
        <f>0</f>
      </c>
      <c r="E1375">
        <f>75936615/10^5</f>
      </c>
      <c r="F1375">
        <f>0</f>
      </c>
      <c r="G1375">
        <f>258811768/10^6</f>
      </c>
      <c r="H1375">
        <f>0</f>
      </c>
      <c r="I1375">
        <f>-44207005/10^6</f>
      </c>
      <c r="J1375">
        <f>0</f>
      </c>
    </row>
    <row r="1376">
      <c r="A1376" t="s">
        <v>1385</v>
      </c>
      <c r="B1376" t="s">
        <v>11</v>
      </c>
      <c r="C1376">
        <f>116526726563/10^6</f>
      </c>
      <c r="D1376">
        <f>0</f>
      </c>
      <c r="E1376">
        <f>757481689/10^6</f>
      </c>
      <c r="F1376">
        <f>0</f>
      </c>
      <c r="G1376">
        <f>258969452/10^6</f>
      </c>
      <c r="H1376">
        <f>0</f>
      </c>
      <c r="I1376">
        <f>-43972942/10^6</f>
      </c>
      <c r="J1376">
        <f>0</f>
      </c>
    </row>
    <row r="1377">
      <c r="A1377" t="s">
        <v>1386</v>
      </c>
      <c r="B1377" t="s">
        <v>11</v>
      </c>
      <c r="C1377">
        <f>116847242188/10^6</f>
      </c>
      <c r="D1377">
        <f>0</f>
      </c>
      <c r="E1377">
        <f>7557276/10^4</f>
      </c>
      <c r="F1377">
        <f>0</f>
      </c>
      <c r="G1377">
        <f>259177246/10^6</f>
      </c>
      <c r="H1377">
        <f>0</f>
      </c>
      <c r="I1377">
        <f>-43573509/10^6</f>
      </c>
      <c r="J1377">
        <f>0</f>
      </c>
    </row>
    <row r="1378">
      <c r="A1378" t="s">
        <v>1387</v>
      </c>
      <c r="B1378" t="s">
        <v>11</v>
      </c>
      <c r="C1378">
        <f>11718946875/10^5</f>
      </c>
      <c r="D1378">
        <f>0</f>
      </c>
      <c r="E1378">
        <f>754241394/10^6</f>
      </c>
      <c r="F1378">
        <f>0</f>
      </c>
      <c r="G1378">
        <f>259370209/10^6</f>
      </c>
      <c r="H1378">
        <f>0</f>
      </c>
      <c r="I1378">
        <f>-43234612/10^6</f>
      </c>
      <c r="J1378">
        <f>0</f>
      </c>
    </row>
    <row r="1379">
      <c r="A1379" t="s">
        <v>1388</v>
      </c>
      <c r="B1379" t="s">
        <v>11</v>
      </c>
      <c r="C1379">
        <f>117584960938/10^6</f>
      </c>
      <c r="D1379">
        <f>0</f>
      </c>
      <c r="E1379">
        <f>752462952/10^6</f>
      </c>
      <c r="F1379">
        <f>0</f>
      </c>
      <c r="G1379">
        <f>259648529/10^6</f>
      </c>
      <c r="H1379">
        <f>0</f>
      </c>
      <c r="I1379">
        <f>-42782501/10^6</f>
      </c>
      <c r="J1379">
        <f>0</f>
      </c>
    </row>
    <row r="1380">
      <c r="A1380" t="s">
        <v>1389</v>
      </c>
      <c r="B1380" t="s">
        <v>11</v>
      </c>
      <c r="C1380">
        <f>118086945313/10^6</f>
      </c>
      <c r="D1380">
        <f>0</f>
      </c>
      <c r="E1380">
        <f>750166382/10^6</f>
      </c>
      <c r="F1380">
        <f>0</f>
      </c>
      <c r="G1380">
        <f>259920898/10^6</f>
      </c>
      <c r="H1380">
        <f>0</f>
      </c>
      <c r="I1380">
        <f>-42327789/10^6</f>
      </c>
      <c r="J1380">
        <f>0</f>
      </c>
    </row>
    <row r="1381">
      <c r="A1381" t="s">
        <v>1390</v>
      </c>
      <c r="B1381" t="s">
        <v>11</v>
      </c>
      <c r="C1381">
        <f>118717515625/10^6</f>
      </c>
      <c r="D1381">
        <f>0</f>
      </c>
      <c r="E1381">
        <f>747230774/10^6</f>
      </c>
      <c r="F1381">
        <f>0</f>
      </c>
      <c r="G1381">
        <f>260270691/10^6</f>
      </c>
      <c r="H1381">
        <f>0</f>
      </c>
      <c r="I1381">
        <f>-41761742/10^6</f>
      </c>
      <c r="J1381">
        <f>0</f>
      </c>
    </row>
    <row r="1382">
      <c r="A1382" t="s">
        <v>1391</v>
      </c>
      <c r="B1382" t="s">
        <v>11</v>
      </c>
      <c r="C1382">
        <f>119428117188/10^6</f>
      </c>
      <c r="D1382">
        <f>0</f>
      </c>
      <c r="E1382">
        <f>743804871/10^6</f>
      </c>
      <c r="F1382">
        <f>0</f>
      </c>
      <c r="G1382">
        <f>260847473/10^6</f>
      </c>
      <c r="H1382">
        <f>0</f>
      </c>
      <c r="I1382">
        <f>-40884094/10^6</f>
      </c>
      <c r="J1382">
        <f>0</f>
      </c>
    </row>
    <row r="1383">
      <c r="A1383" t="s">
        <v>1392</v>
      </c>
      <c r="B1383" t="s">
        <v>11</v>
      </c>
      <c r="C1383">
        <f>12016075/10^2</f>
      </c>
      <c r="D1383">
        <f>0</f>
      </c>
      <c r="E1383">
        <f>740237122/10^6</f>
      </c>
      <c r="F1383">
        <f>0</f>
      </c>
      <c r="G1383">
        <f>261270905/10^6</f>
      </c>
      <c r="H1383">
        <f>0</f>
      </c>
      <c r="I1383">
        <f>-40179234/10^6</f>
      </c>
      <c r="J1383">
        <f>0</f>
      </c>
    </row>
    <row r="1384">
      <c r="A1384" t="s">
        <v>1393</v>
      </c>
      <c r="B1384" t="s">
        <v>11</v>
      </c>
      <c r="C1384">
        <f>120890890625/10^6</f>
      </c>
      <c r="D1384">
        <f>0</f>
      </c>
      <c r="E1384">
        <f>736497986/10^6</f>
      </c>
      <c r="F1384">
        <f>0</f>
      </c>
      <c r="G1384">
        <f>261714172/10^6</f>
      </c>
      <c r="H1384">
        <f>0</f>
      </c>
      <c r="I1384">
        <f>-39376617/10^6</f>
      </c>
      <c r="J1384">
        <f>0</f>
      </c>
    </row>
    <row r="1385">
      <c r="A1385" t="s">
        <v>1394</v>
      </c>
      <c r="B1385" t="s">
        <v>11</v>
      </c>
      <c r="C1385">
        <f>121578921875/10^6</f>
      </c>
      <c r="D1385">
        <f>0</f>
      </c>
      <c r="E1385">
        <f>732524963/10^6</f>
      </c>
      <c r="F1385">
        <f>0</f>
      </c>
      <c r="G1385">
        <f>262279022/10^6</f>
      </c>
      <c r="H1385">
        <f>0</f>
      </c>
      <c r="I1385">
        <f>-38497009/10^6</f>
      </c>
      <c r="J1385">
        <f>0</f>
      </c>
    </row>
    <row r="1386">
      <c r="A1386" t="s">
        <v>1395</v>
      </c>
      <c r="B1386" t="s">
        <v>11</v>
      </c>
      <c r="C1386">
        <f>122170914063/10^6</f>
      </c>
      <c r="D1386">
        <f>0</f>
      </c>
      <c r="E1386">
        <f>728755554/10^6</f>
      </c>
      <c r="F1386">
        <f>0</f>
      </c>
      <c r="G1386">
        <f>262422729/10^6</f>
      </c>
      <c r="H1386">
        <f>0</f>
      </c>
      <c r="I1386">
        <f>-37820805/10^6</f>
      </c>
      <c r="J1386">
        <f>0</f>
      </c>
    </row>
    <row r="1387">
      <c r="A1387" t="s">
        <v>1396</v>
      </c>
      <c r="B1387" t="s">
        <v>11</v>
      </c>
      <c r="C1387">
        <f>122624398438/10^6</f>
      </c>
      <c r="D1387">
        <f>0</f>
      </c>
      <c r="E1387">
        <f>725605591/10^6</f>
      </c>
      <c r="F1387">
        <f>0</f>
      </c>
      <c r="G1387">
        <f>262360138/10^6</f>
      </c>
      <c r="H1387">
        <f>0</f>
      </c>
      <c r="I1387">
        <f>-3685923/10^5</f>
      </c>
      <c r="J1387">
        <f>0</f>
      </c>
    </row>
    <row r="1388">
      <c r="A1388" t="s">
        <v>1397</v>
      </c>
      <c r="B1388" t="s">
        <v>11</v>
      </c>
      <c r="C1388">
        <f>122883585938/10^6</f>
      </c>
      <c r="D1388">
        <f>0</f>
      </c>
      <c r="E1388">
        <f>723244629/10^6</f>
      </c>
      <c r="F1388">
        <f>0</f>
      </c>
      <c r="G1388">
        <f>262363007/10^6</f>
      </c>
      <c r="H1388">
        <f>0</f>
      </c>
      <c r="I1388">
        <f>-36144974/10^6</f>
      </c>
      <c r="J1388">
        <f>0</f>
      </c>
    </row>
    <row r="1389">
      <c r="A1389" t="s">
        <v>1398</v>
      </c>
      <c r="B1389" t="s">
        <v>11</v>
      </c>
      <c r="C1389">
        <f>1229695625/10^4</f>
      </c>
      <c r="D1389">
        <f>0</f>
      </c>
      <c r="E1389">
        <f>721846313/10^6</f>
      </c>
      <c r="F1389">
        <f>0</f>
      </c>
      <c r="G1389">
        <f>262155396/10^6</f>
      </c>
      <c r="H1389">
        <f>0</f>
      </c>
      <c r="I1389">
        <f>-35953648/10^6</f>
      </c>
      <c r="J1389">
        <f>0</f>
      </c>
    </row>
    <row r="1390">
      <c r="A1390" t="s">
        <v>1399</v>
      </c>
      <c r="B1390" t="s">
        <v>11</v>
      </c>
      <c r="C1390">
        <f>12301228125/10^5</f>
      </c>
      <c r="D1390">
        <f>0</f>
      </c>
      <c r="E1390">
        <f>721174316/10^6</f>
      </c>
      <c r="F1390">
        <f>0</f>
      </c>
      <c r="G1390">
        <f>261888794/10^6</f>
      </c>
      <c r="H1390">
        <f>0</f>
      </c>
      <c r="I1390">
        <f>-35714069/10^6</f>
      </c>
      <c r="J1390">
        <f>0</f>
      </c>
    </row>
    <row r="1391">
      <c r="A1391" t="s">
        <v>1400</v>
      </c>
      <c r="B1391" t="s">
        <v>11</v>
      </c>
      <c r="C1391">
        <f>123070265625/10^6</f>
      </c>
      <c r="D1391">
        <f>0</f>
      </c>
      <c r="E1391">
        <f>720784485/10^6</f>
      </c>
      <c r="F1391">
        <f>0</f>
      </c>
      <c r="G1391">
        <f>261755463/10^6</f>
      </c>
      <c r="H1391">
        <f>0</f>
      </c>
      <c r="I1391">
        <f>-35619736/10^6</f>
      </c>
      <c r="J1391">
        <f>0</f>
      </c>
    </row>
    <row r="1392">
      <c r="A1392" t="s">
        <v>1401</v>
      </c>
      <c r="B1392" t="s">
        <v>11</v>
      </c>
      <c r="C1392">
        <f>1230975/10^1</f>
      </c>
      <c r="D1392">
        <f>0</f>
      </c>
      <c r="E1392">
        <f>720460205/10^6</f>
      </c>
      <c r="F1392">
        <f>0</f>
      </c>
      <c r="G1392">
        <f>261628754/10^6</f>
      </c>
      <c r="H1392">
        <f>0</f>
      </c>
      <c r="I1392">
        <f>-35705639/10^6</f>
      </c>
      <c r="J1392">
        <f>0</f>
      </c>
    </row>
    <row r="1393">
      <c r="A1393" t="s">
        <v>1402</v>
      </c>
      <c r="B1393" t="s">
        <v>11</v>
      </c>
      <c r="C1393">
        <f>12306109375/10^5</f>
      </c>
      <c r="D1393">
        <f>0</f>
      </c>
      <c r="E1393">
        <f>72014032/10^5</f>
      </c>
      <c r="F1393">
        <f>0</f>
      </c>
      <c r="G1393">
        <f>261496979/10^6</f>
      </c>
      <c r="H1393">
        <f>0</f>
      </c>
      <c r="I1393">
        <f>-35742641/10^6</f>
      </c>
      <c r="J1393">
        <f>0</f>
      </c>
    </row>
    <row r="1394">
      <c r="A1394" t="s">
        <v>1403</v>
      </c>
      <c r="B1394" t="s">
        <v>11</v>
      </c>
      <c r="C1394">
        <f>122988539063/10^6</f>
      </c>
      <c r="D1394">
        <f>0</f>
      </c>
      <c r="E1394">
        <f>719976807/10^6</f>
      </c>
      <c r="F1394">
        <f>0</f>
      </c>
      <c r="G1394">
        <f>261330658/10^6</f>
      </c>
      <c r="H1394">
        <f>0</f>
      </c>
      <c r="I1394">
        <f>-35815159/10^6</f>
      </c>
      <c r="J1394">
        <f>0</f>
      </c>
    </row>
    <row r="1395">
      <c r="A1395" t="s">
        <v>1404</v>
      </c>
      <c r="B1395" t="s">
        <v>11</v>
      </c>
      <c r="C1395">
        <f>122912289063/10^6</f>
      </c>
      <c r="D1395">
        <f>0</f>
      </c>
      <c r="E1395">
        <f>719969727/10^6</f>
      </c>
      <c r="F1395">
        <f>0</f>
      </c>
      <c r="G1395">
        <f>261163574/10^6</f>
      </c>
      <c r="H1395">
        <f>0</f>
      </c>
      <c r="I1395">
        <f>-35899651/10^6</f>
      </c>
      <c r="J1395">
        <f>0</f>
      </c>
    </row>
    <row r="1396">
      <c r="A1396" t="s">
        <v>1405</v>
      </c>
      <c r="B1396" t="s">
        <v>11</v>
      </c>
      <c r="C1396">
        <f>122761867188/10^6</f>
      </c>
      <c r="D1396">
        <f>0</f>
      </c>
      <c r="E1396">
        <f>72021106/10^5</f>
      </c>
      <c r="F1396">
        <f>0</f>
      </c>
      <c r="G1396">
        <f>261000946/10^6</f>
      </c>
      <c r="H1396">
        <f>0</f>
      </c>
      <c r="I1396">
        <f>-36036228/10^6</f>
      </c>
      <c r="J1396">
        <f>0</f>
      </c>
    </row>
    <row r="1397">
      <c r="A1397" t="s">
        <v>1406</v>
      </c>
      <c r="B1397" t="s">
        <v>11</v>
      </c>
      <c r="C1397">
        <f>122468898438/10^6</f>
      </c>
      <c r="D1397">
        <f>0</f>
      </c>
      <c r="E1397">
        <f>721256042/10^6</f>
      </c>
      <c r="F1397">
        <f>0</f>
      </c>
      <c r="G1397">
        <f>260744141/10^6</f>
      </c>
      <c r="H1397">
        <f>0</f>
      </c>
      <c r="I1397">
        <f>-36192768/10^6</f>
      </c>
      <c r="J1397">
        <f>0</f>
      </c>
    </row>
    <row r="1398">
      <c r="A1398" t="s">
        <v>1407</v>
      </c>
      <c r="B1398" t="s">
        <v>11</v>
      </c>
      <c r="C1398">
        <f>12212415625/10^5</f>
      </c>
      <c r="D1398">
        <f>0</f>
      </c>
      <c r="E1398">
        <f>723122192/10^6</f>
      </c>
      <c r="F1398">
        <f>0</f>
      </c>
      <c r="G1398">
        <f>26054541/10^5</f>
      </c>
      <c r="H1398">
        <f>0</f>
      </c>
      <c r="I1398">
        <f>-36363037/10^6</f>
      </c>
      <c r="J1398">
        <f>0</f>
      </c>
    </row>
    <row r="1399">
      <c r="A1399" t="s">
        <v>1408</v>
      </c>
      <c r="B1399" t="s">
        <v>11</v>
      </c>
      <c r="C1399">
        <f>121806609375/10^6</f>
      </c>
      <c r="D1399">
        <f>0</f>
      </c>
      <c r="E1399">
        <f>725109985/10^6</f>
      </c>
      <c r="F1399">
        <f>0</f>
      </c>
      <c r="G1399">
        <f>260458252/10^6</f>
      </c>
      <c r="H1399">
        <f>0</f>
      </c>
      <c r="I1399">
        <f>-36852077/10^6</f>
      </c>
      <c r="J1399">
        <f>0</f>
      </c>
    </row>
    <row r="1400">
      <c r="A1400" t="s">
        <v>1409</v>
      </c>
      <c r="B1400" t="s">
        <v>11</v>
      </c>
      <c r="C1400">
        <f>121475070313/10^6</f>
      </c>
      <c r="D1400">
        <f>0</f>
      </c>
      <c r="E1400">
        <f>726805603/10^6</f>
      </c>
      <c r="F1400">
        <f>0</f>
      </c>
      <c r="G1400">
        <f>260387238/10^6</f>
      </c>
      <c r="H1400">
        <f>0</f>
      </c>
      <c r="I1400">
        <f>-37390877/10^6</f>
      </c>
      <c r="J1400">
        <f>0</f>
      </c>
    </row>
    <row r="1401">
      <c r="A1401" t="s">
        <v>1410</v>
      </c>
      <c r="B1401" t="s">
        <v>11</v>
      </c>
      <c r="C1401">
        <f>121134585938/10^6</f>
      </c>
      <c r="D1401">
        <f>0</f>
      </c>
      <c r="E1401">
        <f>728356262/10^6</f>
      </c>
      <c r="F1401">
        <f>0</f>
      </c>
      <c r="G1401">
        <f>260239166/10^6</f>
      </c>
      <c r="H1401">
        <f>0</f>
      </c>
      <c r="I1401">
        <f>-37789543/10^6</f>
      </c>
      <c r="J1401">
        <f>0</f>
      </c>
    </row>
    <row r="1402">
      <c r="A1402" t="s">
        <v>1411</v>
      </c>
      <c r="B1402" t="s">
        <v>11</v>
      </c>
      <c r="C1402">
        <f>120827023438/10^6</f>
      </c>
      <c r="D1402">
        <f>0</f>
      </c>
      <c r="E1402">
        <f>73015094/10^5</f>
      </c>
      <c r="F1402">
        <f>0</f>
      </c>
      <c r="G1402">
        <f>259950409/10^6</f>
      </c>
      <c r="H1402">
        <f>0</f>
      </c>
      <c r="I1402">
        <f>-38337345/10^6</f>
      </c>
      <c r="J1402">
        <f>0</f>
      </c>
    </row>
    <row r="1403">
      <c r="A1403" t="s">
        <v>1412</v>
      </c>
      <c r="B1403" t="s">
        <v>11</v>
      </c>
      <c r="C1403">
        <f>1205373125/10^4</f>
      </c>
      <c r="D1403">
        <f>0</f>
      </c>
      <c r="E1403">
        <f>732212463/10^6</f>
      </c>
      <c r="F1403">
        <f>0</f>
      </c>
      <c r="G1403">
        <f>259761993/10^6</f>
      </c>
      <c r="H1403">
        <f>0</f>
      </c>
      <c r="I1403">
        <f>-38777714/10^6</f>
      </c>
      <c r="J1403">
        <f>0</f>
      </c>
    </row>
    <row r="1404">
      <c r="A1404" t="s">
        <v>1413</v>
      </c>
      <c r="B1404" t="s">
        <v>11</v>
      </c>
      <c r="C1404">
        <f>12028625/10^2</f>
      </c>
      <c r="D1404">
        <f>0</f>
      </c>
      <c r="E1404">
        <f>734042236/10^6</f>
      </c>
      <c r="F1404">
        <f>0</f>
      </c>
      <c r="G1404">
        <f>259737854/10^6</f>
      </c>
      <c r="H1404">
        <f>0</f>
      </c>
      <c r="I1404">
        <f>-39134258/10^6</f>
      </c>
      <c r="J1404">
        <f>0</f>
      </c>
    </row>
    <row r="1405">
      <c r="A1405" t="s">
        <v>1414</v>
      </c>
      <c r="B1405" t="s">
        <v>11</v>
      </c>
      <c r="C1405">
        <f>120105070313/10^6</f>
      </c>
      <c r="D1405">
        <f>0</f>
      </c>
      <c r="E1405">
        <f>735203613/10^6</f>
      </c>
      <c r="F1405">
        <f>0</f>
      </c>
      <c r="G1405">
        <f>259690613/10^6</f>
      </c>
      <c r="H1405">
        <f>0</f>
      </c>
      <c r="I1405">
        <f>-39548054/10^6</f>
      </c>
      <c r="J1405">
        <f>0</f>
      </c>
    </row>
    <row r="1406">
      <c r="A1406" t="s">
        <v>1415</v>
      </c>
      <c r="B1406" t="s">
        <v>11</v>
      </c>
      <c r="C1406">
        <f>1199575/10^1</f>
      </c>
      <c r="D1406">
        <f>0</f>
      </c>
      <c r="E1406">
        <f>735984436/10^6</f>
      </c>
      <c r="F1406">
        <f>0</f>
      </c>
      <c r="G1406">
        <f>259688965/10^6</f>
      </c>
      <c r="H1406">
        <f>0</f>
      </c>
      <c r="I1406">
        <f>-39798244/10^6</f>
      </c>
      <c r="J1406">
        <f>0</f>
      </c>
    </row>
    <row r="1407">
      <c r="A1407" t="s">
        <v>1416</v>
      </c>
      <c r="B1407" t="s">
        <v>11</v>
      </c>
      <c r="C1407">
        <f>119793023438/10^6</f>
      </c>
      <c r="D1407">
        <f>0</f>
      </c>
      <c r="E1407">
        <f>736993958/10^6</f>
      </c>
      <c r="F1407">
        <f>0</f>
      </c>
      <c r="G1407">
        <f>259787323/10^6</f>
      </c>
      <c r="H1407">
        <f>0</f>
      </c>
      <c r="I1407">
        <f>-39984299/10^6</f>
      </c>
      <c r="J1407">
        <f>0</f>
      </c>
    </row>
    <row r="1408">
      <c r="A1408" t="s">
        <v>1417</v>
      </c>
      <c r="B1408" t="s">
        <v>11</v>
      </c>
      <c r="C1408">
        <f>119609101563/10^6</f>
      </c>
      <c r="D1408">
        <f>0</f>
      </c>
      <c r="E1408">
        <f>738126526/10^6</f>
      </c>
      <c r="F1408">
        <f>0</f>
      </c>
      <c r="G1408">
        <f>259838013/10^6</f>
      </c>
      <c r="H1408">
        <f>0</f>
      </c>
      <c r="I1408">
        <f>-40178551/10^6</f>
      </c>
      <c r="J1408">
        <f>0</f>
      </c>
    </row>
    <row r="1409">
      <c r="A1409" t="s">
        <v>1418</v>
      </c>
      <c r="B1409" t="s">
        <v>11</v>
      </c>
      <c r="C1409">
        <f>119457867188/10^6</f>
      </c>
      <c r="D1409">
        <f>0</f>
      </c>
      <c r="E1409">
        <f>739096619/10^6</f>
      </c>
      <c r="F1409">
        <f>0</f>
      </c>
      <c r="G1409">
        <f>259771423/10^6</f>
      </c>
      <c r="H1409">
        <f>0</f>
      </c>
      <c r="I1409">
        <f>-40447224/10^6</f>
      </c>
      <c r="J1409">
        <f>0</f>
      </c>
    </row>
    <row r="1410">
      <c r="A1410" t="s">
        <v>1419</v>
      </c>
      <c r="B1410" t="s">
        <v>11</v>
      </c>
      <c r="C1410">
        <f>119325421875/10^6</f>
      </c>
      <c r="D1410">
        <f>0</f>
      </c>
      <c r="E1410">
        <f>740081238/10^6</f>
      </c>
      <c r="F1410">
        <f>0</f>
      </c>
      <c r="G1410">
        <f>25969101/10^5</f>
      </c>
      <c r="H1410">
        <f>0</f>
      </c>
      <c r="I1410">
        <f>-40748886/10^6</f>
      </c>
      <c r="J1410">
        <f>0</f>
      </c>
    </row>
    <row r="1411">
      <c r="A1411" t="s">
        <v>1420</v>
      </c>
      <c r="B1411" t="s">
        <v>11</v>
      </c>
      <c r="C1411">
        <f>11917353125/10^5</f>
      </c>
      <c r="D1411">
        <f>0</f>
      </c>
      <c r="E1411">
        <f>741014771/10^6</f>
      </c>
      <c r="F1411">
        <f>0</f>
      </c>
      <c r="G1411">
        <f>259685577/10^6</f>
      </c>
      <c r="H1411">
        <f>0</f>
      </c>
      <c r="I1411">
        <f>-40928391/10^6</f>
      </c>
      <c r="J1411">
        <f>0</f>
      </c>
    </row>
    <row r="1412">
      <c r="A1412" t="s">
        <v>1421</v>
      </c>
      <c r="B1412" t="s">
        <v>11</v>
      </c>
      <c r="C1412">
        <f>11905225/10^2</f>
      </c>
      <c r="D1412">
        <f>0</f>
      </c>
      <c r="E1412">
        <f>741692932/10^6</f>
      </c>
      <c r="F1412">
        <f>0</f>
      </c>
      <c r="G1412">
        <f>25970752/10^5</f>
      </c>
      <c r="H1412">
        <f>0</f>
      </c>
      <c r="I1412">
        <f>-4108567/10^5</f>
      </c>
      <c r="J1412">
        <f>0</f>
      </c>
    </row>
    <row r="1413">
      <c r="A1413" t="s">
        <v>1422</v>
      </c>
      <c r="B1413" t="s">
        <v>11</v>
      </c>
      <c r="C1413">
        <f>118959101563/10^6</f>
      </c>
      <c r="D1413">
        <f>0</f>
      </c>
      <c r="E1413">
        <f>742406494/10^6</f>
      </c>
      <c r="F1413">
        <f>0</f>
      </c>
      <c r="G1413">
        <f>259712372/10^6</f>
      </c>
      <c r="H1413">
        <f>0</f>
      </c>
      <c r="I1413">
        <f>-41240456/10^6</f>
      </c>
      <c r="J1413">
        <f>0</f>
      </c>
    </row>
    <row r="1414">
      <c r="A1414" t="s">
        <v>1423</v>
      </c>
      <c r="B1414" t="s">
        <v>11</v>
      </c>
      <c r="C1414">
        <f>118857148438/10^6</f>
      </c>
      <c r="D1414">
        <f>0</f>
      </c>
      <c r="E1414">
        <f>743226685/10^6</f>
      </c>
      <c r="F1414">
        <f>0</f>
      </c>
      <c r="G1414">
        <f>259739532/10^6</f>
      </c>
      <c r="H1414">
        <f>0</f>
      </c>
      <c r="I1414">
        <f>-41450954/10^6</f>
      </c>
      <c r="J1414">
        <f>0</f>
      </c>
    </row>
    <row r="1415">
      <c r="A1415" t="s">
        <v>1424</v>
      </c>
      <c r="B1415" t="s">
        <v>11</v>
      </c>
      <c r="C1415">
        <f>118770710938/10^6</f>
      </c>
      <c r="D1415">
        <f>0</f>
      </c>
      <c r="E1415">
        <f>743805481/10^6</f>
      </c>
      <c r="F1415">
        <f>0</f>
      </c>
      <c r="G1415">
        <f>259783142/10^6</f>
      </c>
      <c r="H1415">
        <f>0</f>
      </c>
      <c r="I1415">
        <f>-41694279/10^6</f>
      </c>
      <c r="J1415">
        <f>0</f>
      </c>
    </row>
    <row r="1416">
      <c r="A1416" t="s">
        <v>1425</v>
      </c>
      <c r="B1416" t="s">
        <v>11</v>
      </c>
      <c r="C1416">
        <f>118677773438/10^6</f>
      </c>
      <c r="D1416">
        <f>0</f>
      </c>
      <c r="E1416">
        <f>744317688/10^6</f>
      </c>
      <c r="F1416">
        <f>0</f>
      </c>
      <c r="G1416">
        <f>259769043/10^6</f>
      </c>
      <c r="H1416">
        <f>0</f>
      </c>
      <c r="I1416">
        <f>-41829456/10^6</f>
      </c>
      <c r="J1416">
        <f>0</f>
      </c>
    </row>
    <row r="1417">
      <c r="A1417" t="s">
        <v>1426</v>
      </c>
      <c r="B1417" t="s">
        <v>11</v>
      </c>
      <c r="C1417">
        <f>118528507813/10^6</f>
      </c>
      <c r="D1417">
        <f>0</f>
      </c>
      <c r="E1417">
        <f>745180664/10^6</f>
      </c>
      <c r="F1417">
        <f>0</f>
      </c>
      <c r="G1417">
        <f>259722137/10^6</f>
      </c>
      <c r="H1417">
        <f>0</f>
      </c>
      <c r="I1417">
        <f>-41909302/10^6</f>
      </c>
      <c r="J1417">
        <f>0</f>
      </c>
    </row>
    <row r="1418">
      <c r="A1418" t="s">
        <v>1427</v>
      </c>
      <c r="B1418" t="s">
        <v>11</v>
      </c>
      <c r="C1418">
        <f>118341414063/10^6</f>
      </c>
      <c r="D1418">
        <f>0</f>
      </c>
      <c r="E1418">
        <f>746266541/10^6</f>
      </c>
      <c r="F1418">
        <f>0</f>
      </c>
      <c r="G1418">
        <f>259681854/10^6</f>
      </c>
      <c r="H1418">
        <f>0</f>
      </c>
      <c r="I1418">
        <f>-42026081/10^6</f>
      </c>
      <c r="J1418">
        <f>0</f>
      </c>
    </row>
    <row r="1419">
      <c r="A1419" t="s">
        <v>1428</v>
      </c>
      <c r="B1419" t="s">
        <v>11</v>
      </c>
      <c r="C1419">
        <f>11813309375/10^5</f>
      </c>
      <c r="D1419">
        <f>0</f>
      </c>
      <c r="E1419">
        <f>747318726/10^6</f>
      </c>
      <c r="F1419">
        <f>0</f>
      </c>
      <c r="G1419">
        <f>259612061/10^6</f>
      </c>
      <c r="H1419">
        <f>0</f>
      </c>
      <c r="I1419">
        <f>-42253609/10^6</f>
      </c>
      <c r="J1419">
        <f>0</f>
      </c>
    </row>
    <row r="1420">
      <c r="A1420" t="s">
        <v>1429</v>
      </c>
      <c r="B1420" t="s">
        <v>11</v>
      </c>
      <c r="C1420">
        <f>11787471875/10^5</f>
      </c>
      <c r="D1420">
        <f>0</f>
      </c>
      <c r="E1420">
        <f>748624268/10^6</f>
      </c>
      <c r="F1420">
        <f>0</f>
      </c>
      <c r="G1420">
        <f>259552246/10^6</f>
      </c>
      <c r="H1420">
        <f>0</f>
      </c>
      <c r="I1420">
        <f>-42472454/10^6</f>
      </c>
      <c r="J1420">
        <f>0</f>
      </c>
    </row>
    <row r="1421">
      <c r="A1421" t="s">
        <v>1430</v>
      </c>
      <c r="B1421" t="s">
        <v>11</v>
      </c>
      <c r="C1421">
        <f>117581398438/10^6</f>
      </c>
      <c r="D1421">
        <f>0</f>
      </c>
      <c r="E1421">
        <f>750414001/10^6</f>
      </c>
      <c r="F1421">
        <f>0</f>
      </c>
      <c r="G1421">
        <f>259430695/10^6</f>
      </c>
      <c r="H1421">
        <f>0</f>
      </c>
      <c r="I1421">
        <f>-4275539/10^5</f>
      </c>
      <c r="J1421">
        <f>0</f>
      </c>
    </row>
    <row r="1422">
      <c r="A1422" t="s">
        <v>1431</v>
      </c>
      <c r="B1422" t="s">
        <v>11</v>
      </c>
      <c r="C1422">
        <f>117275453125/10^6</f>
      </c>
      <c r="D1422">
        <f>0</f>
      </c>
      <c r="E1422">
        <f>752212341/10^6</f>
      </c>
      <c r="F1422">
        <f>0</f>
      </c>
      <c r="G1422">
        <f>259201782/10^6</f>
      </c>
      <c r="H1422">
        <f>0</f>
      </c>
      <c r="I1422">
        <f>-43195217/10^6</f>
      </c>
      <c r="J1422">
        <f>0</f>
      </c>
    </row>
    <row r="1423">
      <c r="A1423" t="s">
        <v>1432</v>
      </c>
      <c r="B1423" t="s">
        <v>11</v>
      </c>
      <c r="C1423">
        <f>116910546875/10^6</f>
      </c>
      <c r="D1423">
        <f>0</f>
      </c>
      <c r="E1423">
        <f>754018982/10^6</f>
      </c>
      <c r="F1423">
        <f>0</f>
      </c>
      <c r="G1423">
        <f>259032043/10^6</f>
      </c>
      <c r="H1423">
        <f>0</f>
      </c>
      <c r="I1423">
        <f>-43534832/10^6</f>
      </c>
      <c r="J1423">
        <f>0</f>
      </c>
    </row>
    <row r="1424">
      <c r="A1424" t="s">
        <v>1433</v>
      </c>
      <c r="B1424" t="s">
        <v>11</v>
      </c>
      <c r="C1424">
        <f>116488164063/10^6</f>
      </c>
      <c r="D1424">
        <f>0</f>
      </c>
      <c r="E1424">
        <f>756382324/10^6</f>
      </c>
      <c r="F1424">
        <f>0</f>
      </c>
      <c r="G1424">
        <f>258882141/10^6</f>
      </c>
      <c r="H1424">
        <f>0</f>
      </c>
      <c r="I1424">
        <f>-44030426/10^6</f>
      </c>
      <c r="J1424">
        <f>0</f>
      </c>
    </row>
    <row r="1425">
      <c r="A1425" t="s">
        <v>1434</v>
      </c>
      <c r="B1425" t="s">
        <v>11</v>
      </c>
      <c r="C1425">
        <f>116095601563/10^6</f>
      </c>
      <c r="D1425">
        <f>0</f>
      </c>
      <c r="E1425">
        <f>758687683/10^6</f>
      </c>
      <c r="F1425">
        <f>0</f>
      </c>
      <c r="G1425">
        <f>258703339/10^6</f>
      </c>
      <c r="H1425">
        <f>0</f>
      </c>
      <c r="I1425">
        <f>-44637768/10^6</f>
      </c>
      <c r="J1425">
        <f>0</f>
      </c>
    </row>
    <row r="1426">
      <c r="A1426" t="s">
        <v>1435</v>
      </c>
      <c r="B1426" t="s">
        <v>11</v>
      </c>
      <c r="C1426">
        <f>115799164063/10^6</f>
      </c>
      <c r="D1426">
        <f>0</f>
      </c>
      <c r="E1426">
        <f>76021228/10^5</f>
      </c>
      <c r="F1426">
        <f>0</f>
      </c>
      <c r="G1426">
        <f>258539673/10^6</f>
      </c>
      <c r="H1426">
        <f>0</f>
      </c>
      <c r="I1426">
        <f>-44804214/10^6</f>
      </c>
      <c r="J1426">
        <f>0</f>
      </c>
    </row>
    <row r="1427">
      <c r="A1427" t="s">
        <v>1436</v>
      </c>
      <c r="B1427" t="s">
        <v>11</v>
      </c>
      <c r="C1427">
        <f>115550195313/10^6</f>
      </c>
      <c r="D1427">
        <f>0</f>
      </c>
      <c r="E1427">
        <f>762184875/10^6</f>
      </c>
      <c r="F1427">
        <f>0</f>
      </c>
      <c r="G1427">
        <f>258432373/10^6</f>
      </c>
      <c r="H1427">
        <f>0</f>
      </c>
      <c r="I1427">
        <f>-4491132/10^5</f>
      </c>
      <c r="J1427">
        <f>0</f>
      </c>
    </row>
    <row r="1428">
      <c r="A1428" t="s">
        <v>1437</v>
      </c>
      <c r="B1428" t="s">
        <v>11</v>
      </c>
      <c r="C1428">
        <f>11530496875/10^5</f>
      </c>
      <c r="D1428">
        <f>0</f>
      </c>
      <c r="E1428">
        <f>763244934/10^6</f>
      </c>
      <c r="F1428">
        <f>0</f>
      </c>
      <c r="G1428">
        <f>25834201/10^5</f>
      </c>
      <c r="H1428">
        <f>0</f>
      </c>
      <c r="I1428">
        <f>-44950054/10^6</f>
      </c>
      <c r="J1428">
        <f>0</f>
      </c>
    </row>
    <row r="1429">
      <c r="A1429" t="s">
        <v>1438</v>
      </c>
      <c r="B1429" t="s">
        <v>11</v>
      </c>
      <c r="C1429">
        <f>115306125/10^3</f>
      </c>
      <c r="D1429">
        <f>0</f>
      </c>
      <c r="E1429">
        <f>759486633/10^6</f>
      </c>
      <c r="F1429">
        <f>0</f>
      </c>
      <c r="G1429">
        <f>25770047/10^5</f>
      </c>
      <c r="H1429">
        <f>0</f>
      </c>
      <c r="I1429">
        <f>-44375923/10^6</f>
      </c>
      <c r="J1429">
        <f>0</f>
      </c>
    </row>
    <row r="1430">
      <c r="A1430" t="s">
        <v>1439</v>
      </c>
      <c r="B1430" t="s">
        <v>11</v>
      </c>
      <c r="C1430">
        <f>115664679688/10^6</f>
      </c>
      <c r="D1430">
        <f>0</f>
      </c>
      <c r="E1430">
        <f>755143677/10^6</f>
      </c>
      <c r="F1430">
        <f>0</f>
      </c>
      <c r="G1430">
        <f>256744965/10^6</f>
      </c>
      <c r="H1430">
        <f>0</f>
      </c>
      <c r="I1430">
        <f>-43810883/10^6</f>
      </c>
      <c r="J1430">
        <f>0</f>
      </c>
    </row>
    <row r="1431">
      <c r="A1431" t="s">
        <v>1440</v>
      </c>
      <c r="B1431" t="s">
        <v>11</v>
      </c>
      <c r="C1431">
        <f>115948578125/10^6</f>
      </c>
      <c r="D1431">
        <f>0</f>
      </c>
      <c r="E1431">
        <f>756210938/10^6</f>
      </c>
      <c r="F1431">
        <f>0</f>
      </c>
      <c r="G1431">
        <f>256930084/10^6</f>
      </c>
      <c r="H1431">
        <f>0</f>
      </c>
      <c r="I1431">
        <f>-43201252/10^6</f>
      </c>
      <c r="J1431">
        <f>0</f>
      </c>
    </row>
    <row r="1432">
      <c r="A1432" t="s">
        <v>1441</v>
      </c>
      <c r="B1432" t="s">
        <v>11</v>
      </c>
      <c r="C1432">
        <f>115923351563/10^6</f>
      </c>
      <c r="D1432">
        <f>0</f>
      </c>
      <c r="E1432">
        <f>758859985/10^6</f>
      </c>
      <c r="F1432">
        <f>0</f>
      </c>
      <c r="G1432">
        <f>258154999/10^6</f>
      </c>
      <c r="H1432">
        <f>0</f>
      </c>
      <c r="I1432">
        <f>-41890095/10^6</f>
      </c>
      <c r="J1432">
        <f>0</f>
      </c>
    </row>
    <row r="1433">
      <c r="A1433" t="s">
        <v>1442</v>
      </c>
      <c r="B1433" t="s">
        <v>11</v>
      </c>
      <c r="C1433">
        <f>115845203125/10^6</f>
      </c>
      <c r="D1433">
        <f>0</f>
      </c>
      <c r="E1433">
        <f>75922644/10^5</f>
      </c>
      <c r="F1433">
        <f>0</f>
      </c>
      <c r="G1433">
        <f>258812744/10^6</f>
      </c>
      <c r="H1433">
        <f>0</f>
      </c>
      <c r="I1433">
        <f>-41032345/10^6</f>
      </c>
      <c r="J1433">
        <f>0</f>
      </c>
    </row>
    <row r="1434">
      <c r="A1434" t="s">
        <v>1443</v>
      </c>
      <c r="B1434" t="s">
        <v>11</v>
      </c>
      <c r="C1434">
        <f>115818007813/10^6</f>
      </c>
      <c r="D1434">
        <f>0</f>
      </c>
      <c r="E1434">
        <f>759178894/10^6</f>
      </c>
      <c r="F1434">
        <f>0</f>
      </c>
      <c r="G1434">
        <f>258672028/10^6</f>
      </c>
      <c r="H1434">
        <f>0</f>
      </c>
      <c r="I1434">
        <f>-41213493/10^6</f>
      </c>
      <c r="J1434">
        <f>0</f>
      </c>
    </row>
    <row r="1435">
      <c r="A1435" t="s">
        <v>1444</v>
      </c>
      <c r="B1435" t="s">
        <v>11</v>
      </c>
      <c r="C1435">
        <f>11574996875/10^5</f>
      </c>
      <c r="D1435">
        <f>0</f>
      </c>
      <c r="E1435">
        <f>759876526/10^6</f>
      </c>
      <c r="F1435">
        <f>0</f>
      </c>
      <c r="G1435">
        <f>258549255/10^6</f>
      </c>
      <c r="H1435">
        <f>0</f>
      </c>
      <c r="I1435">
        <f>-41389801/10^6</f>
      </c>
      <c r="J1435">
        <f>0</f>
      </c>
    </row>
    <row r="1436">
      <c r="A1436" t="s">
        <v>1445</v>
      </c>
      <c r="B1436" t="s">
        <v>11</v>
      </c>
      <c r="C1436">
        <f>115677734375/10^6</f>
      </c>
      <c r="D1436">
        <f>0</f>
      </c>
      <c r="E1436">
        <f>760954224/10^6</f>
      </c>
      <c r="F1436">
        <f>0</f>
      </c>
      <c r="G1436">
        <f>258661865/10^6</f>
      </c>
      <c r="H1436">
        <f>0</f>
      </c>
      <c r="I1436">
        <f>-41421455/10^6</f>
      </c>
      <c r="J1436">
        <f>0</f>
      </c>
    </row>
    <row r="1437">
      <c r="A1437" t="s">
        <v>1446</v>
      </c>
      <c r="B1437" t="s">
        <v>11</v>
      </c>
      <c r="C1437">
        <f>115704773438/10^6</f>
      </c>
      <c r="D1437">
        <f>0</f>
      </c>
      <c r="E1437">
        <f>76181488/10^5</f>
      </c>
      <c r="F1437">
        <f>0</f>
      </c>
      <c r="G1437">
        <f>258797119/10^6</f>
      </c>
      <c r="H1437">
        <f>0</f>
      </c>
      <c r="I1437">
        <f>-41687237/10^6</f>
      </c>
      <c r="J1437">
        <f>0</f>
      </c>
    </row>
    <row r="1438">
      <c r="A1438" t="s">
        <v>1447</v>
      </c>
      <c r="B1438" t="s">
        <v>11</v>
      </c>
      <c r="C1438">
        <f>115859585938/10^6</f>
      </c>
      <c r="D1438">
        <f>0</f>
      </c>
      <c r="E1438">
        <f>761552551/10^6</f>
      </c>
      <c r="F1438">
        <f>0</f>
      </c>
      <c r="G1438">
        <f>258897278/10^6</f>
      </c>
      <c r="H1438">
        <f>0</f>
      </c>
      <c r="I1438">
        <f>-41833839/10^6</f>
      </c>
      <c r="J1438">
        <f>0</f>
      </c>
    </row>
    <row r="1439">
      <c r="A1439" t="s">
        <v>1448</v>
      </c>
      <c r="B1439" t="s">
        <v>11</v>
      </c>
      <c r="C1439">
        <f>116094648438/10^6</f>
      </c>
      <c r="D1439">
        <f>0</f>
      </c>
      <c r="E1439">
        <f>760205627/10^6</f>
      </c>
      <c r="F1439">
        <f>0</f>
      </c>
      <c r="G1439">
        <f>259177155/10^6</f>
      </c>
      <c r="H1439">
        <f>0</f>
      </c>
      <c r="I1439">
        <f>-41593346/10^6</f>
      </c>
      <c r="J1439">
        <f>0</f>
      </c>
    </row>
    <row r="1440">
      <c r="A1440" t="s">
        <v>1449</v>
      </c>
      <c r="B1440" t="s">
        <v>11</v>
      </c>
      <c r="C1440">
        <f>116336242188/10^6</f>
      </c>
      <c r="D1440">
        <f>0</f>
      </c>
      <c r="E1440">
        <f>758700562/10^6</f>
      </c>
      <c r="F1440">
        <f>0</f>
      </c>
      <c r="G1440">
        <f>25952594/10^5</f>
      </c>
      <c r="H1440">
        <f>0</f>
      </c>
      <c r="I1440">
        <f>-413442/10^4</f>
      </c>
      <c r="J1440">
        <f>0</f>
      </c>
    </row>
    <row r="1441">
      <c r="A1441" t="s">
        <v>1450</v>
      </c>
      <c r="B1441" t="s">
        <v>11</v>
      </c>
      <c r="C1441">
        <f>116538273438/10^6</f>
      </c>
      <c r="D1441">
        <f>0</f>
      </c>
      <c r="E1441">
        <f>757557434/10^6</f>
      </c>
      <c r="F1441">
        <f>0</f>
      </c>
      <c r="G1441">
        <f>259665619/10^6</f>
      </c>
      <c r="H1441">
        <f>0</f>
      </c>
      <c r="I1441">
        <f>-41176903/10^6</f>
      </c>
      <c r="J1441">
        <f>0</f>
      </c>
    </row>
    <row r="1442">
      <c r="A1442" t="s">
        <v>1451</v>
      </c>
      <c r="B1442" t="s">
        <v>11</v>
      </c>
      <c r="C1442">
        <f>116716140625/10^6</f>
      </c>
      <c r="D1442">
        <f>0</f>
      </c>
      <c r="E1442">
        <f>756803833/10^6</f>
      </c>
      <c r="F1442">
        <f>0</f>
      </c>
      <c r="G1442">
        <f>259708466/10^6</f>
      </c>
      <c r="H1442">
        <f>0</f>
      </c>
      <c r="I1442">
        <f>-40829514/10^6</f>
      </c>
      <c r="J1442">
        <f>0</f>
      </c>
    </row>
    <row r="1443">
      <c r="A1443" t="s">
        <v>1452</v>
      </c>
      <c r="B1443" t="s">
        <v>11</v>
      </c>
      <c r="C1443">
        <f>116905296875/10^6</f>
      </c>
      <c r="D1443">
        <f>0</f>
      </c>
      <c r="E1443">
        <f>756218323/10^6</f>
      </c>
      <c r="F1443">
        <f>0</f>
      </c>
      <c r="G1443">
        <f>259806976/10^6</f>
      </c>
      <c r="H1443">
        <f>0</f>
      </c>
      <c r="I1443">
        <f>-40584164/10^6</f>
      </c>
      <c r="J1443">
        <f>0</f>
      </c>
    </row>
    <row r="1444">
      <c r="A1444" t="s">
        <v>1453</v>
      </c>
      <c r="B1444" t="s">
        <v>11</v>
      </c>
      <c r="C1444">
        <f>117114554688/10^6</f>
      </c>
      <c r="D1444">
        <f>0</f>
      </c>
      <c r="E1444">
        <f>755357788/10^6</f>
      </c>
      <c r="F1444">
        <f>0</f>
      </c>
      <c r="G1444">
        <f>260004242/10^6</f>
      </c>
      <c r="H1444">
        <f>0</f>
      </c>
      <c r="I1444">
        <f>-4072303/10^5</f>
      </c>
      <c r="J1444">
        <f>0</f>
      </c>
    </row>
    <row r="1445">
      <c r="A1445" t="s">
        <v>1454</v>
      </c>
      <c r="B1445" t="s">
        <v>11</v>
      </c>
      <c r="C1445">
        <f>117353609375/10^6</f>
      </c>
      <c r="D1445">
        <f>0</f>
      </c>
      <c r="E1445">
        <f>754263794/10^6</f>
      </c>
      <c r="F1445">
        <f>0</f>
      </c>
      <c r="G1445">
        <f>260187378/10^6</f>
      </c>
      <c r="H1445">
        <f>0</f>
      </c>
      <c r="I1445">
        <f>-40926575/10^6</f>
      </c>
      <c r="J1445">
        <f>0</f>
      </c>
    </row>
    <row r="1446">
      <c r="A1446" t="s">
        <v>1455</v>
      </c>
      <c r="B1446" t="s">
        <v>11</v>
      </c>
      <c r="C1446">
        <f>1176551875/10^4</f>
      </c>
      <c r="D1446">
        <f>0</f>
      </c>
      <c r="E1446">
        <f>753208252/10^6</f>
      </c>
      <c r="F1446">
        <f>0</f>
      </c>
      <c r="G1446">
        <f>260417297/10^6</f>
      </c>
      <c r="H1446">
        <f>0</f>
      </c>
      <c r="I1446">
        <f>-40814373/10^6</f>
      </c>
      <c r="J1446">
        <f>0</f>
      </c>
    </row>
    <row r="1447">
      <c r="A1447" t="s">
        <v>1456</v>
      </c>
      <c r="B1447" t="s">
        <v>11</v>
      </c>
      <c r="C1447">
        <f>118034820313/10^6</f>
      </c>
      <c r="D1447">
        <f>0</f>
      </c>
      <c r="E1447">
        <f>7517146/10^4</f>
      </c>
      <c r="F1447">
        <f>0</f>
      </c>
      <c r="G1447">
        <f>260800537/10^6</f>
      </c>
      <c r="H1447">
        <f>0</f>
      </c>
      <c r="I1447">
        <f>-40579163/10^6</f>
      </c>
      <c r="J1447">
        <f>0</f>
      </c>
    </row>
    <row r="1448">
      <c r="A1448" t="s">
        <v>1457</v>
      </c>
      <c r="B1448" t="s">
        <v>11</v>
      </c>
      <c r="C1448">
        <f>118471242188/10^6</f>
      </c>
      <c r="D1448">
        <f>0</f>
      </c>
      <c r="E1448">
        <f>749526062/10^6</f>
      </c>
      <c r="F1448">
        <f>0</f>
      </c>
      <c r="G1448">
        <f>261095551/10^6</f>
      </c>
      <c r="H1448">
        <f>0</f>
      </c>
      <c r="I1448">
        <f>-40380539/10^6</f>
      </c>
      <c r="J1448">
        <f>0</f>
      </c>
    </row>
    <row r="1449">
      <c r="A1449" t="s">
        <v>1458</v>
      </c>
      <c r="B1449" t="s">
        <v>11</v>
      </c>
      <c r="C1449">
        <f>118958960938/10^6</f>
      </c>
      <c r="D1449">
        <f>0</f>
      </c>
      <c r="E1449">
        <f>747048889/10^6</f>
      </c>
      <c r="F1449">
        <f>0</f>
      </c>
      <c r="G1449">
        <f>261367889/10^6</f>
      </c>
      <c r="H1449">
        <f>0</f>
      </c>
      <c r="I1449">
        <f>-39913002/10^6</f>
      </c>
      <c r="J1449">
        <f>0</f>
      </c>
    </row>
    <row r="1450">
      <c r="A1450" t="s">
        <v>1459</v>
      </c>
      <c r="B1450" t="s">
        <v>11</v>
      </c>
      <c r="C1450">
        <f>119504164063/10^6</f>
      </c>
      <c r="D1450">
        <f>0</f>
      </c>
      <c r="E1450">
        <f>744306274/10^6</f>
      </c>
      <c r="F1450">
        <f>0</f>
      </c>
      <c r="G1450">
        <f>261671906/10^6</f>
      </c>
      <c r="H1450">
        <f>0</f>
      </c>
      <c r="I1450">
        <f>-39420265/10^6</f>
      </c>
      <c r="J1450">
        <f>0</f>
      </c>
    </row>
    <row r="1451">
      <c r="A1451" t="s">
        <v>1460</v>
      </c>
      <c r="B1451" t="s">
        <v>11</v>
      </c>
      <c r="C1451">
        <f>120073859375/10^6</f>
      </c>
      <c r="D1451">
        <f>0</f>
      </c>
      <c r="E1451">
        <f>741268677/10^6</f>
      </c>
      <c r="F1451">
        <f>0</f>
      </c>
      <c r="G1451">
        <f>261902985/10^6</f>
      </c>
      <c r="H1451">
        <f>0</f>
      </c>
      <c r="I1451">
        <f>-3893343/10^5</f>
      </c>
      <c r="J1451">
        <f>0</f>
      </c>
    </row>
    <row r="1452">
      <c r="A1452" t="s">
        <v>1461</v>
      </c>
      <c r="B1452" t="s">
        <v>11</v>
      </c>
      <c r="C1452">
        <f>120618945313/10^6</f>
      </c>
      <c r="D1452">
        <f>0</f>
      </c>
      <c r="E1452">
        <f>738259338/10^6</f>
      </c>
      <c r="F1452">
        <f>0</f>
      </c>
      <c r="G1452">
        <f>262199158/10^6</f>
      </c>
      <c r="H1452">
        <f>0</f>
      </c>
      <c r="I1452">
        <f>-38146427/10^6</f>
      </c>
      <c r="J1452">
        <f>0</f>
      </c>
    </row>
    <row r="1453">
      <c r="A1453" t="s">
        <v>1462</v>
      </c>
      <c r="B1453" t="s">
        <v>11</v>
      </c>
      <c r="C1453">
        <f>121115710938/10^6</f>
      </c>
      <c r="D1453">
        <f>0</f>
      </c>
      <c r="E1453">
        <f>73549762/10^5</f>
      </c>
      <c r="F1453">
        <f>0</f>
      </c>
      <c r="G1453">
        <f>262422241/10^6</f>
      </c>
      <c r="H1453">
        <f>0</f>
      </c>
      <c r="I1453">
        <f>-37554882/10^6</f>
      </c>
      <c r="J1453">
        <f>0</f>
      </c>
    </row>
    <row r="1454">
      <c r="A1454" t="s">
        <v>1463</v>
      </c>
      <c r="B1454" t="s">
        <v>11</v>
      </c>
      <c r="C1454">
        <f>121549570313/10^6</f>
      </c>
      <c r="D1454">
        <f>0</f>
      </c>
      <c r="E1454">
        <f>7328927/10^4</f>
      </c>
      <c r="F1454">
        <f>0</f>
      </c>
      <c r="G1454">
        <f>262552216/10^6</f>
      </c>
      <c r="H1454">
        <f>0</f>
      </c>
      <c r="I1454">
        <f>-37112995/10^6</f>
      </c>
      <c r="J1454">
        <f>0</f>
      </c>
    </row>
    <row r="1455">
      <c r="A1455" t="s">
        <v>1464</v>
      </c>
      <c r="B1455" t="s">
        <v>11</v>
      </c>
      <c r="C1455">
        <f>1218945625/10^4</f>
      </c>
      <c r="D1455">
        <f>0</f>
      </c>
      <c r="E1455">
        <f>730427612/10^6</f>
      </c>
      <c r="F1455">
        <f>0</f>
      </c>
      <c r="G1455">
        <f>262731628/10^6</f>
      </c>
      <c r="H1455">
        <f>0</f>
      </c>
      <c r="I1455">
        <f>-36591179/10^6</f>
      </c>
      <c r="J1455">
        <f>0</f>
      </c>
    </row>
    <row r="1456">
      <c r="A1456" t="s">
        <v>1465</v>
      </c>
      <c r="B1456" t="s">
        <v>11</v>
      </c>
      <c r="C1456">
        <f>122141289063/10^6</f>
      </c>
      <c r="D1456">
        <f>0</f>
      </c>
      <c r="E1456">
        <f>728525757/10^6</f>
      </c>
      <c r="F1456">
        <f>0</f>
      </c>
      <c r="G1456">
        <f>262718262/10^6</f>
      </c>
      <c r="H1456">
        <f>0</f>
      </c>
      <c r="I1456">
        <f>-36314571/10^6</f>
      </c>
      <c r="J1456">
        <f>0</f>
      </c>
    </row>
    <row r="1457">
      <c r="A1457" t="s">
        <v>1466</v>
      </c>
      <c r="B1457" t="s">
        <v>11</v>
      </c>
      <c r="C1457">
        <f>122298335938/10^6</f>
      </c>
      <c r="D1457">
        <f>0</f>
      </c>
      <c r="E1457">
        <f>727370178/10^6</f>
      </c>
      <c r="F1457">
        <f>0</f>
      </c>
      <c r="G1457">
        <f>262546448/10^6</f>
      </c>
      <c r="H1457">
        <f>0</f>
      </c>
      <c r="I1457">
        <f>-36079208/10^6</f>
      </c>
      <c r="J1457">
        <f>0</f>
      </c>
    </row>
    <row r="1458">
      <c r="A1458" t="s">
        <v>1467</v>
      </c>
      <c r="B1458" t="s">
        <v>11</v>
      </c>
      <c r="C1458">
        <f>122362226563/10^6</f>
      </c>
      <c r="D1458">
        <f>0</f>
      </c>
      <c r="E1458">
        <f>726590698/10^6</f>
      </c>
      <c r="F1458">
        <f>0</f>
      </c>
      <c r="G1458">
        <f>262444946/10^6</f>
      </c>
      <c r="H1458">
        <f>0</f>
      </c>
      <c r="I1458">
        <f>-35881168/10^6</f>
      </c>
      <c r="J1458">
        <f>0</f>
      </c>
    </row>
    <row r="1459">
      <c r="A1459" t="s">
        <v>1468</v>
      </c>
      <c r="B1459" t="s">
        <v>11</v>
      </c>
      <c r="C1459">
        <f>12234946875/10^5</f>
      </c>
      <c r="D1459">
        <f>0</f>
      </c>
      <c r="E1459">
        <f>725983093/10^6</f>
      </c>
      <c r="F1459">
        <f>0</f>
      </c>
      <c r="G1459">
        <f>262263733/10^6</f>
      </c>
      <c r="H1459">
        <f>0</f>
      </c>
      <c r="I1459">
        <f>-35933346/10^6</f>
      </c>
      <c r="J1459">
        <f>0</f>
      </c>
    </row>
    <row r="1460">
      <c r="A1460" t="s">
        <v>1469</v>
      </c>
      <c r="B1460" t="s">
        <v>11</v>
      </c>
      <c r="C1460">
        <f>12232625/10^2</f>
      </c>
      <c r="D1460">
        <f>0</f>
      </c>
      <c r="E1460">
        <f>725728882/10^6</f>
      </c>
      <c r="F1460">
        <f>0</f>
      </c>
      <c r="G1460">
        <f>262025879/10^6</f>
      </c>
      <c r="H1460">
        <f>0</f>
      </c>
      <c r="I1460">
        <f>-35993473/10^6</f>
      </c>
      <c r="J1460">
        <f>0</f>
      </c>
    </row>
    <row r="1461">
      <c r="A1461" t="s">
        <v>1470</v>
      </c>
      <c r="B1461" t="s">
        <v>11</v>
      </c>
      <c r="C1461">
        <f>122352757813/10^6</f>
      </c>
      <c r="D1461">
        <f>0</f>
      </c>
      <c r="E1461">
        <f>725693909/10^6</f>
      </c>
      <c r="F1461">
        <f>0</f>
      </c>
      <c r="G1461">
        <f>261936218/10^6</f>
      </c>
      <c r="H1461">
        <f>0</f>
      </c>
      <c r="I1461">
        <f>-36051647/10^6</f>
      </c>
      <c r="J1461">
        <f>0</f>
      </c>
    </row>
    <row r="1462">
      <c r="A1462" t="s">
        <v>1471</v>
      </c>
      <c r="B1462" t="s">
        <v>11</v>
      </c>
      <c r="C1462">
        <f>122404828125/10^6</f>
      </c>
      <c r="D1462">
        <f>0</f>
      </c>
      <c r="E1462">
        <f>725493652/10^6</f>
      </c>
      <c r="F1462">
        <f>0</f>
      </c>
      <c r="G1462">
        <f>261933136/10^6</f>
      </c>
      <c r="H1462">
        <f>0</f>
      </c>
      <c r="I1462">
        <f>-36206944/10^6</f>
      </c>
      <c r="J1462">
        <f>0</f>
      </c>
    </row>
    <row r="1463">
      <c r="A1463" t="s">
        <v>1472</v>
      </c>
      <c r="B1463" t="s">
        <v>11</v>
      </c>
      <c r="C1463">
        <f>122402664063/10^6</f>
      </c>
      <c r="D1463">
        <f>0</f>
      </c>
      <c r="E1463">
        <f>725210022/10^6</f>
      </c>
      <c r="F1463">
        <f>0</f>
      </c>
      <c r="G1463">
        <f>261883148/10^6</f>
      </c>
      <c r="H1463">
        <f>0</f>
      </c>
      <c r="I1463">
        <f>-36326633/10^6</f>
      </c>
      <c r="J1463">
        <f>0</f>
      </c>
    </row>
    <row r="1464">
      <c r="A1464" t="s">
        <v>1473</v>
      </c>
      <c r="B1464" t="s">
        <v>11</v>
      </c>
      <c r="C1464">
        <f>122303804688/10^6</f>
      </c>
      <c r="D1464">
        <f>0</f>
      </c>
      <c r="E1464">
        <f>725169739/10^6</f>
      </c>
      <c r="F1464">
        <f>0</f>
      </c>
      <c r="G1464">
        <f>26172876/10^5</f>
      </c>
      <c r="H1464">
        <f>0</f>
      </c>
      <c r="I1464">
        <f>-3636153/10^5</f>
      </c>
      <c r="J1464">
        <f>0</f>
      </c>
    </row>
    <row r="1465">
      <c r="A1465" t="s">
        <v>1474</v>
      </c>
      <c r="B1465" t="s">
        <v>11</v>
      </c>
      <c r="C1465">
        <f>122126828125/10^6</f>
      </c>
      <c r="D1465">
        <f>0</f>
      </c>
      <c r="E1465">
        <f>725672852/10^6</f>
      </c>
      <c r="F1465">
        <f>0</f>
      </c>
      <c r="G1465">
        <f>261574646/10^6</f>
      </c>
      <c r="H1465">
        <f>0</f>
      </c>
      <c r="I1465">
        <f>-36368267/10^6</f>
      </c>
      <c r="J1465">
        <f>0</f>
      </c>
    </row>
    <row r="1466">
      <c r="A1466" t="s">
        <v>1475</v>
      </c>
      <c r="B1466" t="s">
        <v>11</v>
      </c>
      <c r="C1466">
        <f>121900703125/10^6</f>
      </c>
      <c r="D1466">
        <f>0</f>
      </c>
      <c r="E1466">
        <f>72669928/10^5</f>
      </c>
      <c r="F1466">
        <f>0</f>
      </c>
      <c r="G1466">
        <f>261439545/10^6</f>
      </c>
      <c r="H1466">
        <f>0</f>
      </c>
      <c r="I1466">
        <f>-36542435/10^6</f>
      </c>
      <c r="J1466">
        <f>0</f>
      </c>
    </row>
    <row r="1467">
      <c r="A1467" t="s">
        <v>1476</v>
      </c>
      <c r="B1467" t="s">
        <v>11</v>
      </c>
      <c r="C1467">
        <f>121640609375/10^6</f>
      </c>
      <c r="D1467">
        <f>0</f>
      </c>
      <c r="E1467">
        <f>727949524/10^6</f>
      </c>
      <c r="F1467">
        <f>0</f>
      </c>
      <c r="G1467">
        <f>261219849/10^6</f>
      </c>
      <c r="H1467">
        <f>0</f>
      </c>
      <c r="I1467">
        <f>-36847404/10^6</f>
      </c>
      <c r="J1467">
        <f>0</f>
      </c>
    </row>
    <row r="1468">
      <c r="A1468" t="s">
        <v>1477</v>
      </c>
      <c r="B1468" t="s">
        <v>11</v>
      </c>
      <c r="C1468">
        <f>121375929688/10^6</f>
      </c>
      <c r="D1468">
        <f>0</f>
      </c>
      <c r="E1468">
        <f>729463745/10^6</f>
      </c>
      <c r="F1468">
        <f>0</f>
      </c>
      <c r="G1468">
        <f>261053467/10^6</f>
      </c>
      <c r="H1468">
        <f>0</f>
      </c>
      <c r="I1468">
        <f>-37089249/10^6</f>
      </c>
      <c r="J1468">
        <f>0</f>
      </c>
    </row>
    <row r="1469">
      <c r="A1469" t="s">
        <v>1478</v>
      </c>
      <c r="B1469" t="s">
        <v>11</v>
      </c>
      <c r="C1469">
        <f>121140789063/10^6</f>
      </c>
      <c r="D1469">
        <f>0</f>
      </c>
      <c r="E1469">
        <f>730990112/10^6</f>
      </c>
      <c r="F1469">
        <f>0</f>
      </c>
      <c r="G1469">
        <f>260981781/10^6</f>
      </c>
      <c r="H1469">
        <f>0</f>
      </c>
      <c r="I1469">
        <f>-37527008/10^6</f>
      </c>
      <c r="J1469">
        <f>0</f>
      </c>
    </row>
    <row r="1470">
      <c r="A1470" t="s">
        <v>1479</v>
      </c>
      <c r="B1470" t="s">
        <v>11</v>
      </c>
      <c r="C1470">
        <f>12093571875/10^5</f>
      </c>
      <c r="D1470">
        <f>0</f>
      </c>
      <c r="E1470">
        <f>732161194/10^6</f>
      </c>
      <c r="F1470">
        <f>0</f>
      </c>
      <c r="G1470">
        <f>260911774/10^6</f>
      </c>
      <c r="H1470">
        <f>0</f>
      </c>
      <c r="I1470">
        <f>-38037685/10^6</f>
      </c>
      <c r="J1470">
        <f>0</f>
      </c>
    </row>
    <row r="1471">
      <c r="A1471" t="s">
        <v>1480</v>
      </c>
      <c r="B1471" t="s">
        <v>11</v>
      </c>
      <c r="C1471">
        <f>120723421875/10^6</f>
      </c>
      <c r="D1471">
        <f>0</f>
      </c>
      <c r="E1471">
        <f>733279053/10^6</f>
      </c>
      <c r="F1471">
        <f>0</f>
      </c>
      <c r="G1471">
        <f>26082312/10^5</f>
      </c>
      <c r="H1471">
        <f>0</f>
      </c>
      <c r="I1471">
        <f>-3834169/10^5</f>
      </c>
      <c r="J1471">
        <f>0</f>
      </c>
    </row>
    <row r="1472">
      <c r="A1472" t="s">
        <v>1481</v>
      </c>
      <c r="B1472" t="s">
        <v>11</v>
      </c>
      <c r="C1472">
        <f>1204943125/10^4</f>
      </c>
      <c r="D1472">
        <f>0</f>
      </c>
      <c r="E1472">
        <f>734554382/10^6</f>
      </c>
      <c r="F1472">
        <f>0</f>
      </c>
      <c r="G1472">
        <f>260678009/10^6</f>
      </c>
      <c r="H1472">
        <f>0</f>
      </c>
      <c r="I1472">
        <f>-38663383/10^6</f>
      </c>
      <c r="J1472">
        <f>0</f>
      </c>
    </row>
    <row r="1473">
      <c r="A1473" t="s">
        <v>1482</v>
      </c>
      <c r="B1473" t="s">
        <v>11</v>
      </c>
      <c r="C1473">
        <f>12029115625/10^5</f>
      </c>
      <c r="D1473">
        <f>0</f>
      </c>
      <c r="E1473">
        <f>735830566/10^6</f>
      </c>
      <c r="F1473">
        <f>0</f>
      </c>
      <c r="G1473">
        <f>260576294/10^6</f>
      </c>
      <c r="H1473">
        <f>0</f>
      </c>
      <c r="I1473">
        <f>-38954807/10^6</f>
      </c>
      <c r="J1473">
        <f>0</f>
      </c>
    </row>
    <row r="1474">
      <c r="A1474" t="s">
        <v>1483</v>
      </c>
      <c r="B1474" t="s">
        <v>11</v>
      </c>
      <c r="C1474">
        <f>120110742188/10^6</f>
      </c>
      <c r="D1474">
        <f>0</f>
      </c>
      <c r="E1474">
        <f>736984497/10^6</f>
      </c>
      <c r="F1474">
        <f>0</f>
      </c>
      <c r="G1474">
        <f>260583832/10^6</f>
      </c>
      <c r="H1474">
        <f>0</f>
      </c>
      <c r="I1474">
        <f>-39205387/10^6</f>
      </c>
      <c r="J1474">
        <f>0</f>
      </c>
    </row>
    <row r="1475">
      <c r="A1475" t="s">
        <v>1484</v>
      </c>
      <c r="B1475" t="s">
        <v>11</v>
      </c>
      <c r="C1475">
        <f>119913945313/10^6</f>
      </c>
      <c r="D1475">
        <f>0</f>
      </c>
      <c r="E1475">
        <f>738088501/10^6</f>
      </c>
      <c r="F1475">
        <f>0</f>
      </c>
      <c r="G1475">
        <f>260600159/10^6</f>
      </c>
      <c r="H1475">
        <f>0</f>
      </c>
      <c r="I1475">
        <f>-39470917/10^6</f>
      </c>
      <c r="J1475">
        <f>0</f>
      </c>
    </row>
    <row r="1476">
      <c r="A1476" t="s">
        <v>1485</v>
      </c>
      <c r="B1476" t="s">
        <v>11</v>
      </c>
      <c r="C1476">
        <f>119695898438/10^6</f>
      </c>
      <c r="D1476">
        <f>0</f>
      </c>
      <c r="E1476">
        <f>739377136/10^6</f>
      </c>
      <c r="F1476">
        <f>0</f>
      </c>
      <c r="G1476">
        <f>260568207/10^6</f>
      </c>
      <c r="H1476">
        <f>0</f>
      </c>
      <c r="I1476">
        <f>-39702583/10^6</f>
      </c>
      <c r="J1476">
        <f>0</f>
      </c>
    </row>
    <row r="1477">
      <c r="A1477" t="s">
        <v>1486</v>
      </c>
      <c r="B1477" t="s">
        <v>11</v>
      </c>
      <c r="C1477">
        <f>119468078125/10^6</f>
      </c>
      <c r="D1477">
        <f>0</f>
      </c>
      <c r="E1477">
        <f>740714233/10^6</f>
      </c>
      <c r="F1477">
        <f>0</f>
      </c>
      <c r="G1477">
        <f>260511414/10^6</f>
      </c>
      <c r="H1477">
        <f>0</f>
      </c>
      <c r="I1477">
        <f>-39970455/10^6</f>
      </c>
      <c r="J1477">
        <f>0</f>
      </c>
    </row>
    <row r="1478">
      <c r="A1478" t="s">
        <v>1487</v>
      </c>
      <c r="B1478" t="s">
        <v>11</v>
      </c>
      <c r="C1478">
        <f>119253554688/10^6</f>
      </c>
      <c r="D1478">
        <f>0</f>
      </c>
      <c r="E1478">
        <f>741832886/10^6</f>
      </c>
      <c r="F1478">
        <f>0</f>
      </c>
      <c r="G1478">
        <f>26047049/10^5</f>
      </c>
      <c r="H1478">
        <f>0</f>
      </c>
      <c r="I1478">
        <f>-40207623/10^6</f>
      </c>
      <c r="J1478">
        <f>0</f>
      </c>
    </row>
    <row r="1479">
      <c r="A1479" t="s">
        <v>1488</v>
      </c>
      <c r="B1479" t="s">
        <v>11</v>
      </c>
      <c r="C1479">
        <f>119060015625/10^6</f>
      </c>
      <c r="D1479">
        <f>0</f>
      </c>
      <c r="E1479">
        <f>743054199/10^6</f>
      </c>
      <c r="F1479">
        <f>0</f>
      </c>
      <c r="G1479">
        <f>260430756/10^6</f>
      </c>
      <c r="H1479">
        <f>0</f>
      </c>
      <c r="I1479">
        <f>-40511295/10^6</f>
      </c>
      <c r="J1479">
        <f>0</f>
      </c>
    </row>
    <row r="1480">
      <c r="A1480" t="s">
        <v>1489</v>
      </c>
      <c r="B1480" t="s">
        <v>11</v>
      </c>
      <c r="C1480">
        <f>118868148438/10^6</f>
      </c>
      <c r="D1480">
        <f>0</f>
      </c>
      <c r="E1480">
        <f>744490662/10^6</f>
      </c>
      <c r="F1480">
        <f>0</f>
      </c>
      <c r="G1480">
        <f>260387878/10^6</f>
      </c>
      <c r="H1480">
        <f>0</f>
      </c>
      <c r="I1480">
        <f>-40846333/10^6</f>
      </c>
      <c r="J1480">
        <f>0</f>
      </c>
    </row>
    <row r="1481">
      <c r="A1481" t="s">
        <v>1490</v>
      </c>
      <c r="B1481" t="s">
        <v>11</v>
      </c>
      <c r="C1481">
        <f>1186724375/10^4</f>
      </c>
      <c r="D1481">
        <f>0</f>
      </c>
      <c r="E1481">
        <f>745723389/10^6</f>
      </c>
      <c r="F1481">
        <f>0</f>
      </c>
      <c r="G1481">
        <f>260337952/10^6</f>
      </c>
      <c r="H1481">
        <f>0</f>
      </c>
      <c r="I1481">
        <f>-41097836/10^6</f>
      </c>
      <c r="J1481">
        <f>0</f>
      </c>
    </row>
    <row r="1482">
      <c r="A1482" t="s">
        <v>1491</v>
      </c>
      <c r="B1482" t="s">
        <v>11</v>
      </c>
      <c r="C1482">
        <f>118475117188/10^6</f>
      </c>
      <c r="D1482">
        <f>0</f>
      </c>
      <c r="E1482">
        <f>746891724/10^6</f>
      </c>
      <c r="F1482">
        <f>0</f>
      </c>
      <c r="G1482">
        <f>260276276/10^6</f>
      </c>
      <c r="H1482">
        <f>0</f>
      </c>
      <c r="I1482">
        <f>-41395245/10^6</f>
      </c>
      <c r="J1482">
        <f>0</f>
      </c>
    </row>
    <row r="1483">
      <c r="A1483" t="s">
        <v>1492</v>
      </c>
      <c r="B1483" t="s">
        <v>11</v>
      </c>
      <c r="C1483">
        <f>118275539063/10^6</f>
      </c>
      <c r="D1483">
        <f>0</f>
      </c>
      <c r="E1483">
        <f>748115112/10^6</f>
      </c>
      <c r="F1483">
        <f>0</f>
      </c>
      <c r="G1483">
        <f>260216156/10^6</f>
      </c>
      <c r="H1483">
        <f>0</f>
      </c>
      <c r="I1483">
        <f>-41659107/10^6</f>
      </c>
      <c r="J1483">
        <f>0</f>
      </c>
    </row>
    <row r="1484">
      <c r="A1484" t="s">
        <v>1493</v>
      </c>
      <c r="B1484" t="s">
        <v>11</v>
      </c>
      <c r="C1484">
        <f>118067367188/10^6</f>
      </c>
      <c r="D1484">
        <f>0</f>
      </c>
      <c r="E1484">
        <f>749203857/10^6</f>
      </c>
      <c r="F1484">
        <f>0</f>
      </c>
      <c r="G1484">
        <f>260113647/10^6</f>
      </c>
      <c r="H1484">
        <f>0</f>
      </c>
      <c r="I1484">
        <f>-41921009/10^6</f>
      </c>
      <c r="J1484">
        <f>0</f>
      </c>
    </row>
    <row r="1485">
      <c r="A1485" t="s">
        <v>1494</v>
      </c>
      <c r="B1485" t="s">
        <v>11</v>
      </c>
      <c r="C1485">
        <f>117826765625/10^6</f>
      </c>
      <c r="D1485">
        <f>0</f>
      </c>
      <c r="E1485">
        <f>750448853/10^6</f>
      </c>
      <c r="F1485">
        <f>0</f>
      </c>
      <c r="G1485">
        <f>260009521/10^6</f>
      </c>
      <c r="H1485">
        <f>0</f>
      </c>
      <c r="I1485">
        <f>-42194889/10^6</f>
      </c>
      <c r="J1485">
        <f>0</f>
      </c>
    </row>
    <row r="1486">
      <c r="A1486" t="s">
        <v>1495</v>
      </c>
      <c r="B1486" t="s">
        <v>11</v>
      </c>
      <c r="C1486">
        <f>11752321875/10^5</f>
      </c>
      <c r="D1486">
        <f>0</f>
      </c>
      <c r="E1486">
        <f>752036133/10^6</f>
      </c>
      <c r="F1486">
        <f>0</f>
      </c>
      <c r="G1486">
        <f>259892731/10^6</f>
      </c>
      <c r="H1486">
        <f>0</f>
      </c>
      <c r="I1486">
        <f>-42490643/10^6</f>
      </c>
      <c r="J1486">
        <f>0</f>
      </c>
    </row>
    <row r="1487">
      <c r="A1487" t="s">
        <v>1496</v>
      </c>
      <c r="B1487" t="s">
        <v>11</v>
      </c>
      <c r="C1487">
        <f>117148882813/10^6</f>
      </c>
      <c r="D1487">
        <f>0</f>
      </c>
      <c r="E1487">
        <f>754009827/10^6</f>
      </c>
      <c r="F1487">
        <f>0</f>
      </c>
      <c r="G1487">
        <f>25971463/10^5</f>
      </c>
      <c r="H1487">
        <f>0</f>
      </c>
      <c r="I1487">
        <f>-42852776/10^6</f>
      </c>
      <c r="J1487">
        <f>0</f>
      </c>
    </row>
    <row r="1488">
      <c r="A1488" t="s">
        <v>1497</v>
      </c>
      <c r="B1488" t="s">
        <v>11</v>
      </c>
      <c r="C1488">
        <f>116737617188/10^6</f>
      </c>
      <c r="D1488">
        <f>0</f>
      </c>
      <c r="E1488">
        <f>756514404/10^6</f>
      </c>
      <c r="F1488">
        <f>0</f>
      </c>
      <c r="G1488">
        <f>259572693/10^6</f>
      </c>
      <c r="H1488">
        <f>0</f>
      </c>
      <c r="I1488">
        <f>-43166985/10^6</f>
      </c>
      <c r="J1488">
        <f>0</f>
      </c>
    </row>
    <row r="1489">
      <c r="A1489" t="s">
        <v>1498</v>
      </c>
      <c r="B1489" t="s">
        <v>11</v>
      </c>
      <c r="C1489">
        <f>116321351563/10^6</f>
      </c>
      <c r="D1489">
        <f>0</f>
      </c>
      <c r="E1489">
        <f>759255127/10^6</f>
      </c>
      <c r="F1489">
        <f>0</f>
      </c>
      <c r="G1489">
        <f>259412933/10^6</f>
      </c>
      <c r="H1489">
        <f>0</f>
      </c>
      <c r="I1489">
        <f>-43772415/10^6</f>
      </c>
      <c r="J1489">
        <f>0</f>
      </c>
    </row>
    <row r="1490">
      <c r="A1490" t="s">
        <v>1499</v>
      </c>
      <c r="B1490" t="s">
        <v>11</v>
      </c>
      <c r="C1490">
        <f>115922726563/10^6</f>
      </c>
      <c r="D1490">
        <f>0</f>
      </c>
      <c r="E1490">
        <f>761803589/10^6</f>
      </c>
      <c r="F1490">
        <f>0</f>
      </c>
      <c r="G1490">
        <f>259229858/10^6</f>
      </c>
      <c r="H1490">
        <f>0</f>
      </c>
      <c r="I1490">
        <f>-44495655/10^6</f>
      </c>
      <c r="J1490">
        <f>0</f>
      </c>
    </row>
    <row r="1491">
      <c r="A1491" t="s">
        <v>1500</v>
      </c>
      <c r="B1491" t="s">
        <v>11</v>
      </c>
      <c r="C1491">
        <f>115599429688/10^6</f>
      </c>
      <c r="D1491">
        <f>0</f>
      </c>
      <c r="E1491">
        <f>763549622/10^6</f>
      </c>
      <c r="F1491">
        <f>0</f>
      </c>
      <c r="G1491">
        <f>259107117/10^6</f>
      </c>
      <c r="H1491">
        <f>0</f>
      </c>
      <c r="I1491">
        <f>-4477372/10^5</f>
      </c>
      <c r="J1491">
        <f>0</f>
      </c>
    </row>
    <row r="1492">
      <c r="A1492" t="s">
        <v>1501</v>
      </c>
      <c r="B1492" t="s">
        <v>11</v>
      </c>
      <c r="C1492">
        <f>11537475/10^2</f>
      </c>
      <c r="D1492">
        <f>0</f>
      </c>
      <c r="E1492">
        <f>764690735/10^6</f>
      </c>
      <c r="F1492">
        <f>0</f>
      </c>
      <c r="G1492">
        <f>258987122/10^6</f>
      </c>
      <c r="H1492">
        <f>0</f>
      </c>
      <c r="I1492">
        <f>-45014061/10^6</f>
      </c>
      <c r="J1492">
        <f>0</f>
      </c>
    </row>
    <row r="1493">
      <c r="A1493" t="s">
        <v>1502</v>
      </c>
      <c r="B1493" t="s">
        <v>11</v>
      </c>
      <c r="C1493">
        <f>115161125/10^3</f>
      </c>
      <c r="D1493">
        <f>0</f>
      </c>
      <c r="E1493">
        <f>766172241/10^6</f>
      </c>
      <c r="F1493">
        <f>0</f>
      </c>
      <c r="G1493">
        <f>25884494/10^5</f>
      </c>
      <c r="H1493">
        <f>0</f>
      </c>
      <c r="I1493">
        <f>-45153683/10^6</f>
      </c>
      <c r="J1493">
        <f>0</f>
      </c>
    </row>
    <row r="1494">
      <c r="A1494" t="s">
        <v>1503</v>
      </c>
      <c r="B1494" t="s">
        <v>11</v>
      </c>
      <c r="C1494">
        <f>114949179688/10^6</f>
      </c>
      <c r="D1494">
        <f>0</f>
      </c>
      <c r="E1494">
        <f>765565125/10^6</f>
      </c>
      <c r="F1494">
        <f>0</f>
      </c>
      <c r="G1494">
        <f>258725922/10^6</f>
      </c>
      <c r="H1494">
        <f>0</f>
      </c>
      <c r="I1494">
        <f>-44942005/10^6</f>
      </c>
      <c r="J1494">
        <f>0</f>
      </c>
    </row>
    <row r="1495">
      <c r="A1495" t="s">
        <v>1504</v>
      </c>
      <c r="B1495" t="s">
        <v>11</v>
      </c>
      <c r="C1495">
        <f>11489196875/10^5</f>
      </c>
      <c r="D1495">
        <f>0</f>
      </c>
      <c r="E1495">
        <f>761362488/10^6</f>
      </c>
      <c r="F1495">
        <f>0</f>
      </c>
      <c r="G1495">
        <f>258711884/10^6</f>
      </c>
      <c r="H1495">
        <f>0</f>
      </c>
      <c r="I1495">
        <f>-44904083/10^6</f>
      </c>
      <c r="J1495">
        <f>0</f>
      </c>
    </row>
    <row r="1496">
      <c r="A1496" t="s">
        <v>1505</v>
      </c>
      <c r="B1496" t="s">
        <v>11</v>
      </c>
      <c r="C1496">
        <f>1149390625/10^4</f>
      </c>
      <c r="D1496">
        <f>0</f>
      </c>
      <c r="E1496">
        <f>759152222/10^6</f>
      </c>
      <c r="F1496">
        <f>0</f>
      </c>
      <c r="G1496">
        <f>258382019/10^6</f>
      </c>
      <c r="H1496">
        <f>0</f>
      </c>
      <c r="I1496">
        <f>-44219299/10^6</f>
      </c>
      <c r="J1496">
        <f>0</f>
      </c>
    </row>
    <row r="1497">
      <c r="A1497" t="s">
        <v>1506</v>
      </c>
      <c r="B1497" t="s">
        <v>11</v>
      </c>
      <c r="C1497">
        <f>114839953125/10^6</f>
      </c>
      <c r="D1497">
        <f>0</f>
      </c>
      <c r="E1497">
        <f>76177063/10^5</f>
      </c>
      <c r="F1497">
        <f>0</f>
      </c>
      <c r="G1497">
        <f>257394012/10^6</f>
      </c>
      <c r="H1497">
        <f>0</f>
      </c>
      <c r="I1497">
        <f>-42330029/10^6</f>
      </c>
      <c r="J1497">
        <f>0</f>
      </c>
    </row>
    <row r="1498">
      <c r="A1498" t="s">
        <v>1507</v>
      </c>
      <c r="B1498" t="s">
        <v>11</v>
      </c>
      <c r="C1498">
        <f>114604304688/10^6</f>
      </c>
      <c r="D1498">
        <f>0</f>
      </c>
      <c r="E1498">
        <f>7650177/10^4</f>
      </c>
      <c r="F1498">
        <f>0</f>
      </c>
      <c r="G1498">
        <f>256818024/10^6</f>
      </c>
      <c r="H1498">
        <f>0</f>
      </c>
      <c r="I1498">
        <f>-41144474/10^6</f>
      </c>
      <c r="J1498">
        <f>0</f>
      </c>
    </row>
    <row r="1499">
      <c r="A1499" t="s">
        <v>1508</v>
      </c>
      <c r="B1499" t="s">
        <v>11</v>
      </c>
      <c r="C1499">
        <f>114433929688/10^6</f>
      </c>
      <c r="D1499">
        <f>0</f>
      </c>
      <c r="E1499">
        <f>766582336/10^6</f>
      </c>
      <c r="F1499">
        <f>0</f>
      </c>
      <c r="G1499">
        <f>25735495/10^5</f>
      </c>
      <c r="H1499">
        <f>0</f>
      </c>
      <c r="I1499">
        <f>-41279556/10^6</f>
      </c>
      <c r="J1499">
        <f>0</f>
      </c>
    </row>
    <row r="1500">
      <c r="A1500" t="s">
        <v>1509</v>
      </c>
      <c r="B1500" t="s">
        <v>11</v>
      </c>
      <c r="C1500">
        <f>114366585938/10^6</f>
      </c>
      <c r="D1500">
        <f>0</f>
      </c>
      <c r="E1500">
        <f>767460815/10^6</f>
      </c>
      <c r="F1500">
        <f>0</f>
      </c>
      <c r="G1500">
        <f>257992035/10^6</f>
      </c>
      <c r="H1500">
        <f>0</f>
      </c>
      <c r="I1500">
        <f>-41435764/10^6</f>
      </c>
      <c r="J1500">
        <f>0</f>
      </c>
    </row>
    <row r="1501">
      <c r="A1501" t="s">
        <v>1510</v>
      </c>
      <c r="B1501" t="s">
        <v>11</v>
      </c>
      <c r="C1501">
        <f>114306882813/10^6</f>
      </c>
      <c r="D1501">
        <f>0</f>
      </c>
      <c r="E1501">
        <f>768134705/10^6</f>
      </c>
      <c r="F1501">
        <f>0</f>
      </c>
      <c r="G1501">
        <f>258127655/10^6</f>
      </c>
      <c r="H1501">
        <f>0</f>
      </c>
      <c r="I1501">
        <f>-41252728/10^6</f>
      </c>
      <c r="J1501">
        <f>0</f>
      </c>
    </row>
    <row r="1502">
      <c r="A1502" t="s">
        <v>1511</v>
      </c>
      <c r="B1502" t="s">
        <v>11</v>
      </c>
      <c r="C1502">
        <f>114233546875/10^6</f>
      </c>
      <c r="D1502">
        <f>0</f>
      </c>
      <c r="E1502">
        <f>768596069/10^6</f>
      </c>
      <c r="F1502">
        <f>0</f>
      </c>
      <c r="G1502">
        <f>258175232/10^6</f>
      </c>
      <c r="H1502">
        <f>0</f>
      </c>
      <c r="I1502">
        <f>-40959679/10^6</f>
      </c>
      <c r="J1502">
        <f>0</f>
      </c>
    </row>
    <row r="1503">
      <c r="A1503" t="s">
        <v>1512</v>
      </c>
      <c r="B1503" t="s">
        <v>11</v>
      </c>
      <c r="C1503">
        <f>114210945313/10^6</f>
      </c>
      <c r="D1503">
        <f>0</f>
      </c>
      <c r="E1503">
        <f>769028809/10^6</f>
      </c>
      <c r="F1503">
        <f>0</f>
      </c>
      <c r="G1503">
        <f>2582771/10^4</f>
      </c>
      <c r="H1503">
        <f>0</f>
      </c>
      <c r="I1503">
        <f>-40783039/10^6</f>
      </c>
      <c r="J1503">
        <f>0</f>
      </c>
    </row>
    <row r="1504">
      <c r="A1504" t="s">
        <v>1513</v>
      </c>
      <c r="B1504" t="s">
        <v>11</v>
      </c>
      <c r="C1504">
        <f>114240632813/10^6</f>
      </c>
      <c r="D1504">
        <f>0</f>
      </c>
      <c r="E1504">
        <f>76929303/10^5</f>
      </c>
      <c r="F1504">
        <f>0</f>
      </c>
      <c r="G1504">
        <f>258382355/10^6</f>
      </c>
      <c r="H1504">
        <f>0</f>
      </c>
      <c r="I1504">
        <f>-40831226/10^6</f>
      </c>
      <c r="J1504">
        <f>0</f>
      </c>
    </row>
    <row r="1505">
      <c r="A1505" t="s">
        <v>1514</v>
      </c>
      <c r="B1505" t="s">
        <v>11</v>
      </c>
      <c r="C1505">
        <f>114257851563/10^6</f>
      </c>
      <c r="D1505">
        <f>0</f>
      </c>
      <c r="E1505">
        <f>769192688/10^6</f>
      </c>
      <c r="F1505">
        <f>0</f>
      </c>
      <c r="G1505">
        <f>258499817/10^6</f>
      </c>
      <c r="H1505">
        <f>0</f>
      </c>
      <c r="I1505">
        <f>-40902866/10^6</f>
      </c>
      <c r="J1505">
        <f>0</f>
      </c>
    </row>
    <row r="1506">
      <c r="A1506" t="s">
        <v>1515</v>
      </c>
      <c r="B1506" t="s">
        <v>11</v>
      </c>
      <c r="C1506">
        <f>114256929688/10^6</f>
      </c>
      <c r="D1506">
        <f>0</f>
      </c>
      <c r="E1506">
        <f>769069519/10^6</f>
      </c>
      <c r="F1506">
        <f>0</f>
      </c>
      <c r="G1506">
        <f>258529968/10^6</f>
      </c>
      <c r="H1506">
        <f>0</f>
      </c>
      <c r="I1506">
        <f>-40852856/10^6</f>
      </c>
      <c r="J1506">
        <f>0</f>
      </c>
    </row>
    <row r="1507">
      <c r="A1507" t="s">
        <v>1516</v>
      </c>
      <c r="B1507" t="s">
        <v>11</v>
      </c>
      <c r="C1507">
        <f>114272601563/10^6</f>
      </c>
      <c r="D1507">
        <f>0</f>
      </c>
      <c r="E1507">
        <f>768937744/10^6</f>
      </c>
      <c r="F1507">
        <f>0</f>
      </c>
      <c r="G1507">
        <f>258479492/10^6</f>
      </c>
      <c r="H1507">
        <f>0</f>
      </c>
      <c r="I1507">
        <f>-40696747/10^6</f>
      </c>
      <c r="J1507">
        <f>0</f>
      </c>
    </row>
    <row r="1508">
      <c r="A1508" t="s">
        <v>1517</v>
      </c>
      <c r="B1508" t="s">
        <v>11</v>
      </c>
      <c r="C1508">
        <f>114316109375/10^6</f>
      </c>
      <c r="D1508">
        <f>0</f>
      </c>
      <c r="E1508">
        <f>768662048/10^6</f>
      </c>
      <c r="F1508">
        <f>0</f>
      </c>
      <c r="G1508">
        <f>258473511/10^6</f>
      </c>
      <c r="H1508">
        <f>0</f>
      </c>
      <c r="I1508">
        <f>-40611404/10^6</f>
      </c>
      <c r="J1508">
        <f>0</f>
      </c>
    </row>
    <row r="1509">
      <c r="A1509" t="s">
        <v>1518</v>
      </c>
      <c r="B1509" t="s">
        <v>11</v>
      </c>
      <c r="C1509">
        <f>114387164063/10^6</f>
      </c>
      <c r="D1509">
        <f>0</f>
      </c>
      <c r="E1509">
        <f>768486633/10^6</f>
      </c>
      <c r="F1509">
        <f>0</f>
      </c>
      <c r="G1509">
        <f>258545593/10^6</f>
      </c>
      <c r="H1509">
        <f>0</f>
      </c>
      <c r="I1509">
        <f>-40691868/10^6</f>
      </c>
      <c r="J1509">
        <f>0</f>
      </c>
    </row>
    <row r="1510">
      <c r="A1510" t="s">
        <v>1519</v>
      </c>
      <c r="B1510" t="s">
        <v>11</v>
      </c>
      <c r="C1510">
        <f>114481382813/10^6</f>
      </c>
      <c r="D1510">
        <f>0</f>
      </c>
      <c r="E1510">
        <f>768296265/10^6</f>
      </c>
      <c r="F1510">
        <f>0</f>
      </c>
      <c r="G1510">
        <f>258611206/10^6</f>
      </c>
      <c r="H1510">
        <f>0</f>
      </c>
      <c r="I1510">
        <f>-40783955/10^6</f>
      </c>
      <c r="J1510">
        <f>0</f>
      </c>
    </row>
    <row r="1511">
      <c r="A1511" t="s">
        <v>1520</v>
      </c>
      <c r="B1511" t="s">
        <v>11</v>
      </c>
      <c r="C1511">
        <f>11458609375/10^5</f>
      </c>
      <c r="D1511">
        <f>0</f>
      </c>
      <c r="E1511">
        <f>767887268/10^6</f>
      </c>
      <c r="F1511">
        <f>0</f>
      </c>
      <c r="G1511">
        <f>258682587/10^6</f>
      </c>
      <c r="H1511">
        <f>0</f>
      </c>
      <c r="I1511">
        <f>-4078614/10^5</f>
      </c>
      <c r="J1511">
        <f>0</f>
      </c>
    </row>
    <row r="1512">
      <c r="A1512" t="s">
        <v>1521</v>
      </c>
      <c r="B1512" t="s">
        <v>11</v>
      </c>
      <c r="C1512">
        <f>114674804688/10^6</f>
      </c>
      <c r="D1512">
        <f>0</f>
      </c>
      <c r="E1512">
        <f>767339172/10^6</f>
      </c>
      <c r="F1512">
        <f>0</f>
      </c>
      <c r="G1512">
        <f>258816772/10^6</f>
      </c>
      <c r="H1512">
        <f>0</f>
      </c>
      <c r="I1512">
        <f>-40800285/10^6</f>
      </c>
      <c r="J1512">
        <f>0</f>
      </c>
    </row>
    <row r="1513">
      <c r="A1513" t="s">
        <v>1522</v>
      </c>
      <c r="B1513" t="s">
        <v>11</v>
      </c>
      <c r="C1513">
        <f>114756023438/10^6</f>
      </c>
      <c r="D1513">
        <f>0</f>
      </c>
      <c r="E1513">
        <f>766739014/10^6</f>
      </c>
      <c r="F1513">
        <f>0</f>
      </c>
      <c r="G1513">
        <f>258919342/10^6</f>
      </c>
      <c r="H1513">
        <f>0</f>
      </c>
      <c r="I1513">
        <f>-40799297/10^6</f>
      </c>
      <c r="J1513">
        <f>0</f>
      </c>
    </row>
    <row r="1514">
      <c r="A1514" t="s">
        <v>1523</v>
      </c>
      <c r="B1514" t="s">
        <v>11</v>
      </c>
      <c r="C1514">
        <f>114892234375/10^6</f>
      </c>
      <c r="D1514">
        <f>0</f>
      </c>
      <c r="E1514">
        <f>766165527/10^6</f>
      </c>
      <c r="F1514">
        <f>0</f>
      </c>
      <c r="G1514">
        <f>258953949/10^6</f>
      </c>
      <c r="H1514">
        <f>0</f>
      </c>
      <c r="I1514">
        <f>-40631306/10^6</f>
      </c>
      <c r="J1514">
        <f>0</f>
      </c>
    </row>
    <row r="1515">
      <c r="A1515" t="s">
        <v>1524</v>
      </c>
      <c r="B1515" t="s">
        <v>11</v>
      </c>
      <c r="C1515">
        <f>115093085938/10^6</f>
      </c>
      <c r="D1515">
        <f>0</f>
      </c>
      <c r="E1515">
        <f>765372253/10^6</f>
      </c>
      <c r="F1515">
        <f>0</f>
      </c>
      <c r="G1515">
        <f>258975006/10^6</f>
      </c>
      <c r="H1515">
        <f>0</f>
      </c>
      <c r="I1515">
        <f>-40433056/10^6</f>
      </c>
      <c r="J1515">
        <f>0</f>
      </c>
    </row>
    <row r="1516">
      <c r="A1516" t="s">
        <v>1525</v>
      </c>
      <c r="B1516" t="s">
        <v>11</v>
      </c>
      <c r="C1516">
        <f>115313632813/10^6</f>
      </c>
      <c r="D1516">
        <f>0</f>
      </c>
      <c r="E1516">
        <f>764233398/10^6</f>
      </c>
      <c r="F1516">
        <f>0</f>
      </c>
      <c r="G1516">
        <f>259077118/10^6</f>
      </c>
      <c r="H1516">
        <f>0</f>
      </c>
      <c r="I1516">
        <f>-40313568/10^6</f>
      </c>
      <c r="J1516">
        <f>0</f>
      </c>
    </row>
    <row r="1517">
      <c r="A1517" t="s">
        <v>1526</v>
      </c>
      <c r="B1517" t="s">
        <v>11</v>
      </c>
      <c r="C1517">
        <f>115549984375/10^6</f>
      </c>
      <c r="D1517">
        <f>0</f>
      </c>
      <c r="E1517">
        <f>763036926/10^6</f>
      </c>
      <c r="F1517">
        <f>0</f>
      </c>
      <c r="G1517">
        <f>259253754/10^6</f>
      </c>
      <c r="H1517">
        <f>0</f>
      </c>
      <c r="I1517">
        <f>-40209091/10^6</f>
      </c>
      <c r="J1517">
        <f>0</f>
      </c>
    </row>
    <row r="1518">
      <c r="A1518" t="s">
        <v>1527</v>
      </c>
      <c r="B1518" t="s">
        <v>11</v>
      </c>
      <c r="C1518">
        <f>115814789063/10^6</f>
      </c>
      <c r="D1518">
        <f>0</f>
      </c>
      <c r="E1518">
        <f>761742004/10^6</f>
      </c>
      <c r="F1518">
        <f>0</f>
      </c>
      <c r="G1518">
        <f>259396271/10^6</f>
      </c>
      <c r="H1518">
        <f>0</f>
      </c>
      <c r="I1518">
        <f>-40086193/10^6</f>
      </c>
      <c r="J1518">
        <f>0</f>
      </c>
    </row>
    <row r="1519">
      <c r="A1519" t="s">
        <v>1528</v>
      </c>
      <c r="B1519" t="s">
        <v>11</v>
      </c>
      <c r="C1519">
        <f>116105664063/10^6</f>
      </c>
      <c r="D1519">
        <f>0</f>
      </c>
      <c r="E1519">
        <f>760228455/10^6</f>
      </c>
      <c r="F1519">
        <f>0</f>
      </c>
      <c r="G1519">
        <f>259573944/10^6</f>
      </c>
      <c r="H1519">
        <f>0</f>
      </c>
      <c r="I1519">
        <f>-3982571/10^5</f>
      </c>
      <c r="J1519">
        <f>0</f>
      </c>
    </row>
    <row r="1520">
      <c r="A1520" t="s">
        <v>1529</v>
      </c>
      <c r="B1520" t="s">
        <v>11</v>
      </c>
      <c r="C1520">
        <f>116426195313/10^6</f>
      </c>
      <c r="D1520">
        <f>0</f>
      </c>
      <c r="E1520">
        <f>758587036/10^6</f>
      </c>
      <c r="F1520">
        <f>0</f>
      </c>
      <c r="G1520">
        <f>259763184/10^6</f>
      </c>
      <c r="H1520">
        <f>0</f>
      </c>
      <c r="I1520">
        <f>-39544212/10^6</f>
      </c>
      <c r="J1520">
        <f>0</f>
      </c>
    </row>
    <row r="1521">
      <c r="A1521" t="s">
        <v>1530</v>
      </c>
      <c r="B1521" t="s">
        <v>11</v>
      </c>
      <c r="C1521">
        <f>116791984375/10^6</f>
      </c>
      <c r="D1521">
        <f>0</f>
      </c>
      <c r="E1521">
        <f>756901062/10^6</f>
      </c>
      <c r="F1521">
        <f>0</f>
      </c>
      <c r="G1521">
        <f>259990021/10^6</f>
      </c>
      <c r="H1521">
        <f>0</f>
      </c>
      <c r="I1521">
        <f>-39293297/10^6</f>
      </c>
      <c r="J1521">
        <f>0</f>
      </c>
    </row>
    <row r="1522">
      <c r="A1522" t="s">
        <v>1531</v>
      </c>
      <c r="B1522" t="s">
        <v>11</v>
      </c>
      <c r="C1522">
        <f>117244476563/10^6</f>
      </c>
      <c r="D1522">
        <f>0</f>
      </c>
      <c r="E1522">
        <f>755182617/10^6</f>
      </c>
      <c r="F1522">
        <f>0</f>
      </c>
      <c r="G1522">
        <f>260263885/10^6</f>
      </c>
      <c r="H1522">
        <f>0</f>
      </c>
      <c r="I1522">
        <f>-39002254/10^6</f>
      </c>
      <c r="J1522">
        <f>0</f>
      </c>
    </row>
    <row r="1523">
      <c r="A1523" t="s">
        <v>1532</v>
      </c>
      <c r="B1523" t="s">
        <v>11</v>
      </c>
      <c r="C1523">
        <f>117820117188/10^6</f>
      </c>
      <c r="D1523">
        <f>0</f>
      </c>
      <c r="E1523">
        <f>752954651/10^6</f>
      </c>
      <c r="F1523">
        <f>0</f>
      </c>
      <c r="G1523">
        <f>260518829/10^6</f>
      </c>
      <c r="H1523">
        <f>0</f>
      </c>
      <c r="I1523">
        <f>-38716068/10^6</f>
      </c>
      <c r="J1523">
        <f>0</f>
      </c>
    </row>
    <row r="1524">
      <c r="A1524" t="s">
        <v>1533</v>
      </c>
      <c r="B1524" t="s">
        <v>11</v>
      </c>
      <c r="C1524">
        <f>118496984375/10^6</f>
      </c>
      <c r="D1524">
        <f>0</f>
      </c>
      <c r="E1524">
        <f>749863586/10^6</f>
      </c>
      <c r="F1524">
        <f>0</f>
      </c>
      <c r="G1524">
        <f>261096497/10^6</f>
      </c>
      <c r="H1524">
        <f>0</f>
      </c>
      <c r="I1524">
        <f>-38202869/10^6</f>
      </c>
      <c r="J1524">
        <f>0</f>
      </c>
    </row>
    <row r="1525">
      <c r="A1525" t="s">
        <v>1534</v>
      </c>
      <c r="B1525" t="s">
        <v>11</v>
      </c>
      <c r="C1525">
        <f>119211570313/10^6</f>
      </c>
      <c r="D1525">
        <f>0</f>
      </c>
      <c r="E1525">
        <f>746315552/10^6</f>
      </c>
      <c r="F1525">
        <f>0</f>
      </c>
      <c r="G1525">
        <f>261766296/10^6</f>
      </c>
      <c r="H1525">
        <f>0</f>
      </c>
      <c r="I1525">
        <f>-37658371/10^6</f>
      </c>
      <c r="J1525">
        <f>0</f>
      </c>
    </row>
    <row r="1526">
      <c r="A1526" t="s">
        <v>1535</v>
      </c>
      <c r="B1526" t="s">
        <v>11</v>
      </c>
      <c r="C1526">
        <f>119931546875/10^6</f>
      </c>
      <c r="D1526">
        <f>0</f>
      </c>
      <c r="E1526">
        <f>742576599/10^6</f>
      </c>
      <c r="F1526">
        <f>0</f>
      </c>
      <c r="G1526">
        <f>262119629/10^6</f>
      </c>
      <c r="H1526">
        <f>0</f>
      </c>
      <c r="I1526">
        <f>-37173458/10^6</f>
      </c>
      <c r="J1526">
        <f>0</f>
      </c>
    </row>
    <row r="1527">
      <c r="A1527" t="s">
        <v>1536</v>
      </c>
      <c r="B1527" t="s">
        <v>11</v>
      </c>
      <c r="C1527">
        <f>12063771875/10^5</f>
      </c>
      <c r="D1527">
        <f>0</f>
      </c>
      <c r="E1527">
        <f>738767151/10^6</f>
      </c>
      <c r="F1527">
        <f>0</f>
      </c>
      <c r="G1527">
        <f>262502045/10^6</f>
      </c>
      <c r="H1527">
        <f>0</f>
      </c>
      <c r="I1527">
        <f>-36468922/10^6</f>
      </c>
      <c r="J1527">
        <f>0</f>
      </c>
    </row>
    <row r="1528">
      <c r="A1528" t="s">
        <v>1537</v>
      </c>
      <c r="B1528" t="s">
        <v>11</v>
      </c>
      <c r="C1528">
        <f>121296992188/10^6</f>
      </c>
      <c r="D1528">
        <f>0</f>
      </c>
      <c r="E1528">
        <f>735001099/10^6</f>
      </c>
      <c r="F1528">
        <f>0</f>
      </c>
      <c r="G1528">
        <f>262815338/10^6</f>
      </c>
      <c r="H1528">
        <f>0</f>
      </c>
      <c r="I1528">
        <f>-35924339/10^6</f>
      </c>
      <c r="J1528">
        <f>0</f>
      </c>
    </row>
    <row r="1529">
      <c r="A1529" t="s">
        <v>1538</v>
      </c>
      <c r="B1529" t="s">
        <v>11</v>
      </c>
      <c r="C1529">
        <f>121892851563/10^6</f>
      </c>
      <c r="D1529">
        <f>0</f>
      </c>
      <c r="E1529">
        <f>731254944/10^6</f>
      </c>
      <c r="F1529">
        <f>0</f>
      </c>
      <c r="G1529">
        <f>262941589/10^6</f>
      </c>
      <c r="H1529">
        <f>0</f>
      </c>
      <c r="I1529">
        <f>-35414047/10^6</f>
      </c>
      <c r="J1529">
        <f>0</f>
      </c>
    </row>
    <row r="1530">
      <c r="A1530" t="s">
        <v>1539</v>
      </c>
      <c r="B1530" t="s">
        <v>11</v>
      </c>
      <c r="C1530">
        <f>122354304688/10^6</f>
      </c>
      <c r="D1530">
        <f>0</f>
      </c>
      <c r="E1530">
        <f>728190979/10^6</f>
      </c>
      <c r="F1530">
        <f>0</f>
      </c>
      <c r="G1530">
        <f>263117523/10^6</f>
      </c>
      <c r="H1530">
        <f>0</f>
      </c>
      <c r="I1530">
        <f>-34787697/10^6</f>
      </c>
      <c r="J1530">
        <f>0</f>
      </c>
    </row>
    <row r="1531">
      <c r="A1531" t="s">
        <v>1540</v>
      </c>
      <c r="B1531" t="s">
        <v>11</v>
      </c>
      <c r="C1531">
        <f>122607695313/10^6</f>
      </c>
      <c r="D1531">
        <f>0</f>
      </c>
      <c r="E1531">
        <f>726330872/10^6</f>
      </c>
      <c r="F1531">
        <f>0</f>
      </c>
      <c r="G1531">
        <f>263089874/10^6</f>
      </c>
      <c r="H1531">
        <f>0</f>
      </c>
      <c r="I1531">
        <f>-34559654/10^6</f>
      </c>
      <c r="J1531">
        <f>0</f>
      </c>
    </row>
    <row r="1532">
      <c r="A1532" t="s">
        <v>1541</v>
      </c>
      <c r="B1532" t="s">
        <v>11</v>
      </c>
      <c r="C1532">
        <f>122721648438/10^6</f>
      </c>
      <c r="D1532">
        <f>0</f>
      </c>
      <c r="E1532">
        <f>725170044/10^6</f>
      </c>
      <c r="F1532">
        <f>0</f>
      </c>
      <c r="G1532">
        <f>262824219/10^6</f>
      </c>
      <c r="H1532">
        <f>0</f>
      </c>
      <c r="I1532">
        <f>-34507961/10^6</f>
      </c>
      <c r="J1532">
        <f>0</f>
      </c>
    </row>
    <row r="1533">
      <c r="A1533" t="s">
        <v>1542</v>
      </c>
      <c r="B1533" t="s">
        <v>11</v>
      </c>
      <c r="C1533">
        <f>122794929688/10^6</f>
      </c>
      <c r="D1533">
        <f>0</f>
      </c>
      <c r="E1533">
        <f>724446655/10^6</f>
      </c>
      <c r="F1533">
        <f>0</f>
      </c>
      <c r="G1533">
        <f>26267514/10^5</f>
      </c>
      <c r="H1533">
        <f>0</f>
      </c>
      <c r="I1533">
        <f>-34416843/10^6</f>
      </c>
      <c r="J1533">
        <f>0</f>
      </c>
    </row>
    <row r="1534">
      <c r="A1534" t="s">
        <v>1543</v>
      </c>
      <c r="B1534" t="s">
        <v>11</v>
      </c>
      <c r="C1534">
        <f>122849695313/10^6</f>
      </c>
      <c r="D1534">
        <f>0</f>
      </c>
      <c r="E1534">
        <f>724118103/10^6</f>
      </c>
      <c r="F1534">
        <f>0</f>
      </c>
      <c r="G1534">
        <f>262609924/10^6</f>
      </c>
      <c r="H1534">
        <f>0</f>
      </c>
      <c r="I1534">
        <f>-34494762/10^6</f>
      </c>
      <c r="J1534">
        <f>0</f>
      </c>
    </row>
    <row r="1535">
      <c r="A1535" t="s">
        <v>1544</v>
      </c>
      <c r="B1535" t="s">
        <v>11</v>
      </c>
      <c r="C1535">
        <f>122885734375/10^6</f>
      </c>
      <c r="D1535">
        <f>0</f>
      </c>
      <c r="E1535">
        <f>723840149/10^6</f>
      </c>
      <c r="F1535">
        <f>0</f>
      </c>
      <c r="G1535">
        <f>262506561/10^6</f>
      </c>
      <c r="H1535">
        <f>0</f>
      </c>
      <c r="I1535">
        <f>-34592617/10^6</f>
      </c>
      <c r="J1535">
        <f>0</f>
      </c>
    </row>
    <row r="1536">
      <c r="A1536" t="s">
        <v>1545</v>
      </c>
      <c r="B1536" t="s">
        <v>11</v>
      </c>
      <c r="C1536">
        <f>1229061875/10^4</f>
      </c>
      <c r="D1536">
        <f>0</f>
      </c>
      <c r="E1536">
        <f>723560364/10^6</f>
      </c>
      <c r="F1536">
        <f>0</f>
      </c>
      <c r="G1536">
        <f>262453033/10^6</f>
      </c>
      <c r="H1536">
        <f>0</f>
      </c>
      <c r="I1536">
        <f>-34682224/10^6</f>
      </c>
      <c r="J1536">
        <f>0</f>
      </c>
    </row>
    <row r="1537">
      <c r="A1537" t="s">
        <v>1546</v>
      </c>
      <c r="B1537" t="s">
        <v>11</v>
      </c>
      <c r="C1537">
        <f>122918632813/10^6</f>
      </c>
      <c r="D1537">
        <f>0</f>
      </c>
      <c r="E1537">
        <f>723260132/10^6</f>
      </c>
      <c r="F1537">
        <f>0</f>
      </c>
      <c r="G1537">
        <f>262502014/10^6</f>
      </c>
      <c r="H1537">
        <f>0</f>
      </c>
      <c r="I1537">
        <f>-34860947/10^6</f>
      </c>
      <c r="J1537">
        <f>0</f>
      </c>
    </row>
    <row r="1538">
      <c r="A1538" t="s">
        <v>1547</v>
      </c>
      <c r="B1538" t="s">
        <v>11</v>
      </c>
      <c r="C1538">
        <f>122907585938/10^6</f>
      </c>
      <c r="D1538">
        <f>0</f>
      </c>
      <c r="E1538">
        <f>722889893/10^6</f>
      </c>
      <c r="F1538">
        <f>0</f>
      </c>
      <c r="G1538">
        <f>262492798/10^6</f>
      </c>
      <c r="H1538">
        <f>0</f>
      </c>
      <c r="I1538">
        <f>-35003643/10^6</f>
      </c>
      <c r="J1538">
        <f>0</f>
      </c>
    </row>
    <row r="1539">
      <c r="A1539" t="s">
        <v>1548</v>
      </c>
      <c r="B1539" t="s">
        <v>11</v>
      </c>
      <c r="C1539">
        <f>122815632813/10^6</f>
      </c>
      <c r="D1539">
        <f>0</f>
      </c>
      <c r="E1539">
        <f>722816772/10^6</f>
      </c>
      <c r="F1539">
        <f>0</f>
      </c>
      <c r="G1539">
        <f>262204193/10^6</f>
      </c>
      <c r="H1539">
        <f>0</f>
      </c>
      <c r="I1539">
        <f>-35058884/10^6</f>
      </c>
      <c r="J1539">
        <f>0</f>
      </c>
    </row>
    <row r="1540">
      <c r="A1540" t="s">
        <v>1549</v>
      </c>
      <c r="B1540" t="s">
        <v>11</v>
      </c>
      <c r="C1540">
        <f>122618585938/10^6</f>
      </c>
      <c r="D1540">
        <f>0</f>
      </c>
      <c r="E1540">
        <f>723346008/10^6</f>
      </c>
      <c r="F1540">
        <f>0</f>
      </c>
      <c r="G1540">
        <f>261863129/10^6</f>
      </c>
      <c r="H1540">
        <f>0</f>
      </c>
      <c r="I1540">
        <f>-35081024/10^6</f>
      </c>
      <c r="J1540">
        <f>0</f>
      </c>
    </row>
    <row r="1541">
      <c r="A1541" t="s">
        <v>1550</v>
      </c>
      <c r="B1541" t="s">
        <v>11</v>
      </c>
      <c r="C1541">
        <f>122377164063/10^6</f>
      </c>
      <c r="D1541">
        <f>0</f>
      </c>
      <c r="E1541">
        <f>724397827/10^6</f>
      </c>
      <c r="F1541">
        <f>0</f>
      </c>
      <c r="G1541">
        <f>261721222/10^6</f>
      </c>
      <c r="H1541">
        <f>0</f>
      </c>
      <c r="I1541">
        <f>-352757/10^4</f>
      </c>
      <c r="J1541">
        <f>0</f>
      </c>
    </row>
    <row r="1542">
      <c r="A1542" t="s">
        <v>1551</v>
      </c>
      <c r="B1542" t="s">
        <v>11</v>
      </c>
      <c r="C1542">
        <f>122134875/10^3</f>
      </c>
      <c r="D1542">
        <f>0</f>
      </c>
      <c r="E1542">
        <f>725814087/10^6</f>
      </c>
      <c r="F1542">
        <f>0</f>
      </c>
      <c r="G1542">
        <f>261625153/10^6</f>
      </c>
      <c r="H1542">
        <f>0</f>
      </c>
      <c r="I1542">
        <f>-35645344/10^6</f>
      </c>
      <c r="J1542">
        <f>0</f>
      </c>
    </row>
    <row r="1543">
      <c r="A1543" t="s">
        <v>1552</v>
      </c>
      <c r="B1543" t="s">
        <v>11</v>
      </c>
      <c r="C1543">
        <f>121857625/10^3</f>
      </c>
      <c r="D1543">
        <f>0</f>
      </c>
      <c r="E1543">
        <f>727349731/10^6</f>
      </c>
      <c r="F1543">
        <f>0</f>
      </c>
      <c r="G1543">
        <f>261511139/10^6</f>
      </c>
      <c r="H1543">
        <f>0</f>
      </c>
      <c r="I1543">
        <f>-35924076/10^6</f>
      </c>
      <c r="J1543">
        <f>0</f>
      </c>
    </row>
    <row r="1544">
      <c r="A1544" t="s">
        <v>1553</v>
      </c>
      <c r="B1544" t="s">
        <v>11</v>
      </c>
      <c r="C1544">
        <f>121540164063/10^6</f>
      </c>
      <c r="D1544">
        <f>0</f>
      </c>
      <c r="E1544">
        <f>728859314/10^6</f>
      </c>
      <c r="F1544">
        <f>0</f>
      </c>
      <c r="G1544">
        <f>261354462/10^6</f>
      </c>
      <c r="H1544">
        <f>0</f>
      </c>
      <c r="I1544">
        <f>-36262711/10^6</f>
      </c>
      <c r="J1544">
        <f>0</f>
      </c>
    </row>
    <row r="1545">
      <c r="A1545" t="s">
        <v>1554</v>
      </c>
      <c r="B1545" t="s">
        <v>11</v>
      </c>
      <c r="C1545">
        <f>12125271875/10^5</f>
      </c>
      <c r="D1545">
        <f>0</f>
      </c>
      <c r="E1545">
        <f>73048291/10^5</f>
      </c>
      <c r="F1545">
        <f>0</f>
      </c>
      <c r="G1545">
        <f>261182892/10^6</f>
      </c>
      <c r="H1545">
        <f>0</f>
      </c>
      <c r="I1545">
        <f>-36642807/10^6</f>
      </c>
      <c r="J1545">
        <f>0</f>
      </c>
    </row>
    <row r="1546">
      <c r="A1546" t="s">
        <v>1555</v>
      </c>
      <c r="B1546" t="s">
        <v>11</v>
      </c>
      <c r="C1546">
        <f>121000296875/10^6</f>
      </c>
      <c r="D1546">
        <f>0</f>
      </c>
      <c r="E1546">
        <f>732095215/10^6</f>
      </c>
      <c r="F1546">
        <f>0</f>
      </c>
      <c r="G1546">
        <f>261089813/10^6</f>
      </c>
      <c r="H1546">
        <f>0</f>
      </c>
      <c r="I1546">
        <f>-36937305/10^6</f>
      </c>
      <c r="J1546">
        <f>0</f>
      </c>
    </row>
    <row r="1547">
      <c r="A1547" t="s">
        <v>1556</v>
      </c>
      <c r="B1547" t="s">
        <v>11</v>
      </c>
      <c r="C1547">
        <f>120691304688/10^6</f>
      </c>
      <c r="D1547">
        <f>0</f>
      </c>
      <c r="E1547">
        <f>733635193/10^6</f>
      </c>
      <c r="F1547">
        <f>0</f>
      </c>
      <c r="G1547">
        <f>260988831/10^6</f>
      </c>
      <c r="H1547">
        <f>0</f>
      </c>
      <c r="I1547">
        <f>-37320404/10^6</f>
      </c>
      <c r="J1547">
        <f>0</f>
      </c>
    </row>
    <row r="1548">
      <c r="A1548" t="s">
        <v>1557</v>
      </c>
      <c r="B1548" t="s">
        <v>11</v>
      </c>
      <c r="C1548">
        <f>120356867188/10^6</f>
      </c>
      <c r="D1548">
        <f>0</f>
      </c>
      <c r="E1548">
        <f>735486206/10^6</f>
      </c>
      <c r="F1548">
        <f>0</f>
      </c>
      <c r="G1548">
        <f>260902802/10^6</f>
      </c>
      <c r="H1548">
        <f>0</f>
      </c>
      <c r="I1548">
        <f>-37636963/10^6</f>
      </c>
      <c r="J1548">
        <f>0</f>
      </c>
    </row>
    <row r="1549">
      <c r="A1549" t="s">
        <v>1558</v>
      </c>
      <c r="B1549" t="s">
        <v>11</v>
      </c>
      <c r="C1549">
        <f>12012353125/10^5</f>
      </c>
      <c r="D1549">
        <f>0</f>
      </c>
      <c r="E1549">
        <f>737318359/10^6</f>
      </c>
      <c r="F1549">
        <f>0</f>
      </c>
      <c r="G1549">
        <f>260915802/10^6</f>
      </c>
      <c r="H1549">
        <f>0</f>
      </c>
      <c r="I1549">
        <f>-37863121/10^6</f>
      </c>
      <c r="J1549">
        <f>0</f>
      </c>
    </row>
    <row r="1550">
      <c r="A1550" t="s">
        <v>1559</v>
      </c>
      <c r="B1550" t="s">
        <v>11</v>
      </c>
      <c r="C1550">
        <f>119962867188/10^6</f>
      </c>
      <c r="D1550">
        <f>0</f>
      </c>
      <c r="E1550">
        <f>738488159/10^6</f>
      </c>
      <c r="F1550">
        <f>0</f>
      </c>
      <c r="G1550">
        <f>260948517/10^6</f>
      </c>
      <c r="H1550">
        <f>0</f>
      </c>
      <c r="I1550">
        <f>-38095165/10^6</f>
      </c>
      <c r="J1550">
        <f>0</f>
      </c>
    </row>
    <row r="1551">
      <c r="A1551" t="s">
        <v>1560</v>
      </c>
      <c r="B1551" t="s">
        <v>11</v>
      </c>
      <c r="C1551">
        <f>11977703125/10^5</f>
      </c>
      <c r="D1551">
        <f>0</f>
      </c>
      <c r="E1551">
        <f>73940448/10^5</f>
      </c>
      <c r="F1551">
        <f>0</f>
      </c>
      <c r="G1551">
        <f>260908203/10^6</f>
      </c>
      <c r="H1551">
        <f>0</f>
      </c>
      <c r="I1551">
        <f>-38341621/10^6</f>
      </c>
      <c r="J1551">
        <f>0</f>
      </c>
    </row>
    <row r="1552">
      <c r="A1552" t="s">
        <v>1561</v>
      </c>
      <c r="B1552" t="s">
        <v>11</v>
      </c>
      <c r="C1552">
        <f>119557257813/10^6</f>
      </c>
      <c r="D1552">
        <f>0</f>
      </c>
      <c r="E1552">
        <f>740586731/10^6</f>
      </c>
      <c r="F1552">
        <f>0</f>
      </c>
      <c r="G1552">
        <f>260815369/10^6</f>
      </c>
      <c r="H1552">
        <f>0</f>
      </c>
      <c r="I1552">
        <f>-38681854/10^6</f>
      </c>
      <c r="J1552">
        <f>0</f>
      </c>
    </row>
    <row r="1553">
      <c r="A1553" t="s">
        <v>1562</v>
      </c>
      <c r="B1553" t="s">
        <v>11</v>
      </c>
      <c r="C1553">
        <f>11932796875/10^5</f>
      </c>
      <c r="D1553">
        <f>0</f>
      </c>
      <c r="E1553">
        <f>741852722/10^6</f>
      </c>
      <c r="F1553">
        <f>0</f>
      </c>
      <c r="G1553">
        <f>26075473/10^5</f>
      </c>
      <c r="H1553">
        <f>0</f>
      </c>
      <c r="I1553">
        <f>-38954906/10^6</f>
      </c>
      <c r="J1553">
        <f>0</f>
      </c>
    </row>
    <row r="1554">
      <c r="A1554" t="s">
        <v>1563</v>
      </c>
      <c r="B1554" t="s">
        <v>11</v>
      </c>
      <c r="C1554">
        <f>1191018125/10^4</f>
      </c>
      <c r="D1554">
        <f>0</f>
      </c>
      <c r="E1554">
        <f>743176025/10^6</f>
      </c>
      <c r="F1554">
        <f>0</f>
      </c>
      <c r="G1554">
        <f>260704315/10^6</f>
      </c>
      <c r="H1554">
        <f>0</f>
      </c>
      <c r="I1554">
        <f>-39202923/10^6</f>
      </c>
      <c r="J1554">
        <f>0</f>
      </c>
    </row>
    <row r="1555">
      <c r="A1555" t="s">
        <v>1564</v>
      </c>
      <c r="B1555" t="s">
        <v>11</v>
      </c>
      <c r="C1555">
        <f>118880257813/10^6</f>
      </c>
      <c r="D1555">
        <f>0</f>
      </c>
      <c r="E1555">
        <f>744723267/10^6</f>
      </c>
      <c r="F1555">
        <f>0</f>
      </c>
      <c r="G1555">
        <f>260641174/10^6</f>
      </c>
      <c r="H1555">
        <f>0</f>
      </c>
      <c r="I1555">
        <f>-39477718/10^6</f>
      </c>
      <c r="J1555">
        <f>0</f>
      </c>
    </row>
    <row r="1556">
      <c r="A1556" t="s">
        <v>1565</v>
      </c>
      <c r="B1556" t="s">
        <v>11</v>
      </c>
      <c r="C1556">
        <f>118653875/10^3</f>
      </c>
      <c r="D1556">
        <f>0</f>
      </c>
      <c r="E1556">
        <f>746305298/10^6</f>
      </c>
      <c r="F1556">
        <f>0</f>
      </c>
      <c r="G1556">
        <f>260604034/10^6</f>
      </c>
      <c r="H1556">
        <f>0</f>
      </c>
      <c r="I1556">
        <f>-39707561/10^6</f>
      </c>
      <c r="J1556">
        <f>0</f>
      </c>
    </row>
    <row r="1557">
      <c r="A1557" t="s">
        <v>1566</v>
      </c>
      <c r="B1557" t="s">
        <v>11</v>
      </c>
      <c r="C1557">
        <f>11840790625/10^5</f>
      </c>
      <c r="D1557">
        <f>0</f>
      </c>
      <c r="E1557">
        <f>747819946/10^6</f>
      </c>
      <c r="F1557">
        <f>0</f>
      </c>
      <c r="G1557">
        <f>260581207/10^6</f>
      </c>
      <c r="H1557">
        <f>0</f>
      </c>
      <c r="I1557">
        <f>-39963001/10^6</f>
      </c>
      <c r="J1557">
        <f>0</f>
      </c>
    </row>
    <row r="1558">
      <c r="A1558" t="s">
        <v>1567</v>
      </c>
      <c r="B1558" t="s">
        <v>11</v>
      </c>
      <c r="C1558">
        <f>118140007813/10^6</f>
      </c>
      <c r="D1558">
        <f>0</f>
      </c>
      <c r="E1558">
        <f>7493703/10^4</f>
      </c>
      <c r="F1558">
        <f>0</f>
      </c>
      <c r="G1558">
        <f>26055307/10^5</f>
      </c>
      <c r="H1558">
        <f>0</f>
      </c>
      <c r="I1558">
        <f>-40189072/10^6</f>
      </c>
      <c r="J1558">
        <f>0</f>
      </c>
    </row>
    <row r="1559">
      <c r="A1559" t="s">
        <v>1568</v>
      </c>
      <c r="B1559" t="s">
        <v>11</v>
      </c>
      <c r="C1559">
        <f>117885226563/10^6</f>
      </c>
      <c r="D1559">
        <f>0</f>
      </c>
      <c r="E1559">
        <f>750866516/10^6</f>
      </c>
      <c r="F1559">
        <f>0</f>
      </c>
      <c r="G1559">
        <f>260496887/10^6</f>
      </c>
      <c r="H1559">
        <f>0</f>
      </c>
      <c r="I1559">
        <f>-40524967/10^6</f>
      </c>
      <c r="J1559">
        <f>0</f>
      </c>
    </row>
    <row r="1560">
      <c r="A1560" t="s">
        <v>1569</v>
      </c>
      <c r="B1560" t="s">
        <v>11</v>
      </c>
      <c r="C1560">
        <f>117675984375/10^6</f>
      </c>
      <c r="D1560">
        <f>0</f>
      </c>
      <c r="E1560">
        <f>752142456/10^6</f>
      </c>
      <c r="F1560">
        <f>0</f>
      </c>
      <c r="G1560">
        <f>260433228/10^6</f>
      </c>
      <c r="H1560">
        <f>0</f>
      </c>
      <c r="I1560">
        <f>-40919765/10^6</f>
      </c>
      <c r="J1560">
        <f>0</f>
      </c>
    </row>
    <row r="1561">
      <c r="A1561" t="s">
        <v>1570</v>
      </c>
      <c r="B1561" t="s">
        <v>11</v>
      </c>
      <c r="C1561">
        <f>117489109375/10^6</f>
      </c>
      <c r="D1561">
        <f>0</f>
      </c>
      <c r="E1561">
        <f>753288818/10^6</f>
      </c>
      <c r="F1561">
        <f>0</f>
      </c>
      <c r="G1561">
        <f>260390442/10^6</f>
      </c>
      <c r="H1561">
        <f>0</f>
      </c>
      <c r="I1561">
        <f>-41124641/10^6</f>
      </c>
      <c r="J1561">
        <f>0</f>
      </c>
    </row>
    <row r="1562">
      <c r="A1562" t="s">
        <v>1571</v>
      </c>
      <c r="B1562" t="s">
        <v>11</v>
      </c>
      <c r="C1562">
        <f>117301703125/10^6</f>
      </c>
      <c r="D1562">
        <f>0</f>
      </c>
      <c r="E1562">
        <f>754582947/10^6</f>
      </c>
      <c r="F1562">
        <f>0</f>
      </c>
      <c r="G1562">
        <f>260355804/10^6</f>
      </c>
      <c r="H1562">
        <f>0</f>
      </c>
      <c r="I1562">
        <f>-41270412/10^6</f>
      </c>
      <c r="J1562">
        <f>0</f>
      </c>
    </row>
    <row r="1563">
      <c r="A1563" t="s">
        <v>1572</v>
      </c>
      <c r="B1563" t="s">
        <v>11</v>
      </c>
      <c r="C1563">
        <f>117113585938/10^6</f>
      </c>
      <c r="D1563">
        <f>0</f>
      </c>
      <c r="E1563">
        <f>755842224/10^6</f>
      </c>
      <c r="F1563">
        <f>0</f>
      </c>
      <c r="G1563">
        <f>260317535/10^6</f>
      </c>
      <c r="H1563">
        <f>0</f>
      </c>
      <c r="I1563">
        <f>-41433018/10^6</f>
      </c>
      <c r="J1563">
        <f>0</f>
      </c>
    </row>
    <row r="1564">
      <c r="A1564" t="s">
        <v>1573</v>
      </c>
      <c r="B1564" t="s">
        <v>11</v>
      </c>
      <c r="C1564">
        <f>116918234375/10^6</f>
      </c>
      <c r="D1564">
        <f>0</f>
      </c>
      <c r="E1564">
        <f>7568255/10^4</f>
      </c>
      <c r="F1564">
        <f>0</f>
      </c>
      <c r="G1564">
        <f>260216309/10^6</f>
      </c>
      <c r="H1564">
        <f>0</f>
      </c>
      <c r="I1564">
        <f>-41665642/10^6</f>
      </c>
      <c r="J1564">
        <f>0</f>
      </c>
    </row>
    <row r="1565">
      <c r="A1565" t="s">
        <v>1574</v>
      </c>
      <c r="B1565" t="s">
        <v>11</v>
      </c>
      <c r="C1565">
        <f>116723953125/10^6</f>
      </c>
      <c r="D1565">
        <f>0</f>
      </c>
      <c r="E1565">
        <f>757903625/10^6</f>
      </c>
      <c r="F1565">
        <f>0</f>
      </c>
      <c r="G1565">
        <f>260094727/10^6</f>
      </c>
      <c r="H1565">
        <f>0</f>
      </c>
      <c r="I1565">
        <f>-41922443/10^6</f>
      </c>
      <c r="J1565">
        <f>0</f>
      </c>
    </row>
    <row r="1566">
      <c r="A1566" t="s">
        <v>1575</v>
      </c>
      <c r="B1566" t="s">
        <v>11</v>
      </c>
      <c r="C1566">
        <f>116532585938/10^6</f>
      </c>
      <c r="D1566">
        <f>0</f>
      </c>
      <c r="E1566">
        <f>759235229/10^6</f>
      </c>
      <c r="F1566">
        <f>0</f>
      </c>
      <c r="G1566">
        <f>260043701/10^6</f>
      </c>
      <c r="H1566">
        <f>0</f>
      </c>
      <c r="I1566">
        <f>-42089691/10^6</f>
      </c>
      <c r="J1566">
        <f>0</f>
      </c>
    </row>
    <row r="1567">
      <c r="A1567" t="s">
        <v>1576</v>
      </c>
      <c r="B1567" t="s">
        <v>11</v>
      </c>
      <c r="C1567">
        <f>11631921875/10^5</f>
      </c>
      <c r="D1567">
        <f>0</f>
      </c>
      <c r="E1567">
        <f>760602417/10^6</f>
      </c>
      <c r="F1567">
        <f>0</f>
      </c>
      <c r="G1567">
        <f>260024292/10^6</f>
      </c>
      <c r="H1567">
        <f>0</f>
      </c>
      <c r="I1567">
        <f>-42253258/10^6</f>
      </c>
      <c r="J1567">
        <f>0</f>
      </c>
    </row>
    <row r="1568">
      <c r="A1568" t="s">
        <v>1577</v>
      </c>
      <c r="B1568" t="s">
        <v>11</v>
      </c>
      <c r="C1568">
        <f>116079023438/10^6</f>
      </c>
      <c r="D1568">
        <f>0</f>
      </c>
      <c r="E1568">
        <f>762001648/10^6</f>
      </c>
      <c r="F1568">
        <f>0</f>
      </c>
      <c r="G1568">
        <f>259981354/10^6</f>
      </c>
      <c r="H1568">
        <f>0</f>
      </c>
      <c r="I1568">
        <f>-42400936/10^6</f>
      </c>
      <c r="J1568">
        <f>0</f>
      </c>
    </row>
    <row r="1569">
      <c r="A1569" t="s">
        <v>1578</v>
      </c>
      <c r="B1569" t="s">
        <v>11</v>
      </c>
      <c r="C1569">
        <f>115814570313/10^6</f>
      </c>
      <c r="D1569">
        <f>0</f>
      </c>
      <c r="E1569">
        <f>763473022/10^6</f>
      </c>
      <c r="F1569">
        <f>0</f>
      </c>
      <c r="G1569">
        <f>25991214/10^5</f>
      </c>
      <c r="H1569">
        <f>0</f>
      </c>
      <c r="I1569">
        <f>-42625687/10^6</f>
      </c>
      <c r="J1569">
        <f>0</f>
      </c>
    </row>
    <row r="1570">
      <c r="A1570" t="s">
        <v>1579</v>
      </c>
      <c r="B1570" t="s">
        <v>11</v>
      </c>
      <c r="C1570">
        <f>1155223125/10^4</f>
      </c>
      <c r="D1570">
        <f>0</f>
      </c>
      <c r="E1570">
        <f>764856506/10^6</f>
      </c>
      <c r="F1570">
        <f>0</f>
      </c>
      <c r="G1570">
        <f>259872345/10^6</f>
      </c>
      <c r="H1570">
        <f>0</f>
      </c>
      <c r="I1570">
        <f>-42906952/10^6</f>
      </c>
      <c r="J1570">
        <f>0</f>
      </c>
    </row>
    <row r="1571">
      <c r="A1571" t="s">
        <v>1580</v>
      </c>
      <c r="B1571" t="s">
        <v>11</v>
      </c>
      <c r="C1571">
        <f>115256210938/10^6</f>
      </c>
      <c r="D1571">
        <f>0</f>
      </c>
      <c r="E1571">
        <f>766009277/10^6</f>
      </c>
      <c r="F1571">
        <f>0</f>
      </c>
      <c r="G1571">
        <f>25975647/10^5</f>
      </c>
      <c r="H1571">
        <f>0</f>
      </c>
      <c r="I1571">
        <f>-42976788/10^6</f>
      </c>
      <c r="J1571">
        <f>0</f>
      </c>
    </row>
    <row r="1572">
      <c r="A1572" t="s">
        <v>1581</v>
      </c>
      <c r="B1572" t="s">
        <v>11</v>
      </c>
      <c r="C1572">
        <f>115090804688/10^6</f>
      </c>
      <c r="D1572">
        <f>0</f>
      </c>
      <c r="E1572">
        <f>766972839/10^6</f>
      </c>
      <c r="F1572">
        <f>0</f>
      </c>
      <c r="G1572">
        <f>259439087/10^6</f>
      </c>
      <c r="H1572">
        <f>0</f>
      </c>
      <c r="I1572">
        <f>-42914974/10^6</f>
      </c>
      <c r="J1572">
        <f>0</f>
      </c>
    </row>
    <row r="1573">
      <c r="A1573" t="s">
        <v>1582</v>
      </c>
      <c r="B1573" t="s">
        <v>11</v>
      </c>
      <c r="C1573">
        <f>115036617188/10^6</f>
      </c>
      <c r="D1573">
        <f>0</f>
      </c>
      <c r="E1573">
        <f>767734009/10^6</f>
      </c>
      <c r="F1573">
        <f>0</f>
      </c>
      <c r="G1573">
        <f>259241272/10^6</f>
      </c>
      <c r="H1573">
        <f>0</f>
      </c>
      <c r="I1573">
        <f>-42930866/10^6</f>
      </c>
      <c r="J1573">
        <f>0</f>
      </c>
    </row>
    <row r="1574">
      <c r="A1574" t="s">
        <v>1583</v>
      </c>
      <c r="B1574" t="s">
        <v>11</v>
      </c>
      <c r="C1574">
        <f>115054203125/10^6</f>
      </c>
      <c r="D1574">
        <f>0</f>
      </c>
      <c r="E1574">
        <f>768115417/10^6</f>
      </c>
      <c r="F1574">
        <f>0</f>
      </c>
      <c r="G1574">
        <f>259417511/10^6</f>
      </c>
      <c r="H1574">
        <f>0</f>
      </c>
      <c r="I1574">
        <f>-42950893/10^6</f>
      </c>
      <c r="J1574">
        <f>0</f>
      </c>
    </row>
    <row r="1575">
      <c r="A1575" t="s">
        <v>1584</v>
      </c>
      <c r="B1575" t="s">
        <v>11</v>
      </c>
      <c r="C1575">
        <f>115078445313/10^6</f>
      </c>
      <c r="D1575">
        <f>0</f>
      </c>
      <c r="E1575">
        <f>76803949/10^5</f>
      </c>
      <c r="F1575">
        <f>0</f>
      </c>
      <c r="G1575">
        <f>25965744/10^5</f>
      </c>
      <c r="H1575">
        <f>0</f>
      </c>
      <c r="I1575">
        <f>-42896622/10^6</f>
      </c>
      <c r="J1575">
        <f>0</f>
      </c>
    </row>
    <row r="1576">
      <c r="A1576" t="s">
        <v>1585</v>
      </c>
      <c r="B1576" t="s">
        <v>11</v>
      </c>
      <c r="C1576">
        <f>115051203125/10^6</f>
      </c>
      <c r="D1576">
        <f>0</f>
      </c>
      <c r="E1576">
        <f>767955627/10^6</f>
      </c>
      <c r="F1576">
        <f>0</f>
      </c>
      <c r="G1576">
        <f>259624786/10^6</f>
      </c>
      <c r="H1576">
        <f>0</f>
      </c>
      <c r="I1576">
        <f>-43081829/10^6</f>
      </c>
      <c r="J1576">
        <f>0</f>
      </c>
    </row>
    <row r="1577">
      <c r="A1577" t="s">
        <v>1586</v>
      </c>
      <c r="B1577" t="s">
        <v>11</v>
      </c>
      <c r="C1577">
        <f>114979234375/10^6</f>
      </c>
      <c r="D1577">
        <f>0</f>
      </c>
      <c r="E1577">
        <f>768337158/10^6</f>
      </c>
      <c r="F1577">
        <f>0</f>
      </c>
      <c r="G1577">
        <f>259413269/10^6</f>
      </c>
      <c r="H1577">
        <f>0</f>
      </c>
      <c r="I1577">
        <f>-43586777/10^6</f>
      </c>
      <c r="J1577">
        <f>0</f>
      </c>
    </row>
    <row r="1578">
      <c r="A1578" t="s">
        <v>1587</v>
      </c>
      <c r="B1578" t="s">
        <v>11</v>
      </c>
      <c r="C1578">
        <f>114932296875/10^6</f>
      </c>
      <c r="D1578">
        <f>0</f>
      </c>
      <c r="E1578">
        <f>768690796/10^6</f>
      </c>
      <c r="F1578">
        <f>0</f>
      </c>
      <c r="G1578">
        <f>259321045/10^6</f>
      </c>
      <c r="H1578">
        <f>0</f>
      </c>
      <c r="I1578">
        <f>-43910458/10^6</f>
      </c>
      <c r="J1578">
        <f>0</f>
      </c>
    </row>
    <row r="1579">
      <c r="A1579" t="s">
        <v>1588</v>
      </c>
      <c r="B1579" t="s">
        <v>11</v>
      </c>
      <c r="C1579">
        <f>114955203125/10^6</f>
      </c>
      <c r="D1579">
        <f>0</f>
      </c>
      <c r="E1579">
        <f>768628479/10^6</f>
      </c>
      <c r="F1579">
        <f>0</f>
      </c>
      <c r="G1579">
        <f>259336151/10^6</f>
      </c>
      <c r="H1579">
        <f>0</f>
      </c>
      <c r="I1579">
        <f>-4399939/10^5</f>
      </c>
      <c r="J1579">
        <f>0</f>
      </c>
    </row>
    <row r="1580">
      <c r="A1580" t="s">
        <v>1589</v>
      </c>
      <c r="B1580" t="s">
        <v>11</v>
      </c>
      <c r="C1580">
        <f>115031367188/10^6</f>
      </c>
      <c r="D1580">
        <f>0</f>
      </c>
      <c r="E1580">
        <f>768591431/10^6</f>
      </c>
      <c r="F1580">
        <f>0</f>
      </c>
      <c r="G1580">
        <f>259301941/10^6</f>
      </c>
      <c r="H1580">
        <f>0</f>
      </c>
      <c r="I1580">
        <f>-4409594/10^5</f>
      </c>
      <c r="J1580">
        <f>0</f>
      </c>
    </row>
    <row r="1581">
      <c r="A1581" t="s">
        <v>1590</v>
      </c>
      <c r="B1581" t="s">
        <v>11</v>
      </c>
      <c r="C1581">
        <f>115162117188/10^6</f>
      </c>
      <c r="D1581">
        <f>0</f>
      </c>
      <c r="E1581">
        <f>768499695/10^6</f>
      </c>
      <c r="F1581">
        <f>0</f>
      </c>
      <c r="G1581">
        <f>259431305/10^6</f>
      </c>
      <c r="H1581">
        <f>0</f>
      </c>
      <c r="I1581">
        <f>-44188744/10^6</f>
      </c>
      <c r="J1581">
        <f>0</f>
      </c>
    </row>
    <row r="1582">
      <c r="A1582" t="s">
        <v>1591</v>
      </c>
      <c r="B1582" t="s">
        <v>11</v>
      </c>
      <c r="C1582">
        <f>115378265625/10^6</f>
      </c>
      <c r="D1582">
        <f>0</f>
      </c>
      <c r="E1582">
        <f>767806274/10^6</f>
      </c>
      <c r="F1582">
        <f>0</f>
      </c>
      <c r="G1582">
        <f>25972522/10^5</f>
      </c>
      <c r="H1582">
        <f>0</f>
      </c>
      <c r="I1582">
        <f>-44420555/10^6</f>
      </c>
      <c r="J1582">
        <f>0</f>
      </c>
    </row>
    <row r="1583">
      <c r="A1583" t="s">
        <v>1592</v>
      </c>
      <c r="B1583" t="s">
        <v>11</v>
      </c>
      <c r="C1583">
        <f>11570528125/10^5</f>
      </c>
      <c r="D1583">
        <f>0</f>
      </c>
      <c r="E1583">
        <f>766340637/10^6</f>
      </c>
      <c r="F1583">
        <f>0</f>
      </c>
      <c r="G1583">
        <f>259964996/10^6</f>
      </c>
      <c r="H1583">
        <f>0</f>
      </c>
      <c r="I1583">
        <f>-44506371/10^6</f>
      </c>
      <c r="J1583">
        <f>0</f>
      </c>
    </row>
    <row r="1584">
      <c r="A1584" t="s">
        <v>1593</v>
      </c>
      <c r="B1584" t="s">
        <v>11</v>
      </c>
      <c r="C1584">
        <f>116156960938/10^6</f>
      </c>
      <c r="D1584">
        <f>0</f>
      </c>
      <c r="E1584">
        <f>76407428/10^5</f>
      </c>
      <c r="F1584">
        <f>0</f>
      </c>
      <c r="G1584">
        <f>260285645/10^6</f>
      </c>
      <c r="H1584">
        <f>0</f>
      </c>
      <c r="I1584">
        <f>-44068939/10^6</f>
      </c>
      <c r="J1584">
        <f>0</f>
      </c>
    </row>
    <row r="1585">
      <c r="A1585" t="s">
        <v>1594</v>
      </c>
      <c r="B1585" t="s">
        <v>11</v>
      </c>
      <c r="C1585">
        <f>116739757813/10^6</f>
      </c>
      <c r="D1585">
        <f>0</f>
      </c>
      <c r="E1585">
        <f>761248962/10^6</f>
      </c>
      <c r="F1585">
        <f>0</f>
      </c>
      <c r="G1585">
        <f>26060025/10^5</f>
      </c>
      <c r="H1585">
        <f>0</f>
      </c>
      <c r="I1585">
        <f>-43615452/10^6</f>
      </c>
      <c r="J1585">
        <f>0</f>
      </c>
    </row>
    <row r="1586">
      <c r="A1586" t="s">
        <v>1595</v>
      </c>
      <c r="B1586" t="s">
        <v>11</v>
      </c>
      <c r="C1586">
        <f>11748165625/10^5</f>
      </c>
      <c r="D1586">
        <f>0</f>
      </c>
      <c r="E1586">
        <f>758061523/10^6</f>
      </c>
      <c r="F1586">
        <f>0</f>
      </c>
      <c r="G1586">
        <f>261062073/10^6</f>
      </c>
      <c r="H1586">
        <f>0</f>
      </c>
      <c r="I1586">
        <f>-43098099/10^6</f>
      </c>
      <c r="J1586">
        <f>0</f>
      </c>
    </row>
    <row r="1587">
      <c r="A1587" t="s">
        <v>1596</v>
      </c>
      <c r="B1587" t="s">
        <v>11</v>
      </c>
      <c r="C1587">
        <f>1183875/10^1</f>
      </c>
      <c r="D1587">
        <f>0</f>
      </c>
      <c r="E1587">
        <f>754191345/10^6</f>
      </c>
      <c r="F1587">
        <f>0</f>
      </c>
      <c r="G1587">
        <f>261793671/10^6</f>
      </c>
      <c r="H1587">
        <f>0</f>
      </c>
      <c r="I1587">
        <f>-42409069/10^6</f>
      </c>
      <c r="J1587">
        <f>0</f>
      </c>
    </row>
    <row r="1588">
      <c r="A1588" t="s">
        <v>1597</v>
      </c>
      <c r="B1588" t="s">
        <v>11</v>
      </c>
      <c r="C1588">
        <f>119405648438/10^6</f>
      </c>
      <c r="D1588">
        <f>0</f>
      </c>
      <c r="E1588">
        <f>749538452/10^6</f>
      </c>
      <c r="F1588">
        <f>0</f>
      </c>
      <c r="G1588">
        <f>262352051/10^6</f>
      </c>
      <c r="H1588">
        <f>0</f>
      </c>
      <c r="I1588">
        <f>-41755871/10^6</f>
      </c>
      <c r="J1588">
        <f>0</f>
      </c>
    </row>
    <row r="1589">
      <c r="A1589" t="s">
        <v>1598</v>
      </c>
      <c r="B1589" t="s">
        <v>11</v>
      </c>
      <c r="C1589">
        <f>1205090625/10^4</f>
      </c>
      <c r="D1589">
        <f>0</f>
      </c>
      <c r="E1589">
        <f>74412439/10^5</f>
      </c>
      <c r="F1589">
        <f>0</f>
      </c>
      <c r="G1589">
        <f>263175415/10^6</f>
      </c>
      <c r="H1589">
        <f>0</f>
      </c>
      <c r="I1589">
        <f>-40348583/10^6</f>
      </c>
      <c r="J1589">
        <f>0</f>
      </c>
    </row>
    <row r="1590">
      <c r="A1590" t="s">
        <v>1599</v>
      </c>
      <c r="B1590" t="s">
        <v>11</v>
      </c>
      <c r="C1590">
        <f>1216575/10^1</f>
      </c>
      <c r="D1590">
        <f>0</f>
      </c>
      <c r="E1590">
        <f>737945251/10^6</f>
      </c>
      <c r="F1590">
        <f>0</f>
      </c>
      <c r="G1590">
        <f>264203125/10^6</f>
      </c>
      <c r="H1590">
        <f>0</f>
      </c>
      <c r="I1590">
        <f>-38789753/10^6</f>
      </c>
      <c r="J1590">
        <f>0</f>
      </c>
    </row>
    <row r="1591">
      <c r="A1591" t="s">
        <v>1600</v>
      </c>
      <c r="B1591" t="s">
        <v>11</v>
      </c>
      <c r="C1591">
        <f>122685210938/10^6</f>
      </c>
      <c r="D1591">
        <f>0</f>
      </c>
      <c r="E1591">
        <f>731645508/10^6</f>
      </c>
      <c r="F1591">
        <f>0</f>
      </c>
      <c r="G1591">
        <f>264505402/10^6</f>
      </c>
      <c r="H1591">
        <f>0</f>
      </c>
      <c r="I1591">
        <f>-37741226/10^6</f>
      </c>
      <c r="J1591">
        <f>0</f>
      </c>
    </row>
    <row r="1592">
      <c r="A1592" t="s">
        <v>1601</v>
      </c>
      <c r="B1592" t="s">
        <v>11</v>
      </c>
      <c r="C1592">
        <f>12339996875/10^5</f>
      </c>
      <c r="D1592">
        <f>0</f>
      </c>
      <c r="E1592">
        <f>72641803/10^5</f>
      </c>
      <c r="F1592">
        <f>0</f>
      </c>
      <c r="G1592">
        <f>264540375/10^6</f>
      </c>
      <c r="H1592">
        <f>0</f>
      </c>
      <c r="I1592">
        <f>-36237694/10^6</f>
      </c>
      <c r="J1592">
        <f>0</f>
      </c>
    </row>
    <row r="1593">
      <c r="A1593" t="s">
        <v>1602</v>
      </c>
      <c r="B1593" t="s">
        <v>11</v>
      </c>
      <c r="C1593">
        <f>123750203125/10^6</f>
      </c>
      <c r="D1593">
        <f>0</f>
      </c>
      <c r="E1593">
        <f>723342041/10^6</f>
      </c>
      <c r="F1593">
        <f>0</f>
      </c>
      <c r="G1593">
        <f>264644501/10^6</f>
      </c>
      <c r="H1593">
        <f>0</f>
      </c>
      <c r="I1593">
        <f>-351147/10^4</f>
      </c>
      <c r="J1593">
        <f>0</f>
      </c>
    </row>
    <row r="1594">
      <c r="A1594" t="s">
        <v>1603</v>
      </c>
      <c r="B1594" t="s">
        <v>11</v>
      </c>
      <c r="C1594">
        <f>123836554688/10^6</f>
      </c>
      <c r="D1594">
        <f>0</f>
      </c>
      <c r="E1594">
        <f>722127136/10^6</f>
      </c>
      <c r="F1594">
        <f>0</f>
      </c>
      <c r="G1594">
        <f>264330017/10^6</f>
      </c>
      <c r="H1594">
        <f>0</f>
      </c>
      <c r="I1594">
        <f>-34914921/10^6</f>
      </c>
      <c r="J1594">
        <f>0</f>
      </c>
    </row>
    <row r="1595">
      <c r="A1595" t="s">
        <v>1604</v>
      </c>
      <c r="B1595" t="s">
        <v>11</v>
      </c>
      <c r="C1595">
        <f>123819867188/10^6</f>
      </c>
      <c r="D1595">
        <f>0</f>
      </c>
      <c r="E1595">
        <f>721565979/10^6</f>
      </c>
      <c r="F1595">
        <f>0</f>
      </c>
      <c r="G1595">
        <f>263922333/10^6</f>
      </c>
      <c r="H1595">
        <f>0</f>
      </c>
      <c r="I1595">
        <f>-34660686/10^6</f>
      </c>
      <c r="J1595">
        <f>0</f>
      </c>
    </row>
    <row r="1596">
      <c r="A1596" t="s">
        <v>1605</v>
      </c>
      <c r="B1596" t="s">
        <v>11</v>
      </c>
      <c r="C1596">
        <f>12379703125/10^5</f>
      </c>
      <c r="D1596">
        <f>0</f>
      </c>
      <c r="E1596">
        <f>721263428/10^6</f>
      </c>
      <c r="F1596">
        <f>0</f>
      </c>
      <c r="G1596">
        <f>26373056/10^5</f>
      </c>
      <c r="H1596">
        <f>0</f>
      </c>
      <c r="I1596">
        <f>-34565613/10^6</f>
      </c>
      <c r="J1596">
        <f>0</f>
      </c>
    </row>
    <row r="1597">
      <c r="A1597" t="s">
        <v>1606</v>
      </c>
      <c r="B1597" t="s">
        <v>11</v>
      </c>
      <c r="C1597">
        <f>123769375/10^3</f>
      </c>
      <c r="D1597">
        <f>0</f>
      </c>
      <c r="E1597">
        <f>720988403/10^6</f>
      </c>
      <c r="F1597">
        <f>0</f>
      </c>
      <c r="G1597">
        <f>263546143/10^6</f>
      </c>
      <c r="H1597">
        <f>0</f>
      </c>
      <c r="I1597">
        <f>-34761154/10^6</f>
      </c>
      <c r="J1597">
        <f>0</f>
      </c>
    </row>
    <row r="1598">
      <c r="A1598" t="s">
        <v>1607</v>
      </c>
      <c r="B1598" t="s">
        <v>11</v>
      </c>
      <c r="C1598">
        <f>123700617188/10^6</f>
      </c>
      <c r="D1598">
        <f>0</f>
      </c>
      <c r="E1598">
        <f>720651245/10^6</f>
      </c>
      <c r="F1598">
        <f>0</f>
      </c>
      <c r="G1598">
        <f>263351318/10^6</f>
      </c>
      <c r="H1598">
        <f>0</f>
      </c>
      <c r="I1598">
        <f>-34876892/10^6</f>
      </c>
      <c r="J1598">
        <f>0</f>
      </c>
    </row>
    <row r="1599">
      <c r="A1599" t="s">
        <v>1608</v>
      </c>
      <c r="B1599" t="s">
        <v>11</v>
      </c>
      <c r="C1599">
        <f>123556507813/10^6</f>
      </c>
      <c r="D1599">
        <f>0</f>
      </c>
      <c r="E1599">
        <f>720861389/10^6</f>
      </c>
      <c r="F1599">
        <f>0</f>
      </c>
      <c r="G1599">
        <f>26308551/10^5</f>
      </c>
      <c r="H1599">
        <f>0</f>
      </c>
      <c r="I1599">
        <f>-34971115/10^6</f>
      </c>
      <c r="J1599">
        <f>0</f>
      </c>
    </row>
    <row r="1600">
      <c r="A1600" t="s">
        <v>1609</v>
      </c>
      <c r="B1600" t="s">
        <v>11</v>
      </c>
      <c r="C1600">
        <f>123333335938/10^6</f>
      </c>
      <c r="D1600">
        <f>0</f>
      </c>
      <c r="E1600">
        <f>721514526/10^6</f>
      </c>
      <c r="F1600">
        <f>0</f>
      </c>
      <c r="G1600">
        <f>262812225/10^6</f>
      </c>
      <c r="H1600">
        <f>0</f>
      </c>
      <c r="I1600">
        <f>-35046703/10^6</f>
      </c>
      <c r="J1600">
        <f>0</f>
      </c>
    </row>
    <row r="1601">
      <c r="A1601" t="s">
        <v>1610</v>
      </c>
      <c r="B1601" t="s">
        <v>11</v>
      </c>
      <c r="C1601">
        <f>123044429688/10^6</f>
      </c>
      <c r="D1601">
        <f>0</f>
      </c>
      <c r="E1601">
        <f>722308105/10^6</f>
      </c>
      <c r="F1601">
        <f>0</f>
      </c>
      <c r="G1601">
        <f>26256955/10^5</f>
      </c>
      <c r="H1601">
        <f>0</f>
      </c>
      <c r="I1601">
        <f>-35319538/10^6</f>
      </c>
      <c r="J1601">
        <f>0</f>
      </c>
    </row>
    <row r="1602">
      <c r="A1602" t="s">
        <v>1611</v>
      </c>
      <c r="B1602" t="s">
        <v>11</v>
      </c>
      <c r="C1602">
        <f>122701984375/10^6</f>
      </c>
      <c r="D1602">
        <f>0</f>
      </c>
      <c r="E1602">
        <f>723806946/10^6</f>
      </c>
      <c r="F1602">
        <f>0</f>
      </c>
      <c r="G1602">
        <f>262199524/10^6</f>
      </c>
      <c r="H1602">
        <f>0</f>
      </c>
      <c r="I1602">
        <f>-35792301/10^6</f>
      </c>
      <c r="J1602">
        <f>0</f>
      </c>
    </row>
    <row r="1603">
      <c r="A1603" t="s">
        <v>1612</v>
      </c>
      <c r="B1603" t="s">
        <v>11</v>
      </c>
      <c r="C1603">
        <f>122322609375/10^6</f>
      </c>
      <c r="D1603">
        <f>0</f>
      </c>
      <c r="E1603">
        <f>725954651/10^6</f>
      </c>
      <c r="F1603">
        <f>0</f>
      </c>
      <c r="G1603">
        <f>261923218/10^6</f>
      </c>
      <c r="H1603">
        <f>0</f>
      </c>
      <c r="I1603">
        <f>-36174904/10^6</f>
      </c>
      <c r="J1603">
        <f>0</f>
      </c>
    </row>
    <row r="1604">
      <c r="A1604" t="s">
        <v>1613</v>
      </c>
      <c r="B1604" t="s">
        <v>11</v>
      </c>
      <c r="C1604">
        <f>121921617188/10^6</f>
      </c>
      <c r="D1604">
        <f>0</f>
      </c>
      <c r="E1604">
        <f>728113708/10^6</f>
      </c>
      <c r="F1604">
        <f>0</f>
      </c>
      <c r="G1604">
        <f>261786621/10^6</f>
      </c>
      <c r="H1604">
        <f>0</f>
      </c>
      <c r="I1604">
        <f>-36788094/10^6</f>
      </c>
      <c r="J1604">
        <f>0</f>
      </c>
    </row>
    <row r="1605">
      <c r="A1605" t="s">
        <v>1614</v>
      </c>
      <c r="B1605" t="s">
        <v>11</v>
      </c>
      <c r="C1605">
        <f>12151525/10^2</f>
      </c>
      <c r="D1605">
        <f>0</f>
      </c>
      <c r="E1605">
        <f>730366211/10^6</f>
      </c>
      <c r="F1605">
        <f>0</f>
      </c>
      <c r="G1605">
        <f>261624359/10^6</f>
      </c>
      <c r="H1605">
        <f>0</f>
      </c>
      <c r="I1605">
        <f>-37474628/10^6</f>
      </c>
      <c r="J1605">
        <f>0</f>
      </c>
    </row>
    <row r="1606">
      <c r="A1606" t="s">
        <v>1615</v>
      </c>
      <c r="B1606" t="s">
        <v>11</v>
      </c>
      <c r="C1606">
        <f>121113539063/10^6</f>
      </c>
      <c r="D1606">
        <f>0</f>
      </c>
      <c r="E1606">
        <f>732798584/10^6</f>
      </c>
      <c r="F1606">
        <f>0</f>
      </c>
      <c r="G1606">
        <f>261527832/10^6</f>
      </c>
      <c r="H1606">
        <f>0</f>
      </c>
      <c r="I1606">
        <f>-37982845/10^6</f>
      </c>
      <c r="J1606">
        <f>0</f>
      </c>
    </row>
    <row r="1607">
      <c r="A1607" t="s">
        <v>1616</v>
      </c>
      <c r="B1607" t="s">
        <v>11</v>
      </c>
      <c r="C1607">
        <f>120717242188/10^6</f>
      </c>
      <c r="D1607">
        <f>0</f>
      </c>
      <c r="E1607">
        <f>735142517/10^6</f>
      </c>
      <c r="F1607">
        <f>0</f>
      </c>
      <c r="G1607">
        <f>261480652/10^6</f>
      </c>
      <c r="H1607">
        <f>0</f>
      </c>
      <c r="I1607">
        <f>-38643375/10^6</f>
      </c>
      <c r="J1607">
        <f>0</f>
      </c>
    </row>
    <row r="1608">
      <c r="A1608" t="s">
        <v>1617</v>
      </c>
      <c r="B1608" t="s">
        <v>11</v>
      </c>
      <c r="C1608">
        <f>120328609375/10^6</f>
      </c>
      <c r="D1608">
        <f>0</f>
      </c>
      <c r="E1608">
        <f>737403015/10^6</f>
      </c>
      <c r="F1608">
        <f>0</f>
      </c>
      <c r="G1608">
        <f>261411011/10^6</f>
      </c>
      <c r="H1608">
        <f>0</f>
      </c>
      <c r="I1608">
        <f>-39199532/10^6</f>
      </c>
      <c r="J1608">
        <f>0</f>
      </c>
    </row>
    <row r="1609">
      <c r="A1609" t="s">
        <v>1618</v>
      </c>
      <c r="B1609" t="s">
        <v>11</v>
      </c>
      <c r="C1609">
        <f>119946453125/10^6</f>
      </c>
      <c r="D1609">
        <f>0</f>
      </c>
      <c r="E1609">
        <f>739631226/10^6</f>
      </c>
      <c r="F1609">
        <f>0</f>
      </c>
      <c r="G1609">
        <f>261344055/10^6</f>
      </c>
      <c r="H1609">
        <f>0</f>
      </c>
      <c r="I1609">
        <f>-39604298/10^6</f>
      </c>
      <c r="J1609">
        <f>0</f>
      </c>
    </row>
    <row r="1610">
      <c r="A1610" t="s">
        <v>1619</v>
      </c>
      <c r="B1610" t="s">
        <v>11</v>
      </c>
      <c r="C1610">
        <f>119578429688/10^6</f>
      </c>
      <c r="D1610">
        <f>0</f>
      </c>
      <c r="E1610">
        <f>741650208/10^6</f>
      </c>
      <c r="F1610">
        <f>0</f>
      </c>
      <c r="G1610">
        <f>261313812/10^6</f>
      </c>
      <c r="H1610">
        <f>0</f>
      </c>
      <c r="I1610">
        <f>-40001266/10^6</f>
      </c>
      <c r="J1610">
        <f>0</f>
      </c>
    </row>
    <row r="1611">
      <c r="A1611" t="s">
        <v>1620</v>
      </c>
      <c r="B1611" t="s">
        <v>11</v>
      </c>
      <c r="C1611">
        <f>11922815625/10^5</f>
      </c>
      <c r="D1611">
        <f>0</f>
      </c>
      <c r="E1611">
        <f>743444153/10^6</f>
      </c>
      <c r="F1611">
        <f>0</f>
      </c>
      <c r="G1611">
        <f>261162048/10^6</f>
      </c>
      <c r="H1611">
        <f>0</f>
      </c>
      <c r="I1611">
        <f>-40486969/10^6</f>
      </c>
      <c r="J1611">
        <f>0</f>
      </c>
    </row>
    <row r="1612">
      <c r="A1612" t="s">
        <v>1621</v>
      </c>
      <c r="B1612" t="s">
        <v>11</v>
      </c>
      <c r="C1612">
        <f>118876/10^0</f>
      </c>
      <c r="D1612">
        <f>0</f>
      </c>
      <c r="E1612">
        <f>745478943/10^6</f>
      </c>
      <c r="F1612">
        <f>0</f>
      </c>
      <c r="G1612">
        <f>26080188/10^5</f>
      </c>
      <c r="H1612">
        <f>0</f>
      </c>
      <c r="I1612">
        <f>-41233479/10^6</f>
      </c>
      <c r="J1612">
        <f>0</f>
      </c>
    </row>
    <row r="1613">
      <c r="A1613" t="s">
        <v>1622</v>
      </c>
      <c r="B1613" t="s">
        <v>11</v>
      </c>
      <c r="C1613">
        <f>118531132813/10^6</f>
      </c>
      <c r="D1613">
        <f>0</f>
      </c>
      <c r="E1613">
        <f>747804321/10^6</f>
      </c>
      <c r="F1613">
        <f>0</f>
      </c>
      <c r="G1613">
        <f>260572235/10^6</f>
      </c>
      <c r="H1613">
        <f>0</f>
      </c>
      <c r="I1613">
        <f>-41801918/10^6</f>
      </c>
      <c r="J1613">
        <f>0</f>
      </c>
    </row>
    <row r="1614">
      <c r="A1614" t="s">
        <v>1623</v>
      </c>
      <c r="B1614" t="s">
        <v>11</v>
      </c>
      <c r="C1614">
        <f>118222367188/10^6</f>
      </c>
      <c r="D1614">
        <f>0</f>
      </c>
      <c r="E1614">
        <f>749887512/10^6</f>
      </c>
      <c r="F1614">
        <f>0</f>
      </c>
      <c r="G1614">
        <f>260544952/10^6</f>
      </c>
      <c r="H1614">
        <f>0</f>
      </c>
      <c r="I1614">
        <f>-42246979/10^6</f>
      </c>
      <c r="J1614">
        <f>0</f>
      </c>
    </row>
    <row r="1615">
      <c r="A1615" t="s">
        <v>1624</v>
      </c>
      <c r="B1615" t="s">
        <v>11</v>
      </c>
      <c r="C1615">
        <f>117944492188/10^6</f>
      </c>
      <c r="D1615">
        <f>0</f>
      </c>
      <c r="E1615">
        <f>751801758/10^6</f>
      </c>
      <c r="F1615">
        <f>0</f>
      </c>
      <c r="G1615">
        <f>260494019/10^6</f>
      </c>
      <c r="H1615">
        <f>0</f>
      </c>
      <c r="I1615">
        <f>-4275227/10^5</f>
      </c>
      <c r="J1615">
        <f>0</f>
      </c>
    </row>
    <row r="1616">
      <c r="A1616" t="s">
        <v>1625</v>
      </c>
      <c r="B1616" t="s">
        <v>11</v>
      </c>
      <c r="C1616">
        <f>117699453125/10^6</f>
      </c>
      <c r="D1616">
        <f>0</f>
      </c>
      <c r="E1616">
        <f>753704041/10^6</f>
      </c>
      <c r="F1616">
        <f>0</f>
      </c>
      <c r="G1616">
        <f>260473267/10^6</f>
      </c>
      <c r="H1616">
        <f>0</f>
      </c>
      <c r="I1616">
        <f>-4312096/10^5</f>
      </c>
      <c r="J1616">
        <f>0</f>
      </c>
    </row>
    <row r="1617">
      <c r="A1617" t="s">
        <v>1626</v>
      </c>
      <c r="B1617" t="s">
        <v>11</v>
      </c>
      <c r="C1617">
        <f>117488867188/10^6</f>
      </c>
      <c r="D1617">
        <f>0</f>
      </c>
      <c r="E1617">
        <f>755334473/10^6</f>
      </c>
      <c r="F1617">
        <f>0</f>
      </c>
      <c r="G1617">
        <f>260538483/10^6</f>
      </c>
      <c r="H1617">
        <f>0</f>
      </c>
      <c r="I1617">
        <f>-4351519/10^5</f>
      </c>
      <c r="J1617">
        <f>0</f>
      </c>
    </row>
    <row r="1618">
      <c r="A1618" t="s">
        <v>1627</v>
      </c>
      <c r="B1618" t="s">
        <v>11</v>
      </c>
      <c r="C1618">
        <f>117282992188/10^6</f>
      </c>
      <c r="D1618">
        <f>0</f>
      </c>
      <c r="E1618">
        <f>756748535/10^6</f>
      </c>
      <c r="F1618">
        <f>0</f>
      </c>
      <c r="G1618">
        <f>260561737/10^6</f>
      </c>
      <c r="H1618">
        <f>0</f>
      </c>
      <c r="I1618">
        <f>-43866043/10^6</f>
      </c>
      <c r="J1618">
        <f>0</f>
      </c>
    </row>
    <row r="1619">
      <c r="A1619" t="s">
        <v>1628</v>
      </c>
      <c r="B1619" t="s">
        <v>11</v>
      </c>
      <c r="C1619">
        <f>117051296875/10^6</f>
      </c>
      <c r="D1619">
        <f>0</f>
      </c>
      <c r="E1619">
        <f>75813092/10^5</f>
      </c>
      <c r="F1619">
        <f>0</f>
      </c>
      <c r="G1619">
        <f>260483948/10^6</f>
      </c>
      <c r="H1619">
        <f>0</f>
      </c>
      <c r="I1619">
        <f>-44162357/10^6</f>
      </c>
      <c r="J1619">
        <f>0</f>
      </c>
    </row>
    <row r="1620">
      <c r="A1620" t="s">
        <v>1629</v>
      </c>
      <c r="B1620" t="s">
        <v>11</v>
      </c>
      <c r="C1620">
        <f>116770296875/10^6</f>
      </c>
      <c r="D1620">
        <f>0</f>
      </c>
      <c r="E1620">
        <f>759668823/10^6</f>
      </c>
      <c r="F1620">
        <f>0</f>
      </c>
      <c r="G1620">
        <f>260399261/10^6</f>
      </c>
      <c r="H1620">
        <f>0</f>
      </c>
      <c r="I1620">
        <f>-4445414/10^5</f>
      </c>
      <c r="J1620">
        <f>0</f>
      </c>
    </row>
    <row r="1621">
      <c r="A1621" t="s">
        <v>1630</v>
      </c>
      <c r="B1621" t="s">
        <v>11</v>
      </c>
      <c r="C1621">
        <f>116452085938/10^6</f>
      </c>
      <c r="D1621">
        <f>0</f>
      </c>
      <c r="E1621">
        <f>761562378/10^6</f>
      </c>
      <c r="F1621">
        <f>0</f>
      </c>
      <c r="G1621">
        <f>260329468/10^6</f>
      </c>
      <c r="H1621">
        <f>0</f>
      </c>
      <c r="I1621">
        <f>-44764675/10^6</f>
      </c>
      <c r="J1621">
        <f>0</f>
      </c>
    </row>
    <row r="1622">
      <c r="A1622" t="s">
        <v>1631</v>
      </c>
      <c r="B1622" t="s">
        <v>11</v>
      </c>
      <c r="C1622">
        <f>11613059375/10^5</f>
      </c>
      <c r="D1622">
        <f>0</f>
      </c>
      <c r="E1622">
        <f>763487/10^3</f>
      </c>
      <c r="F1622">
        <f>0</f>
      </c>
      <c r="G1622">
        <f>260273865/10^6</f>
      </c>
      <c r="H1622">
        <f>0</f>
      </c>
      <c r="I1622">
        <f>-45280849/10^6</f>
      </c>
      <c r="J1622">
        <f>0</f>
      </c>
    </row>
    <row r="1623">
      <c r="A1623" t="s">
        <v>1632</v>
      </c>
      <c r="B1623" t="s">
        <v>11</v>
      </c>
      <c r="C1623">
        <f>115790125/10^3</f>
      </c>
      <c r="D1623">
        <f>0</f>
      </c>
      <c r="E1623">
        <f>765173706/10^6</f>
      </c>
      <c r="F1623">
        <f>0</f>
      </c>
      <c r="G1623">
        <f>260193024/10^6</f>
      </c>
      <c r="H1623">
        <f>0</f>
      </c>
      <c r="I1623">
        <f>-45617573/10^6</f>
      </c>
      <c r="J1623">
        <f>0</f>
      </c>
    </row>
    <row r="1624">
      <c r="A1624" t="s">
        <v>1633</v>
      </c>
      <c r="B1624" t="s">
        <v>11</v>
      </c>
      <c r="C1624">
        <f>115399570313/10^6</f>
      </c>
      <c r="D1624">
        <f>0</f>
      </c>
      <c r="E1624">
        <f>766961914/10^6</f>
      </c>
      <c r="F1624">
        <f>0</f>
      </c>
      <c r="G1624">
        <f>259930237/10^6</f>
      </c>
      <c r="H1624">
        <f>0</f>
      </c>
      <c r="I1624">
        <f>-45721508/10^6</f>
      </c>
      <c r="J1624">
        <f>0</f>
      </c>
    </row>
    <row r="1625">
      <c r="A1625" t="s">
        <v>1634</v>
      </c>
      <c r="B1625" t="s">
        <v>11</v>
      </c>
      <c r="C1625">
        <f>1150246875/10^4</f>
      </c>
      <c r="D1625">
        <f>0</f>
      </c>
      <c r="E1625">
        <f>768607178/10^6</f>
      </c>
      <c r="F1625">
        <f>0</f>
      </c>
      <c r="G1625">
        <f>259651489/10^6</f>
      </c>
      <c r="H1625">
        <f>0</f>
      </c>
      <c r="I1625">
        <f>-45937565/10^6</f>
      </c>
      <c r="J1625">
        <f>0</f>
      </c>
    </row>
    <row r="1626">
      <c r="A1626" t="s">
        <v>1635</v>
      </c>
      <c r="B1626" t="s">
        <v>11</v>
      </c>
      <c r="C1626">
        <f>114776976563/10^6</f>
      </c>
      <c r="D1626">
        <f>0</f>
      </c>
      <c r="E1626">
        <f>769222595/10^6</f>
      </c>
      <c r="F1626">
        <f>0</f>
      </c>
      <c r="G1626">
        <f>259413055/10^6</f>
      </c>
      <c r="H1626">
        <f>0</f>
      </c>
      <c r="I1626">
        <f>-4573489/10^5</f>
      </c>
      <c r="J1626">
        <f>0</f>
      </c>
    </row>
    <row r="1627">
      <c r="A1627" t="s">
        <v>1636</v>
      </c>
      <c r="B1627" t="s">
        <v>11</v>
      </c>
      <c r="C1627">
        <f>1146140625/10^4</f>
      </c>
      <c r="D1627">
        <f>0</f>
      </c>
      <c r="E1627">
        <f>769296814/10^6</f>
      </c>
      <c r="F1627">
        <f>0</f>
      </c>
      <c r="G1627">
        <f>259051514/10^6</f>
      </c>
      <c r="H1627">
        <f>0</f>
      </c>
      <c r="I1627">
        <f>-45093433/10^6</f>
      </c>
      <c r="J1627">
        <f>0</f>
      </c>
    </row>
    <row r="1628">
      <c r="A1628" t="s">
        <v>1637</v>
      </c>
      <c r="B1628" t="s">
        <v>11</v>
      </c>
      <c r="C1628">
        <f>114432007813/10^6</f>
      </c>
      <c r="D1628">
        <f>0</f>
      </c>
      <c r="E1628">
        <f>769750671/10^6</f>
      </c>
      <c r="F1628">
        <f>0</f>
      </c>
      <c r="G1628">
        <f>258773956/10^6</f>
      </c>
      <c r="H1628">
        <f>0</f>
      </c>
      <c r="I1628">
        <f>-44623814/10^6</f>
      </c>
      <c r="J1628">
        <f>0</f>
      </c>
    </row>
    <row r="1629">
      <c r="A1629" t="s">
        <v>1638</v>
      </c>
      <c r="B1629" t="s">
        <v>11</v>
      </c>
      <c r="C1629">
        <f>114281359375/10^6</f>
      </c>
      <c r="D1629">
        <f>0</f>
      </c>
      <c r="E1629">
        <f>769565063/10^6</f>
      </c>
      <c r="F1629">
        <f>0</f>
      </c>
      <c r="G1629">
        <f>258556854/10^6</f>
      </c>
      <c r="H1629">
        <f>0</f>
      </c>
      <c r="I1629">
        <f>-44175278/10^6</f>
      </c>
      <c r="J1629">
        <f>0</f>
      </c>
    </row>
    <row r="1630">
      <c r="A1630" t="s">
        <v>1639</v>
      </c>
      <c r="B1630" t="s">
        <v>11</v>
      </c>
      <c r="C1630">
        <f>1142126875/10^4</f>
      </c>
      <c r="D1630">
        <f>0</f>
      </c>
      <c r="E1630">
        <f>768707825/10^6</f>
      </c>
      <c r="F1630">
        <f>0</f>
      </c>
      <c r="G1630">
        <f>258278351/10^6</f>
      </c>
      <c r="H1630">
        <f>0</f>
      </c>
      <c r="I1630">
        <f>-43750694/10^6</f>
      </c>
      <c r="J1630">
        <f>0</f>
      </c>
    </row>
    <row r="1631">
      <c r="A1631" t="s">
        <v>1640</v>
      </c>
      <c r="B1631" t="s">
        <v>11</v>
      </c>
      <c r="C1631">
        <f>114141101563/10^6</f>
      </c>
      <c r="D1631">
        <f>0</f>
      </c>
      <c r="E1631">
        <f>769004456/10^6</f>
      </c>
      <c r="F1631">
        <f>0</f>
      </c>
      <c r="G1631">
        <f>258109955/10^6</f>
      </c>
      <c r="H1631">
        <f>0</f>
      </c>
      <c r="I1631">
        <f>-42987694/10^6</f>
      </c>
      <c r="J1631">
        <f>0</f>
      </c>
    </row>
    <row r="1632">
      <c r="A1632" t="s">
        <v>1641</v>
      </c>
      <c r="B1632" t="s">
        <v>11</v>
      </c>
      <c r="C1632">
        <f>114041148438/10^6</f>
      </c>
      <c r="D1632">
        <f>0</f>
      </c>
      <c r="E1632">
        <f>768553833/10^6</f>
      </c>
      <c r="F1632">
        <f>0</f>
      </c>
      <c r="G1632">
        <f>258160431/10^6</f>
      </c>
      <c r="H1632">
        <f>0</f>
      </c>
      <c r="I1632">
        <f>-41733955/10^6</f>
      </c>
      <c r="J1632">
        <f>0</f>
      </c>
    </row>
    <row r="1633">
      <c r="A1633" t="s">
        <v>1642</v>
      </c>
      <c r="B1633" t="s">
        <v>11</v>
      </c>
      <c r="C1633">
        <f>114043984375/10^6</f>
      </c>
      <c r="D1633">
        <f>0</f>
      </c>
      <c r="E1633">
        <f>764713318/10^6</f>
      </c>
      <c r="F1633">
        <f>0</f>
      </c>
      <c r="G1633">
        <f>25812323/10^5</f>
      </c>
      <c r="H1633">
        <f>0</f>
      </c>
      <c r="I1633">
        <f>-40809914/10^6</f>
      </c>
      <c r="J1633">
        <f>0</f>
      </c>
    </row>
    <row r="1634">
      <c r="A1634" t="s">
        <v>1643</v>
      </c>
      <c r="B1634" t="s">
        <v>11</v>
      </c>
      <c r="C1634">
        <f>114195625/10^3</f>
      </c>
      <c r="D1634">
        <f>0</f>
      </c>
      <c r="E1634">
        <f>760753906/10^6</f>
      </c>
      <c r="F1634">
        <f>0</f>
      </c>
      <c r="G1634">
        <f>257237915/10^6</f>
      </c>
      <c r="H1634">
        <f>0</f>
      </c>
      <c r="I1634">
        <f>-39425591/10^6</f>
      </c>
      <c r="J1634">
        <f>0</f>
      </c>
    </row>
    <row r="1635">
      <c r="A1635" t="s">
        <v>1644</v>
      </c>
      <c r="B1635" t="s">
        <v>11</v>
      </c>
      <c r="C1635">
        <f>114357867188/10^6</f>
      </c>
      <c r="D1635">
        <f>0</f>
      </c>
      <c r="E1635">
        <f>759944641/10^6</f>
      </c>
      <c r="F1635">
        <f>0</f>
      </c>
      <c r="G1635">
        <f>256047424/10^6</f>
      </c>
      <c r="H1635">
        <f>0</f>
      </c>
      <c r="I1635">
        <f>-37622032/10^6</f>
      </c>
      <c r="J1635">
        <f>0</f>
      </c>
    </row>
    <row r="1636">
      <c r="A1636" t="s">
        <v>1645</v>
      </c>
      <c r="B1636" t="s">
        <v>11</v>
      </c>
      <c r="C1636">
        <f>114458523438/10^6</f>
      </c>
      <c r="D1636">
        <f>0</f>
      </c>
      <c r="E1636">
        <f>761297302/10^6</f>
      </c>
      <c r="F1636">
        <f>0</f>
      </c>
      <c r="G1636">
        <f>256069916/10^6</f>
      </c>
      <c r="H1636">
        <f>0</f>
      </c>
      <c r="I1636">
        <f>-37243855/10^6</f>
      </c>
      <c r="J1636">
        <f>0</f>
      </c>
    </row>
    <row r="1637">
      <c r="A1637" t="s">
        <v>1646</v>
      </c>
      <c r="B1637" t="s">
        <v>11</v>
      </c>
      <c r="C1637">
        <f>114538125/10^3</f>
      </c>
      <c r="D1637">
        <f>0</f>
      </c>
      <c r="E1637">
        <f>763143066/10^6</f>
      </c>
      <c r="F1637">
        <f>0</f>
      </c>
      <c r="G1637">
        <f>256839478/10^6</f>
      </c>
      <c r="H1637">
        <f>0</f>
      </c>
      <c r="I1637">
        <f>-37725601/10^6</f>
      </c>
      <c r="J1637">
        <f>0</f>
      </c>
    </row>
    <row r="1638">
      <c r="A1638" t="s">
        <v>1647</v>
      </c>
      <c r="B1638" t="s">
        <v>11</v>
      </c>
      <c r="C1638">
        <f>11462159375/10^5</f>
      </c>
      <c r="D1638">
        <f>0</f>
      </c>
      <c r="E1638">
        <f>764363892/10^6</f>
      </c>
      <c r="F1638">
        <f>0</f>
      </c>
      <c r="G1638">
        <f>257248169/10^6</f>
      </c>
      <c r="H1638">
        <f>0</f>
      </c>
      <c r="I1638">
        <f>-37825405/10^6</f>
      </c>
      <c r="J1638">
        <f>0</f>
      </c>
    </row>
    <row r="1639">
      <c r="A1639" t="s">
        <v>1648</v>
      </c>
      <c r="B1639" t="s">
        <v>11</v>
      </c>
      <c r="C1639">
        <f>114724546875/10^6</f>
      </c>
      <c r="D1639">
        <f>0</f>
      </c>
      <c r="E1639">
        <f>764697327/10^6</f>
      </c>
      <c r="F1639">
        <f>0</f>
      </c>
      <c r="G1639">
        <f>257693176/10^6</f>
      </c>
      <c r="H1639">
        <f>0</f>
      </c>
      <c r="I1639">
        <f>-37865936/10^6</f>
      </c>
      <c r="J1639">
        <f>0</f>
      </c>
    </row>
    <row r="1640">
      <c r="A1640" t="s">
        <v>1649</v>
      </c>
      <c r="B1640" t="s">
        <v>11</v>
      </c>
      <c r="C1640">
        <f>11487975/10^2</f>
      </c>
      <c r="D1640">
        <f>0</f>
      </c>
      <c r="E1640">
        <f>764628601/10^6</f>
      </c>
      <c r="F1640">
        <f>0</f>
      </c>
      <c r="G1640">
        <f>258254974/10^6</f>
      </c>
      <c r="H1640">
        <f>0</f>
      </c>
      <c r="I1640">
        <f>-37998837/10^6</f>
      </c>
      <c r="J1640">
        <f>0</f>
      </c>
    </row>
    <row r="1641">
      <c r="A1641" t="s">
        <v>1650</v>
      </c>
      <c r="B1641" t="s">
        <v>11</v>
      </c>
      <c r="C1641">
        <f>115134460938/10^6</f>
      </c>
      <c r="D1641">
        <f>0</f>
      </c>
      <c r="E1641">
        <f>764099365/10^6</f>
      </c>
      <c r="F1641">
        <f>0</f>
      </c>
      <c r="G1641">
        <f>258671539/10^6</f>
      </c>
      <c r="H1641">
        <f>0</f>
      </c>
      <c r="I1641">
        <f>-38013165/10^6</f>
      </c>
      <c r="J1641">
        <f>0</f>
      </c>
    </row>
    <row r="1642">
      <c r="A1642" t="s">
        <v>1651</v>
      </c>
      <c r="B1642" t="s">
        <v>11</v>
      </c>
      <c r="C1642">
        <f>115500179688/10^6</f>
      </c>
      <c r="D1642">
        <f>0</f>
      </c>
      <c r="E1642">
        <f>762802795/10^6</f>
      </c>
      <c r="F1642">
        <f>0</f>
      </c>
      <c r="G1642">
        <f>259116241/10^6</f>
      </c>
      <c r="H1642">
        <f>0</f>
      </c>
      <c r="I1642">
        <f>-38035381/10^6</f>
      </c>
      <c r="J1642">
        <f>0</f>
      </c>
    </row>
    <row r="1643">
      <c r="A1643" t="s">
        <v>1652</v>
      </c>
      <c r="B1643" t="s">
        <v>11</v>
      </c>
      <c r="C1643">
        <f>115920335938/10^6</f>
      </c>
      <c r="D1643">
        <f>0</f>
      </c>
      <c r="E1643">
        <f>761451843/10^6</f>
      </c>
      <c r="F1643">
        <f>0</f>
      </c>
      <c r="G1643">
        <f>259548737/10^6</f>
      </c>
      <c r="H1643">
        <f>0</f>
      </c>
      <c r="I1643">
        <f>-3801812/10^5</f>
      </c>
      <c r="J1643">
        <f>0</f>
      </c>
    </row>
    <row r="1644">
      <c r="A1644" t="s">
        <v>1653</v>
      </c>
      <c r="B1644" t="s">
        <v>11</v>
      </c>
      <c r="C1644">
        <f>11636921875/10^5</f>
      </c>
      <c r="D1644">
        <f>0</f>
      </c>
      <c r="E1644">
        <f>760652039/10^6</f>
      </c>
      <c r="F1644">
        <f>0</f>
      </c>
      <c r="G1644">
        <f>260132813/10^6</f>
      </c>
      <c r="H1644">
        <f>0</f>
      </c>
      <c r="I1644">
        <f>-37700901/10^6</f>
      </c>
      <c r="J1644">
        <f>0</f>
      </c>
    </row>
    <row r="1645">
      <c r="A1645" t="s">
        <v>1654</v>
      </c>
      <c r="B1645" t="s">
        <v>11</v>
      </c>
      <c r="C1645">
        <f>116934539063/10^6</f>
      </c>
      <c r="D1645">
        <f>0</f>
      </c>
      <c r="E1645">
        <f>759238892/10^6</f>
      </c>
      <c r="F1645">
        <f>0</f>
      </c>
      <c r="G1645">
        <f>260713593/10^6</f>
      </c>
      <c r="H1645">
        <f>0</f>
      </c>
      <c r="I1645">
        <f>-37349091/10^6</f>
      </c>
      <c r="J1645">
        <f>0</f>
      </c>
    </row>
    <row r="1646">
      <c r="A1646" t="s">
        <v>1655</v>
      </c>
      <c r="B1646" t="s">
        <v>11</v>
      </c>
      <c r="C1646">
        <f>117704992188/10^6</f>
      </c>
      <c r="D1646">
        <f>0</f>
      </c>
      <c r="E1646">
        <f>756336304/10^6</f>
      </c>
      <c r="F1646">
        <f>0</f>
      </c>
      <c r="G1646">
        <f>261346497/10^6</f>
      </c>
      <c r="H1646">
        <f>0</f>
      </c>
      <c r="I1646">
        <f>-37049988/10^6</f>
      </c>
      <c r="J1646">
        <f>0</f>
      </c>
    </row>
    <row r="1647">
      <c r="A1647" t="s">
        <v>1656</v>
      </c>
      <c r="B1647" t="s">
        <v>11</v>
      </c>
      <c r="C1647">
        <f>11862928125/10^5</f>
      </c>
      <c r="D1647">
        <f>0</f>
      </c>
      <c r="E1647">
        <f>752389709/10^6</f>
      </c>
      <c r="F1647">
        <f>0</f>
      </c>
      <c r="G1647">
        <f>26239505/10^5</f>
      </c>
      <c r="H1647">
        <f>0</f>
      </c>
      <c r="I1647">
        <f>-36688656/10^6</f>
      </c>
      <c r="J1647">
        <f>0</f>
      </c>
    </row>
    <row r="1648">
      <c r="A1648" t="s">
        <v>1657</v>
      </c>
      <c r="B1648" t="s">
        <v>11</v>
      </c>
      <c r="C1648">
        <f>119605726563/10^6</f>
      </c>
      <c r="D1648">
        <f>0</f>
      </c>
      <c r="E1648">
        <f>747714355/10^6</f>
      </c>
      <c r="F1648">
        <f>0</f>
      </c>
      <c r="G1648">
        <f>263155853/10^6</f>
      </c>
      <c r="H1648">
        <f>0</f>
      </c>
      <c r="I1648">
        <f>-36335743/10^6</f>
      </c>
      <c r="J1648">
        <f>0</f>
      </c>
    </row>
    <row r="1649">
      <c r="A1649" t="s">
        <v>1658</v>
      </c>
      <c r="B1649" t="s">
        <v>11</v>
      </c>
      <c r="C1649">
        <f>120597976563/10^6</f>
      </c>
      <c r="D1649">
        <f>0</f>
      </c>
      <c r="E1649">
        <f>742602539/10^6</f>
      </c>
      <c r="F1649">
        <f>0</f>
      </c>
      <c r="G1649">
        <f>263625275/10^6</f>
      </c>
      <c r="H1649">
        <f>0</f>
      </c>
      <c r="I1649">
        <f>-35679195/10^6</f>
      </c>
      <c r="J1649">
        <f>0</f>
      </c>
    </row>
    <row r="1650">
      <c r="A1650" t="s">
        <v>1659</v>
      </c>
      <c r="B1650" t="s">
        <v>11</v>
      </c>
      <c r="C1650">
        <f>121561625/10^3</f>
      </c>
      <c r="D1650">
        <f>0</f>
      </c>
      <c r="E1650">
        <f>737279053/10^6</f>
      </c>
      <c r="F1650">
        <f>0</f>
      </c>
      <c r="G1650">
        <f>264207214/10^6</f>
      </c>
      <c r="H1650">
        <f>0</f>
      </c>
      <c r="I1650">
        <f>-34981808/10^6</f>
      </c>
      <c r="J1650">
        <f>0</f>
      </c>
    </row>
    <row r="1651">
      <c r="A1651" t="s">
        <v>1660</v>
      </c>
      <c r="B1651" t="s">
        <v>11</v>
      </c>
      <c r="C1651">
        <f>12241140625/10^5</f>
      </c>
      <c r="D1651">
        <f>0</f>
      </c>
      <c r="E1651">
        <f>731988892/10^6</f>
      </c>
      <c r="F1651">
        <f>0</f>
      </c>
      <c r="G1651">
        <f>264426208/10^6</f>
      </c>
      <c r="H1651">
        <f>0</f>
      </c>
      <c r="I1651">
        <f>-34426437/10^6</f>
      </c>
      <c r="J1651">
        <f>0</f>
      </c>
    </row>
    <row r="1652">
      <c r="A1652" t="s">
        <v>1661</v>
      </c>
      <c r="B1652" t="s">
        <v>11</v>
      </c>
      <c r="C1652">
        <f>12308578125/10^5</f>
      </c>
      <c r="D1652">
        <f>0</f>
      </c>
      <c r="E1652">
        <f>727518372/10^6</f>
      </c>
      <c r="F1652">
        <f>0</f>
      </c>
      <c r="G1652">
        <f>264479004/10^6</f>
      </c>
      <c r="H1652">
        <f>0</f>
      </c>
      <c r="I1652">
        <f>-33528591/10^6</f>
      </c>
      <c r="J1652">
        <f>0</f>
      </c>
    </row>
    <row r="1653">
      <c r="A1653" t="s">
        <v>1662</v>
      </c>
      <c r="B1653" t="s">
        <v>11</v>
      </c>
      <c r="C1653">
        <f>123527054688/10^6</f>
      </c>
      <c r="D1653">
        <f>0</f>
      </c>
      <c r="E1653">
        <f>724201172/10^6</f>
      </c>
      <c r="F1653">
        <f>0</f>
      </c>
      <c r="G1653">
        <f>264556702/10^6</f>
      </c>
      <c r="H1653">
        <f>0</f>
      </c>
      <c r="I1653">
        <f>-3289735/10^5</f>
      </c>
      <c r="J1653">
        <f>0</f>
      </c>
    </row>
    <row r="1654">
      <c r="A1654" t="s">
        <v>1663</v>
      </c>
      <c r="B1654" t="s">
        <v>11</v>
      </c>
      <c r="C1654">
        <f>123736296875/10^6</f>
      </c>
      <c r="D1654">
        <f>0</f>
      </c>
      <c r="E1654">
        <f>722043945/10^6</f>
      </c>
      <c r="F1654">
        <f>0</f>
      </c>
      <c r="G1654">
        <f>264280914/10^6</f>
      </c>
      <c r="H1654">
        <f>0</f>
      </c>
      <c r="I1654">
        <f>-32832111/10^6</f>
      </c>
      <c r="J1654">
        <f>0</f>
      </c>
    </row>
    <row r="1655">
      <c r="A1655" t="s">
        <v>1664</v>
      </c>
      <c r="B1655" t="s">
        <v>11</v>
      </c>
      <c r="C1655">
        <f>123840242188/10^6</f>
      </c>
      <c r="D1655">
        <f>0</f>
      </c>
      <c r="E1655">
        <f>721110291/10^6</f>
      </c>
      <c r="F1655">
        <f>0</f>
      </c>
      <c r="G1655">
        <f>263919067/10^6</f>
      </c>
      <c r="H1655">
        <f>0</f>
      </c>
      <c r="I1655">
        <f>-32707848/10^6</f>
      </c>
      <c r="J1655">
        <f>0</f>
      </c>
    </row>
    <row r="1656">
      <c r="A1656" t="s">
        <v>1665</v>
      </c>
      <c r="B1656" t="s">
        <v>11</v>
      </c>
      <c r="C1656">
        <f>123939671875/10^6</f>
      </c>
      <c r="D1656">
        <f>0</f>
      </c>
      <c r="E1656">
        <f>720683716/10^6</f>
      </c>
      <c r="F1656">
        <f>0</f>
      </c>
      <c r="G1656">
        <f>263798706/10^6</f>
      </c>
      <c r="H1656">
        <f>0</f>
      </c>
      <c r="I1656">
        <f>-32749725/10^6</f>
      </c>
      <c r="J1656">
        <f>0</f>
      </c>
    </row>
    <row r="1657">
      <c r="A1657" t="s">
        <v>1666</v>
      </c>
      <c r="B1657" t="s">
        <v>11</v>
      </c>
      <c r="C1657">
        <f>12402575/10^2</f>
      </c>
      <c r="D1657">
        <f>0</f>
      </c>
      <c r="E1657">
        <f>719969788/10^6</f>
      </c>
      <c r="F1657">
        <f>0</f>
      </c>
      <c r="G1657">
        <f>263759155/10^6</f>
      </c>
      <c r="H1657">
        <f>0</f>
      </c>
      <c r="I1657">
        <f>-33102222/10^6</f>
      </c>
      <c r="J1657">
        <f>0</f>
      </c>
    </row>
    <row r="1658">
      <c r="A1658" t="s">
        <v>1667</v>
      </c>
      <c r="B1658" t="s">
        <v>11</v>
      </c>
      <c r="C1658">
        <f>124060484375/10^6</f>
      </c>
      <c r="D1658">
        <f>0</f>
      </c>
      <c r="E1658">
        <f>719191589/10^6</f>
      </c>
      <c r="F1658">
        <f>0</f>
      </c>
      <c r="G1658">
        <f>263665833/10^6</f>
      </c>
      <c r="H1658">
        <f>0</f>
      </c>
      <c r="I1658">
        <f>-33322529/10^6</f>
      </c>
      <c r="J1658">
        <f>0</f>
      </c>
    </row>
    <row r="1659">
      <c r="A1659" t="s">
        <v>1668</v>
      </c>
      <c r="B1659" t="s">
        <v>11</v>
      </c>
      <c r="C1659">
        <f>124011726563/10^6</f>
      </c>
      <c r="D1659">
        <f>0</f>
      </c>
      <c r="E1659">
        <f>718849731/10^6</f>
      </c>
      <c r="F1659">
        <f>0</f>
      </c>
      <c r="G1659">
        <f>263482819/10^6</f>
      </c>
      <c r="H1659">
        <f>0</f>
      </c>
      <c r="I1659">
        <f>-33374077/10^6</f>
      </c>
      <c r="J1659">
        <f>0</f>
      </c>
    </row>
    <row r="1660">
      <c r="A1660" t="s">
        <v>1669</v>
      </c>
      <c r="B1660" t="s">
        <v>11</v>
      </c>
      <c r="C1660">
        <f>1238655/10^1</f>
      </c>
      <c r="D1660">
        <f>0</f>
      </c>
      <c r="E1660">
        <f>718983032/10^6</f>
      </c>
      <c r="F1660">
        <f>0</f>
      </c>
      <c r="G1660">
        <f>263316284/10^6</f>
      </c>
      <c r="H1660">
        <f>0</f>
      </c>
      <c r="I1660">
        <f>-33417576/10^6</f>
      </c>
      <c r="J1660">
        <f>0</f>
      </c>
    </row>
    <row r="1661">
      <c r="A1661" t="s">
        <v>1670</v>
      </c>
      <c r="B1661" t="s">
        <v>11</v>
      </c>
      <c r="C1661">
        <f>12362625/10^2</f>
      </c>
      <c r="D1661">
        <f>0</f>
      </c>
      <c r="E1661">
        <f>719586182/10^6</f>
      </c>
      <c r="F1661">
        <f>0</f>
      </c>
      <c r="G1661">
        <f>263111786/10^6</f>
      </c>
      <c r="H1661">
        <f>0</f>
      </c>
      <c r="I1661">
        <f>-33601696/10^6</f>
      </c>
      <c r="J1661">
        <f>0</f>
      </c>
    </row>
    <row r="1662">
      <c r="A1662" t="s">
        <v>1671</v>
      </c>
      <c r="B1662" t="s">
        <v>11</v>
      </c>
      <c r="C1662">
        <f>123331164063/10^6</f>
      </c>
      <c r="D1662">
        <f>0</f>
      </c>
      <c r="E1662">
        <f>720697205/10^6</f>
      </c>
      <c r="F1662">
        <f>0</f>
      </c>
      <c r="G1662">
        <f>262733582/10^6</f>
      </c>
      <c r="H1662">
        <f>0</f>
      </c>
      <c r="I1662">
        <f>-3388982/10^5</f>
      </c>
      <c r="J1662">
        <f>0</f>
      </c>
    </row>
    <row r="1663">
      <c r="A1663" t="s">
        <v>1672</v>
      </c>
      <c r="B1663" t="s">
        <v>11</v>
      </c>
      <c r="C1663">
        <f>123039507813/10^6</f>
      </c>
      <c r="D1663">
        <f>0</f>
      </c>
      <c r="E1663">
        <f>72224408/10^5</f>
      </c>
      <c r="F1663">
        <f>0</f>
      </c>
      <c r="G1663">
        <f>262465057/10^6</f>
      </c>
      <c r="H1663">
        <f>0</f>
      </c>
      <c r="I1663">
        <f>-34131104/10^6</f>
      </c>
      <c r="J1663">
        <f>0</f>
      </c>
    </row>
    <row r="1664">
      <c r="A1664" t="s">
        <v>1673</v>
      </c>
      <c r="B1664" t="s">
        <v>11</v>
      </c>
      <c r="C1664">
        <f>122747257813/10^6</f>
      </c>
      <c r="D1664">
        <f>0</f>
      </c>
      <c r="E1664">
        <f>724050903/10^6</f>
      </c>
      <c r="F1664">
        <f>0</f>
      </c>
      <c r="G1664">
        <f>262363831/10^6</f>
      </c>
      <c r="H1664">
        <f>0</f>
      </c>
      <c r="I1664">
        <f>-34530815/10^6</f>
      </c>
      <c r="J1664">
        <f>0</f>
      </c>
    </row>
    <row r="1665">
      <c r="A1665" t="s">
        <v>1674</v>
      </c>
      <c r="B1665" t="s">
        <v>11</v>
      </c>
      <c r="C1665">
        <f>122423132813/10^6</f>
      </c>
      <c r="D1665">
        <f>0</f>
      </c>
      <c r="E1665">
        <f>725753418/10^6</f>
      </c>
      <c r="F1665">
        <f>0</f>
      </c>
      <c r="G1665">
        <f>262249237/10^6</f>
      </c>
      <c r="H1665">
        <f>0</f>
      </c>
      <c r="I1665">
        <f>-34966084/10^6</f>
      </c>
      <c r="J1665">
        <f>0</f>
      </c>
    </row>
    <row r="1666">
      <c r="A1666" t="s">
        <v>1675</v>
      </c>
      <c r="B1666" t="s">
        <v>11</v>
      </c>
      <c r="C1666">
        <f>1220913125/10^4</f>
      </c>
      <c r="D1666">
        <f>0</f>
      </c>
      <c r="E1666">
        <f>727348938/10^6</f>
      </c>
      <c r="F1666">
        <f>0</f>
      </c>
      <c r="G1666">
        <f>262149017/10^6</f>
      </c>
      <c r="H1666">
        <f>0</f>
      </c>
      <c r="I1666">
        <f>-353339/10^4</f>
      </c>
      <c r="J1666">
        <f>0</f>
      </c>
    </row>
    <row r="1667">
      <c r="A1667" t="s">
        <v>1676</v>
      </c>
      <c r="B1667" t="s">
        <v>11</v>
      </c>
      <c r="C1667">
        <f>121778773438/10^6</f>
      </c>
      <c r="D1667">
        <f>0</f>
      </c>
      <c r="E1667">
        <f>729140198/10^6</f>
      </c>
      <c r="F1667">
        <f>0</f>
      </c>
      <c r="G1667">
        <f>262039948/10^6</f>
      </c>
      <c r="H1667">
        <f>0</f>
      </c>
      <c r="I1667">
        <f>-35852684/10^6</f>
      </c>
      <c r="J1667">
        <f>0</f>
      </c>
    </row>
    <row r="1668">
      <c r="A1668" t="s">
        <v>1677</v>
      </c>
      <c r="B1668" t="s">
        <v>11</v>
      </c>
      <c r="C1668">
        <f>121478890625/10^6</f>
      </c>
      <c r="D1668">
        <f>0</f>
      </c>
      <c r="E1668">
        <f>731000488/10^6</f>
      </c>
      <c r="F1668">
        <f>0</f>
      </c>
      <c r="G1668">
        <f>261941101/10^6</f>
      </c>
      <c r="H1668">
        <f>0</f>
      </c>
      <c r="I1668">
        <f>-36271984/10^6</f>
      </c>
      <c r="J1668">
        <f>0</f>
      </c>
    </row>
    <row r="1669">
      <c r="A1669" t="s">
        <v>1678</v>
      </c>
      <c r="B1669" t="s">
        <v>11</v>
      </c>
      <c r="C1669">
        <f>121203210938/10^6</f>
      </c>
      <c r="D1669">
        <f>0</f>
      </c>
      <c r="E1669">
        <f>732799072/10^6</f>
      </c>
      <c r="F1669">
        <f>0</f>
      </c>
      <c r="G1669">
        <f>261930786/10^6</f>
      </c>
      <c r="H1669">
        <f>0</f>
      </c>
      <c r="I1669">
        <f>-36615459/10^6</f>
      </c>
      <c r="J1669">
        <f>0</f>
      </c>
    </row>
    <row r="1670">
      <c r="A1670" t="s">
        <v>1679</v>
      </c>
      <c r="B1670" t="s">
        <v>11</v>
      </c>
      <c r="C1670">
        <f>120952492188/10^6</f>
      </c>
      <c r="D1670">
        <f>0</f>
      </c>
      <c r="E1670">
        <f>734358459/10^6</f>
      </c>
      <c r="F1670">
        <f>0</f>
      </c>
      <c r="G1670">
        <f>261975006/10^6</f>
      </c>
      <c r="H1670">
        <f>0</f>
      </c>
      <c r="I1670">
        <f>-36982185/10^6</f>
      </c>
      <c r="J1670">
        <f>0</f>
      </c>
    </row>
    <row r="1671">
      <c r="A1671" t="s">
        <v>1680</v>
      </c>
      <c r="B1671" t="s">
        <v>11</v>
      </c>
      <c r="C1671">
        <f>12069478125/10^5</f>
      </c>
      <c r="D1671">
        <f>0</f>
      </c>
      <c r="E1671">
        <f>735584778/10^6</f>
      </c>
      <c r="F1671">
        <f>0</f>
      </c>
      <c r="G1671">
        <f>261847321/10^6</f>
      </c>
      <c r="H1671">
        <f>0</f>
      </c>
      <c r="I1671">
        <f>-37290421/10^6</f>
      </c>
      <c r="J1671">
        <f>0</f>
      </c>
    </row>
    <row r="1672">
      <c r="A1672" t="s">
        <v>1681</v>
      </c>
      <c r="B1672" t="s">
        <v>11</v>
      </c>
      <c r="C1672">
        <f>120461945313/10^6</f>
      </c>
      <c r="D1672">
        <f>0</f>
      </c>
      <c r="E1672">
        <f>737024231/10^6</f>
      </c>
      <c r="F1672">
        <f>0</f>
      </c>
      <c r="G1672">
        <f>261431976/10^6</f>
      </c>
      <c r="H1672">
        <f>0</f>
      </c>
      <c r="I1672">
        <f>-37729931/10^6</f>
      </c>
      <c r="J1672">
        <f>0</f>
      </c>
    </row>
    <row r="1673">
      <c r="A1673" t="s">
        <v>1682</v>
      </c>
      <c r="B1673" t="s">
        <v>11</v>
      </c>
      <c r="C1673">
        <f>120301703125/10^6</f>
      </c>
      <c r="D1673">
        <f>0</f>
      </c>
      <c r="E1673">
        <f>738489868/10^6</f>
      </c>
      <c r="F1673">
        <f>0</f>
      </c>
      <c r="G1673">
        <f>261197021/10^6</f>
      </c>
      <c r="H1673">
        <f>0</f>
      </c>
      <c r="I1673">
        <f>-38062294/10^6</f>
      </c>
      <c r="J1673">
        <f>0</f>
      </c>
    </row>
    <row r="1674">
      <c r="A1674" t="s">
        <v>1683</v>
      </c>
      <c r="B1674" t="s">
        <v>11</v>
      </c>
      <c r="C1674">
        <f>120177773438/10^6</f>
      </c>
      <c r="D1674">
        <f>0</f>
      </c>
      <c r="E1674">
        <f>739344849/10^6</f>
      </c>
      <c r="F1674">
        <f>0</f>
      </c>
      <c r="G1674">
        <f>261443726/10^6</f>
      </c>
      <c r="H1674">
        <f>0</f>
      </c>
      <c r="I1674">
        <f>-38118404/10^6</f>
      </c>
      <c r="J1674">
        <f>0</f>
      </c>
    </row>
    <row r="1675">
      <c r="A1675" t="s">
        <v>1684</v>
      </c>
      <c r="B1675" t="s">
        <v>11</v>
      </c>
      <c r="C1675">
        <f>120073078125/10^6</f>
      </c>
      <c r="D1675">
        <f>0</f>
      </c>
      <c r="E1675">
        <f>740046936/10^6</f>
      </c>
      <c r="F1675">
        <f>0</f>
      </c>
      <c r="G1675">
        <f>261735321/10^6</f>
      </c>
      <c r="H1675">
        <f>0</f>
      </c>
      <c r="I1675">
        <f>-38154488/10^6</f>
      </c>
      <c r="J1675">
        <f>0</f>
      </c>
    </row>
    <row r="1676">
      <c r="A1676" t="s">
        <v>1685</v>
      </c>
      <c r="B1676" t="s">
        <v>11</v>
      </c>
      <c r="C1676">
        <f>120020765625/10^6</f>
      </c>
      <c r="D1676">
        <f>0</f>
      </c>
      <c r="E1676">
        <f>74075061/10^5</f>
      </c>
      <c r="F1676">
        <f>0</f>
      </c>
      <c r="G1676">
        <f>261806244/10^6</f>
      </c>
      <c r="H1676">
        <f>0</f>
      </c>
      <c r="I1676">
        <f>-38286419/10^6</f>
      </c>
      <c r="J1676">
        <f>0</f>
      </c>
    </row>
    <row r="1677">
      <c r="A1677" t="s">
        <v>1686</v>
      </c>
      <c r="B1677" t="s">
        <v>11</v>
      </c>
      <c r="C1677">
        <f>120006703125/10^6</f>
      </c>
      <c r="D1677">
        <f>0</f>
      </c>
      <c r="E1677">
        <f>741106201/10^6</f>
      </c>
      <c r="F1677">
        <f>0</f>
      </c>
      <c r="G1677">
        <f>261831512/10^6</f>
      </c>
      <c r="H1677">
        <f>0</f>
      </c>
      <c r="I1677">
        <f>-38515957/10^6</f>
      </c>
      <c r="J1677">
        <f>0</f>
      </c>
    </row>
    <row r="1678">
      <c r="A1678" t="s">
        <v>1687</v>
      </c>
      <c r="B1678" t="s">
        <v>11</v>
      </c>
      <c r="C1678">
        <f>119985007813/10^6</f>
      </c>
      <c r="D1678">
        <f>0</f>
      </c>
      <c r="E1678">
        <f>741380371/10^6</f>
      </c>
      <c r="F1678">
        <f>0</f>
      </c>
      <c r="G1678">
        <f>261890137/10^6</f>
      </c>
      <c r="H1678">
        <f>0</f>
      </c>
      <c r="I1678">
        <f>-38668427/10^6</f>
      </c>
      <c r="J1678">
        <f>0</f>
      </c>
    </row>
    <row r="1679">
      <c r="A1679" t="s">
        <v>1688</v>
      </c>
      <c r="B1679" t="s">
        <v>11</v>
      </c>
      <c r="C1679">
        <f>1199693125/10^4</f>
      </c>
      <c r="D1679">
        <f>0</f>
      </c>
      <c r="E1679">
        <f>741587158/10^6</f>
      </c>
      <c r="F1679">
        <f>0</f>
      </c>
      <c r="G1679">
        <f>261974457/10^6</f>
      </c>
      <c r="H1679">
        <f>0</f>
      </c>
      <c r="I1679">
        <f>-386982/10^4</f>
      </c>
      <c r="J1679">
        <f>0</f>
      </c>
    </row>
    <row r="1680">
      <c r="A1680" t="s">
        <v>1689</v>
      </c>
      <c r="B1680" t="s">
        <v>11</v>
      </c>
      <c r="C1680">
        <f>119994632813/10^6</f>
      </c>
      <c r="D1680">
        <f>0</f>
      </c>
      <c r="E1680">
        <f>741662476/10^6</f>
      </c>
      <c r="F1680">
        <f>0</f>
      </c>
      <c r="G1680">
        <f>262052582/10^6</f>
      </c>
      <c r="H1680">
        <f>0</f>
      </c>
      <c r="I1680">
        <f>-38740963/10^6</f>
      </c>
      <c r="J1680">
        <f>0</f>
      </c>
    </row>
    <row r="1681">
      <c r="A1681" t="s">
        <v>1690</v>
      </c>
      <c r="B1681" t="s">
        <v>11</v>
      </c>
      <c r="C1681">
        <f>120025203125/10^6</f>
      </c>
      <c r="D1681">
        <f>0</f>
      </c>
      <c r="E1681">
        <f>741899963/10^6</f>
      </c>
      <c r="F1681">
        <f>0</f>
      </c>
      <c r="G1681">
        <f>262138489/10^6</f>
      </c>
      <c r="H1681">
        <f>0</f>
      </c>
      <c r="I1681">
        <f>-38768448/10^6</f>
      </c>
      <c r="J1681">
        <f>0</f>
      </c>
    </row>
    <row r="1682">
      <c r="A1682" t="s">
        <v>1691</v>
      </c>
      <c r="B1682" t="s">
        <v>11</v>
      </c>
      <c r="C1682">
        <f>120036117188/10^6</f>
      </c>
      <c r="D1682">
        <f>0</f>
      </c>
      <c r="E1682">
        <f>742170593/10^6</f>
      </c>
      <c r="F1682">
        <f>0</f>
      </c>
      <c r="G1682">
        <f>26227652/10^5</f>
      </c>
      <c r="H1682">
        <f>0</f>
      </c>
      <c r="I1682">
        <f>-38750847/10^6</f>
      </c>
      <c r="J1682">
        <f>0</f>
      </c>
    </row>
    <row r="1683">
      <c r="A1683" t="s">
        <v>1692</v>
      </c>
      <c r="B1683" t="s">
        <v>11</v>
      </c>
      <c r="C1683">
        <f>120054109375/10^6</f>
      </c>
      <c r="D1683">
        <f>0</f>
      </c>
      <c r="E1683">
        <f>742334595/10^6</f>
      </c>
      <c r="F1683">
        <f>0</f>
      </c>
      <c r="G1683">
        <f>262377045/10^6</f>
      </c>
      <c r="H1683">
        <f>0</f>
      </c>
      <c r="I1683">
        <f>-38752838/10^6</f>
      </c>
      <c r="J1683">
        <f>0</f>
      </c>
    </row>
    <row r="1684">
      <c r="A1684" t="s">
        <v>1693</v>
      </c>
      <c r="B1684" t="s">
        <v>11</v>
      </c>
      <c r="C1684">
        <f>12006534375/10^5</f>
      </c>
      <c r="D1684">
        <f>0</f>
      </c>
      <c r="E1684">
        <f>74253064/10^5</f>
      </c>
      <c r="F1684">
        <f>0</f>
      </c>
      <c r="G1684">
        <f>26246109/10^5</f>
      </c>
      <c r="H1684">
        <f>0</f>
      </c>
      <c r="I1684">
        <f>-38820717/10^6</f>
      </c>
      <c r="J1684">
        <f>0</f>
      </c>
    </row>
    <row r="1685">
      <c r="A1685" t="s">
        <v>1694</v>
      </c>
      <c r="B1685" t="s">
        <v>11</v>
      </c>
      <c r="C1685">
        <f>120052359375/10^6</f>
      </c>
      <c r="D1685">
        <f>0</f>
      </c>
      <c r="E1685">
        <f>74265918/10^5</f>
      </c>
      <c r="F1685">
        <f>0</f>
      </c>
      <c r="G1685">
        <f>262567596/10^6</f>
      </c>
      <c r="H1685">
        <f>0</f>
      </c>
      <c r="I1685">
        <f>-38898956/10^6</f>
      </c>
      <c r="J1685">
        <f>0</f>
      </c>
    </row>
    <row r="1686">
      <c r="A1686" t="s">
        <v>1695</v>
      </c>
      <c r="B1686" t="s">
        <v>11</v>
      </c>
      <c r="C1686">
        <f>120037507813/10^6</f>
      </c>
      <c r="D1686">
        <f>0</f>
      </c>
      <c r="E1686">
        <f>742670959/10^6</f>
      </c>
      <c r="F1686">
        <f>0</f>
      </c>
      <c r="G1686">
        <f>262582397/10^6</f>
      </c>
      <c r="H1686">
        <f>0</f>
      </c>
      <c r="I1686">
        <f>-38941181/10^6</f>
      </c>
      <c r="J1686">
        <f>0</f>
      </c>
    </row>
    <row r="1687">
      <c r="A1687" t="s">
        <v>1696</v>
      </c>
      <c r="B1687" t="s">
        <v>11</v>
      </c>
      <c r="C1687">
        <f>120002242188/10^6</f>
      </c>
      <c r="D1687">
        <f>0</f>
      </c>
      <c r="E1687">
        <f>742754578/10^6</f>
      </c>
      <c r="F1687">
        <f>0</f>
      </c>
      <c r="G1687">
        <f>262570435/10^6</f>
      </c>
      <c r="H1687">
        <f>0</f>
      </c>
      <c r="I1687">
        <f>-38965168/10^6</f>
      </c>
      <c r="J1687">
        <f>0</f>
      </c>
    </row>
    <row r="1688">
      <c r="A1688" t="s">
        <v>1697</v>
      </c>
      <c r="B1688" t="s">
        <v>11</v>
      </c>
      <c r="C1688">
        <f>11989328125/10^5</f>
      </c>
      <c r="D1688">
        <f>0</f>
      </c>
      <c r="E1688">
        <f>743029846/10^6</f>
      </c>
      <c r="F1688">
        <f>0</f>
      </c>
      <c r="G1688">
        <f>262554962/10^6</f>
      </c>
      <c r="H1688">
        <f>0</f>
      </c>
      <c r="I1688">
        <f>-39013744/10^6</f>
      </c>
      <c r="J1688">
        <f>0</f>
      </c>
    </row>
    <row r="1689">
      <c r="A1689" t="s">
        <v>1698</v>
      </c>
      <c r="B1689" t="s">
        <v>11</v>
      </c>
      <c r="C1689">
        <f>119708/10^0</f>
      </c>
      <c r="D1689">
        <f>0</f>
      </c>
      <c r="E1689">
        <f>743664429/10^6</f>
      </c>
      <c r="F1689">
        <f>0</f>
      </c>
      <c r="G1689">
        <f>262384308/10^6</f>
      </c>
      <c r="H1689">
        <f>0</f>
      </c>
      <c r="I1689">
        <f>-39114231/10^6</f>
      </c>
      <c r="J1689">
        <f>0</f>
      </c>
    </row>
    <row r="1690">
      <c r="A1690" t="s">
        <v>1699</v>
      </c>
      <c r="B1690" t="s">
        <v>11</v>
      </c>
      <c r="C1690">
        <f>11949178125/10^5</f>
      </c>
      <c r="D1690">
        <f>0</f>
      </c>
      <c r="E1690">
        <f>744830078/10^6</f>
      </c>
      <c r="F1690">
        <f>0</f>
      </c>
      <c r="G1690">
        <f>262187958/10^6</f>
      </c>
      <c r="H1690">
        <f>0</f>
      </c>
      <c r="I1690">
        <f>-39188034/10^6</f>
      </c>
      <c r="J1690">
        <f>0</f>
      </c>
    </row>
    <row r="1691">
      <c r="A1691" t="s">
        <v>1700</v>
      </c>
      <c r="B1691" t="s">
        <v>11</v>
      </c>
      <c r="C1691">
        <f>119257429688/10^6</f>
      </c>
      <c r="D1691">
        <f>0</f>
      </c>
      <c r="E1691">
        <f>746325134/10^6</f>
      </c>
      <c r="F1691">
        <f>0</f>
      </c>
      <c r="G1691">
        <f>262069275/10^6</f>
      </c>
      <c r="H1691">
        <f>0</f>
      </c>
      <c r="I1691">
        <f>-39381504/10^6</f>
      </c>
      <c r="J1691">
        <f>0</f>
      </c>
    </row>
    <row r="1692">
      <c r="A1692" t="s">
        <v>1701</v>
      </c>
      <c r="B1692" t="s">
        <v>11</v>
      </c>
      <c r="C1692">
        <f>118987085938/10^6</f>
      </c>
      <c r="D1692">
        <f>0</f>
      </c>
      <c r="E1692">
        <f>747852356/10^6</f>
      </c>
      <c r="F1692">
        <f>0</f>
      </c>
      <c r="G1692">
        <f>261908813/10^6</f>
      </c>
      <c r="H1692">
        <f>0</f>
      </c>
      <c r="I1692">
        <f>-39758179/10^6</f>
      </c>
      <c r="J1692">
        <f>0</f>
      </c>
    </row>
    <row r="1693">
      <c r="A1693" t="s">
        <v>1702</v>
      </c>
      <c r="B1693" t="s">
        <v>11</v>
      </c>
      <c r="C1693">
        <f>118711382813/10^6</f>
      </c>
      <c r="D1693">
        <f>0</f>
      </c>
      <c r="E1693">
        <f>749323059/10^6</f>
      </c>
      <c r="F1693">
        <f>0</f>
      </c>
      <c r="G1693">
        <f>261779755/10^6</f>
      </c>
      <c r="H1693">
        <f>0</f>
      </c>
      <c r="I1693">
        <f>-40030857/10^6</f>
      </c>
      <c r="J1693">
        <f>0</f>
      </c>
    </row>
    <row r="1694">
      <c r="A1694" t="s">
        <v>1703</v>
      </c>
      <c r="B1694" t="s">
        <v>11</v>
      </c>
      <c r="C1694">
        <f>11847890625/10^5</f>
      </c>
      <c r="D1694">
        <f>0</f>
      </c>
      <c r="E1694">
        <f>750725647/10^6</f>
      </c>
      <c r="F1694">
        <f>0</f>
      </c>
      <c r="G1694">
        <f>261716217/10^6</f>
      </c>
      <c r="H1694">
        <f>0</f>
      </c>
      <c r="I1694">
        <f>-40305248/10^6</f>
      </c>
      <c r="J1694">
        <f>0</f>
      </c>
    </row>
    <row r="1695">
      <c r="A1695" t="s">
        <v>1704</v>
      </c>
      <c r="B1695" t="s">
        <v>11</v>
      </c>
      <c r="C1695">
        <f>118273835938/10^6</f>
      </c>
      <c r="D1695">
        <f>0</f>
      </c>
      <c r="E1695">
        <f>751964661/10^6</f>
      </c>
      <c r="F1695">
        <f>0</f>
      </c>
      <c r="G1695">
        <f>261646088/10^6</f>
      </c>
      <c r="H1695">
        <f>0</f>
      </c>
      <c r="I1695">
        <f>-40638149/10^6</f>
      </c>
      <c r="J1695">
        <f>0</f>
      </c>
    </row>
    <row r="1696">
      <c r="A1696" t="s">
        <v>1705</v>
      </c>
      <c r="B1696" t="s">
        <v>11</v>
      </c>
      <c r="C1696">
        <f>118067257813/10^6</f>
      </c>
      <c r="D1696">
        <f>0</f>
      </c>
      <c r="E1696">
        <f>752981995/10^6</f>
      </c>
      <c r="F1696">
        <f>0</f>
      </c>
      <c r="G1696">
        <f>261590363/10^6</f>
      </c>
      <c r="H1696">
        <f>0</f>
      </c>
      <c r="I1696">
        <f>-40825741/10^6</f>
      </c>
      <c r="J1696">
        <f>0</f>
      </c>
    </row>
    <row r="1697">
      <c r="A1697" t="s">
        <v>1706</v>
      </c>
      <c r="B1697" t="s">
        <v>11</v>
      </c>
      <c r="C1697">
        <f>11786928125/10^5</f>
      </c>
      <c r="D1697">
        <f>0</f>
      </c>
      <c r="E1697">
        <f>75406366/10^5</f>
      </c>
      <c r="F1697">
        <f>0</f>
      </c>
      <c r="G1697">
        <f>261546356/10^6</f>
      </c>
      <c r="H1697">
        <f>0</f>
      </c>
      <c r="I1697">
        <f>-40946442/10^6</f>
      </c>
      <c r="J1697">
        <f>0</f>
      </c>
    </row>
    <row r="1698">
      <c r="A1698" t="s">
        <v>1707</v>
      </c>
      <c r="B1698" t="s">
        <v>11</v>
      </c>
      <c r="C1698">
        <f>117668609375/10^6</f>
      </c>
      <c r="D1698">
        <f>0</f>
      </c>
      <c r="E1698">
        <f>755394043/10^6</f>
      </c>
      <c r="F1698">
        <f>0</f>
      </c>
      <c r="G1698">
        <f>261499207/10^6</f>
      </c>
      <c r="H1698">
        <f>0</f>
      </c>
      <c r="I1698">
        <f>-4110146/10^5</f>
      </c>
      <c r="J1698">
        <f>0</f>
      </c>
    </row>
    <row r="1699">
      <c r="A1699" t="s">
        <v>1708</v>
      </c>
      <c r="B1699" t="s">
        <v>11</v>
      </c>
      <c r="C1699">
        <f>117445117188/10^6</f>
      </c>
      <c r="D1699">
        <f>0</f>
      </c>
      <c r="E1699">
        <f>756667847/10^6</f>
      </c>
      <c r="F1699">
        <f>0</f>
      </c>
      <c r="G1699">
        <f>261430176/10^6</f>
      </c>
      <c r="H1699">
        <f>0</f>
      </c>
      <c r="I1699">
        <f>-41352959/10^6</f>
      </c>
      <c r="J1699">
        <f>0</f>
      </c>
    </row>
    <row r="1700">
      <c r="A1700" t="s">
        <v>1709</v>
      </c>
      <c r="B1700" t="s">
        <v>11</v>
      </c>
      <c r="C1700">
        <f>117205382813/10^6</f>
      </c>
      <c r="D1700">
        <f>0</f>
      </c>
      <c r="E1700">
        <f>757859009/10^6</f>
      </c>
      <c r="F1700">
        <f>0</f>
      </c>
      <c r="G1700">
        <f>261359222/10^6</f>
      </c>
      <c r="H1700">
        <f>0</f>
      </c>
      <c r="I1700">
        <f>-41598469/10^6</f>
      </c>
      <c r="J1700">
        <f>0</f>
      </c>
    </row>
    <row r="1701">
      <c r="A1701" t="s">
        <v>1710</v>
      </c>
      <c r="B1701" t="s">
        <v>11</v>
      </c>
      <c r="C1701">
        <f>116944984375/10^6</f>
      </c>
      <c r="D1701">
        <f>0</f>
      </c>
      <c r="E1701">
        <f>759451843/10^6</f>
      </c>
      <c r="F1701">
        <f>0</f>
      </c>
      <c r="G1701">
        <f>261277313/10^6</f>
      </c>
      <c r="H1701">
        <f>0</f>
      </c>
      <c r="I1701">
        <f>-41898865/10^6</f>
      </c>
      <c r="J1701">
        <f>0</f>
      </c>
    </row>
    <row r="1702">
      <c r="A1702" t="s">
        <v>1711</v>
      </c>
      <c r="B1702" t="s">
        <v>11</v>
      </c>
      <c r="C1702">
        <f>1166600625/10^4</f>
      </c>
      <c r="D1702">
        <f>0</f>
      </c>
      <c r="E1702">
        <f>761479797/10^6</f>
      </c>
      <c r="F1702">
        <f>0</f>
      </c>
      <c r="G1702">
        <f>261178986/10^6</f>
      </c>
      <c r="H1702">
        <f>0</f>
      </c>
      <c r="I1702">
        <f>-42339573/10^6</f>
      </c>
      <c r="J1702">
        <f>0</f>
      </c>
    </row>
    <row r="1703">
      <c r="A1703" t="s">
        <v>1712</v>
      </c>
      <c r="B1703" t="s">
        <v>11</v>
      </c>
      <c r="C1703">
        <f>116347007813/10^6</f>
      </c>
      <c r="D1703">
        <f>0</f>
      </c>
      <c r="E1703">
        <f>763492493/10^6</f>
      </c>
      <c r="F1703">
        <f>0</f>
      </c>
      <c r="G1703">
        <f>26108139/10^5</f>
      </c>
      <c r="H1703">
        <f>0</f>
      </c>
      <c r="I1703">
        <f>-42698956/10^6</f>
      </c>
      <c r="J1703">
        <f>0</f>
      </c>
    </row>
    <row r="1704">
      <c r="A1704" t="s">
        <v>1713</v>
      </c>
      <c r="B1704" t="s">
        <v>11</v>
      </c>
      <c r="C1704">
        <f>115996/10^0</f>
      </c>
      <c r="D1704">
        <f>0</f>
      </c>
      <c r="E1704">
        <f>765500488/10^6</f>
      </c>
      <c r="F1704">
        <f>0</f>
      </c>
      <c r="G1704">
        <f>260884247/10^6</f>
      </c>
      <c r="H1704">
        <f>0</f>
      </c>
      <c r="I1704">
        <f>-43236816/10^6</f>
      </c>
      <c r="J1704">
        <f>0</f>
      </c>
    </row>
    <row r="1705">
      <c r="A1705" t="s">
        <v>1714</v>
      </c>
      <c r="B1705" t="s">
        <v>11</v>
      </c>
      <c r="C1705">
        <f>115643664063/10^6</f>
      </c>
      <c r="D1705">
        <f>0</f>
      </c>
      <c r="E1705">
        <f>767426636/10^6</f>
      </c>
      <c r="F1705">
        <f>0</f>
      </c>
      <c r="G1705">
        <f>260676483/10^6</f>
      </c>
      <c r="H1705">
        <f>0</f>
      </c>
      <c r="I1705">
        <f>-43863049/10^6</f>
      </c>
      <c r="J1705">
        <f>0</f>
      </c>
    </row>
    <row r="1706">
      <c r="A1706" t="s">
        <v>1715</v>
      </c>
      <c r="B1706" t="s">
        <v>11</v>
      </c>
      <c r="C1706">
        <f>11532275/10^2</f>
      </c>
      <c r="D1706">
        <f>0</f>
      </c>
      <c r="E1706">
        <f>76886792/10^5</f>
      </c>
      <c r="F1706">
        <f>0</f>
      </c>
      <c r="G1706">
        <f>260491486/10^6</f>
      </c>
      <c r="H1706">
        <f>0</f>
      </c>
      <c r="I1706">
        <f>-44169193/10^6</f>
      </c>
      <c r="J1706">
        <f>0</f>
      </c>
    </row>
    <row r="1707">
      <c r="A1707" t="s">
        <v>1716</v>
      </c>
      <c r="B1707" t="s">
        <v>11</v>
      </c>
      <c r="C1707">
        <f>115017875/10^3</f>
      </c>
      <c r="D1707">
        <f>0</f>
      </c>
      <c r="E1707">
        <f>770089539/10^6</f>
      </c>
      <c r="F1707">
        <f>0</f>
      </c>
      <c r="G1707">
        <f>260202545/10^6</f>
      </c>
      <c r="H1707">
        <f>0</f>
      </c>
      <c r="I1707">
        <f>-44512836/10^6</f>
      </c>
      <c r="J1707">
        <f>0</f>
      </c>
    </row>
    <row r="1708">
      <c r="A1708" t="s">
        <v>1717</v>
      </c>
      <c r="B1708" t="s">
        <v>11</v>
      </c>
      <c r="C1708">
        <f>114783140625/10^6</f>
      </c>
      <c r="D1708">
        <f>0</f>
      </c>
      <c r="E1708">
        <f>771104919/10^6</f>
      </c>
      <c r="F1708">
        <f>0</f>
      </c>
      <c r="G1708">
        <f>259985046/10^6</f>
      </c>
      <c r="H1708">
        <f>0</f>
      </c>
      <c r="I1708">
        <f>-44793434/10^6</f>
      </c>
      <c r="J1708">
        <f>0</f>
      </c>
    </row>
    <row r="1709">
      <c r="A1709" t="s">
        <v>1718</v>
      </c>
      <c r="B1709" t="s">
        <v>11</v>
      </c>
      <c r="C1709">
        <f>114687695313/10^6</f>
      </c>
      <c r="D1709">
        <f>0</f>
      </c>
      <c r="E1709">
        <f>771460938/10^6</f>
      </c>
      <c r="F1709">
        <f>0</f>
      </c>
      <c r="G1709">
        <f>259853851/10^6</f>
      </c>
      <c r="H1709">
        <f>0</f>
      </c>
      <c r="I1709">
        <f>-44585827/10^6</f>
      </c>
      <c r="J1709">
        <f>0</f>
      </c>
    </row>
    <row r="1710">
      <c r="A1710" t="s">
        <v>1719</v>
      </c>
      <c r="B1710" t="s">
        <v>11</v>
      </c>
      <c r="C1710">
        <f>114650015625/10^6</f>
      </c>
      <c r="D1710">
        <f>0</f>
      </c>
      <c r="E1710">
        <f>771520874/10^6</f>
      </c>
      <c r="F1710">
        <f>0</f>
      </c>
      <c r="G1710">
        <f>259702606/10^6</f>
      </c>
      <c r="H1710">
        <f>0</f>
      </c>
      <c r="I1710">
        <f>-44266373/10^6</f>
      </c>
      <c r="J1710">
        <f>0</f>
      </c>
    </row>
    <row r="1711">
      <c r="A1711" t="s">
        <v>1720</v>
      </c>
      <c r="B1711" t="s">
        <v>11</v>
      </c>
      <c r="C1711">
        <f>114578492188/10^6</f>
      </c>
      <c r="D1711">
        <f>0</f>
      </c>
      <c r="E1711">
        <f>771752258/10^6</f>
      </c>
      <c r="F1711">
        <f>0</f>
      </c>
      <c r="G1711">
        <f>259619598/10^6</f>
      </c>
      <c r="H1711">
        <f>0</f>
      </c>
      <c r="I1711">
        <f>-44294075/10^6</f>
      </c>
      <c r="J1711">
        <f>0</f>
      </c>
    </row>
    <row r="1712">
      <c r="A1712" t="s">
        <v>1721</v>
      </c>
      <c r="B1712" t="s">
        <v>11</v>
      </c>
      <c r="C1712">
        <f>114518117188/10^6</f>
      </c>
      <c r="D1712">
        <f>0</f>
      </c>
      <c r="E1712">
        <f>772157227/10^6</f>
      </c>
      <c r="F1712">
        <f>0</f>
      </c>
      <c r="G1712">
        <f>259531372/10^6</f>
      </c>
      <c r="H1712">
        <f>0</f>
      </c>
      <c r="I1712">
        <f>-44635281/10^6</f>
      </c>
      <c r="J1712">
        <f>0</f>
      </c>
    </row>
    <row r="1713">
      <c r="A1713" t="s">
        <v>1722</v>
      </c>
      <c r="B1713" t="s">
        <v>11</v>
      </c>
      <c r="C1713">
        <f>11449975/10^2</f>
      </c>
      <c r="D1713">
        <f>0</f>
      </c>
      <c r="E1713">
        <f>772579041/10^6</f>
      </c>
      <c r="F1713">
        <f>0</f>
      </c>
      <c r="G1713">
        <f>259468262/10^6</f>
      </c>
      <c r="H1713">
        <f>0</f>
      </c>
      <c r="I1713">
        <f>-44771179/10^6</f>
      </c>
      <c r="J1713">
        <f>0</f>
      </c>
    </row>
    <row r="1714">
      <c r="A1714" t="s">
        <v>1723</v>
      </c>
      <c r="B1714" t="s">
        <v>11</v>
      </c>
      <c r="C1714">
        <f>114476640625/10^6</f>
      </c>
      <c r="D1714">
        <f>0</f>
      </c>
      <c r="E1714">
        <f>772748901/10^6</f>
      </c>
      <c r="F1714">
        <f>0</f>
      </c>
      <c r="G1714">
        <f>25956955/10^5</f>
      </c>
      <c r="H1714">
        <f>0</f>
      </c>
      <c r="I1714">
        <f>-44343388/10^6</f>
      </c>
      <c r="J1714">
        <f>0</f>
      </c>
    </row>
    <row r="1715">
      <c r="A1715" t="s">
        <v>1724</v>
      </c>
      <c r="B1715" t="s">
        <v>11</v>
      </c>
      <c r="C1715">
        <f>11445615625/10^5</f>
      </c>
      <c r="D1715">
        <f>0</f>
      </c>
      <c r="E1715">
        <f>772627625/10^6</f>
      </c>
      <c r="F1715">
        <f>0</f>
      </c>
      <c r="G1715">
        <f>259694885/10^6</f>
      </c>
      <c r="H1715">
        <f>0</f>
      </c>
      <c r="I1715">
        <f>-43865749/10^6</f>
      </c>
      <c r="J1715">
        <f>0</f>
      </c>
    </row>
    <row r="1716">
      <c r="A1716" t="s">
        <v>1725</v>
      </c>
      <c r="B1716" t="s">
        <v>11</v>
      </c>
      <c r="C1716">
        <f>114485851563/10^6</f>
      </c>
      <c r="D1716">
        <f>0</f>
      </c>
      <c r="E1716">
        <f>772468994/10^6</f>
      </c>
      <c r="F1716">
        <f>0</f>
      </c>
      <c r="G1716">
        <f>259748657/10^6</f>
      </c>
      <c r="H1716">
        <f>0</f>
      </c>
      <c r="I1716">
        <f>-43643436/10^6</f>
      </c>
      <c r="J1716">
        <f>0</f>
      </c>
    </row>
    <row r="1717">
      <c r="A1717" t="s">
        <v>1726</v>
      </c>
      <c r="B1717" t="s">
        <v>11</v>
      </c>
      <c r="C1717">
        <f>114553960938/10^6</f>
      </c>
      <c r="D1717">
        <f>0</f>
      </c>
      <c r="E1717">
        <f>772339844/10^6</f>
      </c>
      <c r="F1717">
        <f>0</f>
      </c>
      <c r="G1717">
        <f>259788605/10^6</f>
      </c>
      <c r="H1717">
        <f>0</f>
      </c>
      <c r="I1717">
        <f>-43375622/10^6</f>
      </c>
      <c r="J1717">
        <f>0</f>
      </c>
    </row>
    <row r="1718">
      <c r="A1718" t="s">
        <v>1727</v>
      </c>
      <c r="B1718" t="s">
        <v>11</v>
      </c>
      <c r="C1718">
        <f>114631734375/10^6</f>
      </c>
      <c r="D1718">
        <f>0</f>
      </c>
      <c r="E1718">
        <f>771954163/10^6</f>
      </c>
      <c r="F1718">
        <f>0</f>
      </c>
      <c r="G1718">
        <f>259846161/10^6</f>
      </c>
      <c r="H1718">
        <f>0</f>
      </c>
      <c r="I1718">
        <f>-43135303/10^6</f>
      </c>
      <c r="J1718">
        <f>0</f>
      </c>
    </row>
    <row r="1719">
      <c r="A1719" t="s">
        <v>1728</v>
      </c>
      <c r="B1719" t="s">
        <v>11</v>
      </c>
      <c r="C1719">
        <f>114728382813/10^6</f>
      </c>
      <c r="D1719">
        <f>0</f>
      </c>
      <c r="E1719">
        <f>771481201/10^6</f>
      </c>
      <c r="F1719">
        <f>0</f>
      </c>
      <c r="G1719">
        <f>259957489/10^6</f>
      </c>
      <c r="H1719">
        <f>0</f>
      </c>
      <c r="I1719">
        <f>-43034252/10^6</f>
      </c>
      <c r="J1719">
        <f>0</f>
      </c>
    </row>
    <row r="1720">
      <c r="A1720" t="s">
        <v>1729</v>
      </c>
      <c r="B1720" t="s">
        <v>11</v>
      </c>
      <c r="C1720">
        <f>114879226563/10^6</f>
      </c>
      <c r="D1720">
        <f>0</f>
      </c>
      <c r="E1720">
        <f>771112732/10^6</f>
      </c>
      <c r="F1720">
        <f>0</f>
      </c>
      <c r="G1720">
        <f>260065155/10^6</f>
      </c>
      <c r="H1720">
        <f>0</f>
      </c>
      <c r="I1720">
        <f>-42952534/10^6</f>
      </c>
      <c r="J1720">
        <f>0</f>
      </c>
    </row>
    <row r="1721">
      <c r="A1721" t="s">
        <v>1730</v>
      </c>
      <c r="B1721" t="s">
        <v>11</v>
      </c>
      <c r="C1721">
        <f>11511175/10^2</f>
      </c>
      <c r="D1721">
        <f>0</f>
      </c>
      <c r="E1721">
        <f>770164246/10^6</f>
      </c>
      <c r="F1721">
        <f>0</f>
      </c>
      <c r="G1721">
        <f>260213623/10^6</f>
      </c>
      <c r="H1721">
        <f>0</f>
      </c>
      <c r="I1721">
        <f>-42764774/10^6</f>
      </c>
      <c r="J1721">
        <f>0</f>
      </c>
    </row>
    <row r="1722">
      <c r="A1722" t="s">
        <v>1731</v>
      </c>
      <c r="B1722" t="s">
        <v>11</v>
      </c>
      <c r="C1722">
        <f>115417875/10^3</f>
      </c>
      <c r="D1722">
        <f>0</f>
      </c>
      <c r="E1722">
        <f>768414734/10^6</f>
      </c>
      <c r="F1722">
        <f>0</f>
      </c>
      <c r="G1722">
        <f>260422302/10^6</f>
      </c>
      <c r="H1722">
        <f>0</f>
      </c>
      <c r="I1722">
        <f>-42509274/10^6</f>
      </c>
      <c r="J1722">
        <f>0</f>
      </c>
    </row>
    <row r="1723">
      <c r="A1723" t="s">
        <v>1732</v>
      </c>
      <c r="B1723" t="s">
        <v>11</v>
      </c>
      <c r="C1723">
        <f>1157866875/10^4</f>
      </c>
      <c r="D1723">
        <f>0</f>
      </c>
      <c r="E1723">
        <f>766449463/10^6</f>
      </c>
      <c r="F1723">
        <f>0</f>
      </c>
      <c r="G1723">
        <f>260619995/10^6</f>
      </c>
      <c r="H1723">
        <f>0</f>
      </c>
      <c r="I1723">
        <f>-42272724/10^6</f>
      </c>
      <c r="J1723">
        <f>0</f>
      </c>
    </row>
    <row r="1724">
      <c r="A1724" t="s">
        <v>1733</v>
      </c>
      <c r="B1724" t="s">
        <v>11</v>
      </c>
      <c r="C1724">
        <f>116243546875/10^6</f>
      </c>
      <c r="D1724">
        <f>0</f>
      </c>
      <c r="E1724">
        <f>764387512/10^6</f>
      </c>
      <c r="F1724">
        <f>0</f>
      </c>
      <c r="G1724">
        <f>260940643/10^6</f>
      </c>
      <c r="H1724">
        <f>0</f>
      </c>
      <c r="I1724">
        <f>-41862698/10^6</f>
      </c>
      <c r="J1724">
        <f>0</f>
      </c>
    </row>
    <row r="1725">
      <c r="A1725" t="s">
        <v>1734</v>
      </c>
      <c r="B1725" t="s">
        <v>11</v>
      </c>
      <c r="C1725">
        <f>116807484375/10^6</f>
      </c>
      <c r="D1725">
        <f>0</f>
      </c>
      <c r="E1725">
        <f>7619198/10^4</f>
      </c>
      <c r="F1725">
        <f>0</f>
      </c>
      <c r="G1725">
        <f>26125882/10^5</f>
      </c>
      <c r="H1725">
        <f>0</f>
      </c>
      <c r="I1725">
        <f>-41436993/10^6</f>
      </c>
      <c r="J1725">
        <f>0</f>
      </c>
    </row>
    <row r="1726">
      <c r="A1726" t="s">
        <v>1735</v>
      </c>
      <c r="B1726" t="s">
        <v>11</v>
      </c>
      <c r="C1726">
        <f>11745659375/10^5</f>
      </c>
      <c r="D1726">
        <f>0</f>
      </c>
      <c r="E1726">
        <f>758915894/10^6</f>
      </c>
      <c r="F1726">
        <f>0</f>
      </c>
      <c r="G1726">
        <f>261663391/10^6</f>
      </c>
      <c r="H1726">
        <f>0</f>
      </c>
      <c r="I1726">
        <f>-40956982/10^6</f>
      </c>
      <c r="J1726">
        <f>0</f>
      </c>
    </row>
    <row r="1727">
      <c r="A1727" t="s">
        <v>1736</v>
      </c>
      <c r="B1727" t="s">
        <v>11</v>
      </c>
      <c r="C1727">
        <f>118198234375/10^6</f>
      </c>
      <c r="D1727">
        <f>0</f>
      </c>
      <c r="E1727">
        <f>755519165/10^6</f>
      </c>
      <c r="F1727">
        <f>0</f>
      </c>
      <c r="G1727">
        <f>262298676/10^6</f>
      </c>
      <c r="H1727">
        <f>0</f>
      </c>
      <c r="I1727">
        <f>-40286465/10^6</f>
      </c>
      <c r="J1727">
        <f>0</f>
      </c>
    </row>
    <row r="1728">
      <c r="A1728" t="s">
        <v>1737</v>
      </c>
      <c r="B1728" t="s">
        <v>11</v>
      </c>
      <c r="C1728">
        <f>119061554688/10^6</f>
      </c>
      <c r="D1728">
        <f>0</f>
      </c>
      <c r="E1728">
        <f>751673035/10^6</f>
      </c>
      <c r="F1728">
        <f>0</f>
      </c>
      <c r="G1728">
        <f>262794373/10^6</f>
      </c>
      <c r="H1728">
        <f>0</f>
      </c>
      <c r="I1728">
        <f>-39708374/10^6</f>
      </c>
      <c r="J1728">
        <f>0</f>
      </c>
    </row>
    <row r="1729">
      <c r="A1729" t="s">
        <v>1738</v>
      </c>
      <c r="B1729" t="s">
        <v>11</v>
      </c>
      <c r="C1729">
        <f>120000625/10^3</f>
      </c>
      <c r="D1729">
        <f>0</f>
      </c>
      <c r="E1729">
        <f>74707489/10^5</f>
      </c>
      <c r="F1729">
        <f>0</f>
      </c>
      <c r="G1729">
        <f>263420197/10^6</f>
      </c>
      <c r="H1729">
        <f>0</f>
      </c>
      <c r="I1729">
        <f>-38823196/10^6</f>
      </c>
      <c r="J1729">
        <f>0</f>
      </c>
    </row>
    <row r="1730">
      <c r="A1730" t="s">
        <v>1739</v>
      </c>
      <c r="B1730" t="s">
        <v>11</v>
      </c>
      <c r="C1730">
        <f>120961335938/10^6</f>
      </c>
      <c r="D1730">
        <f>0</f>
      </c>
      <c r="E1730">
        <f>742050171/10^6</f>
      </c>
      <c r="F1730">
        <f>0</f>
      </c>
      <c r="G1730">
        <f>264159729/10^6</f>
      </c>
      <c r="H1730">
        <f>0</f>
      </c>
      <c r="I1730">
        <f>-37842709/10^6</f>
      </c>
      <c r="J1730">
        <f>0</f>
      </c>
    </row>
    <row r="1731">
      <c r="A1731" t="s">
        <v>1740</v>
      </c>
      <c r="B1731" t="s">
        <v>11</v>
      </c>
      <c r="C1731">
        <f>121892226563/10^6</f>
      </c>
      <c r="D1731">
        <f>0</f>
      </c>
      <c r="E1731">
        <f>737133789/10^6</f>
      </c>
      <c r="F1731">
        <f>0</f>
      </c>
      <c r="G1731">
        <f>264504669/10^6</f>
      </c>
      <c r="H1731">
        <f>0</f>
      </c>
      <c r="I1731">
        <f>-37145554/10^6</f>
      </c>
      <c r="J1731">
        <f>0</f>
      </c>
    </row>
    <row r="1732">
      <c r="A1732" t="s">
        <v>1741</v>
      </c>
      <c r="B1732" t="s">
        <v>11</v>
      </c>
      <c r="C1732">
        <f>1226479375/10^4</f>
      </c>
      <c r="D1732">
        <f>0</f>
      </c>
      <c r="E1732">
        <f>732450378/10^6</f>
      </c>
      <c r="F1732">
        <f>0</f>
      </c>
      <c r="G1732">
        <f>2648461/10^4</f>
      </c>
      <c r="H1732">
        <f>0</f>
      </c>
      <c r="I1732">
        <f>-36199936/10^6</f>
      </c>
      <c r="J1732">
        <f>0</f>
      </c>
    </row>
    <row r="1733">
      <c r="A1733" t="s">
        <v>1742</v>
      </c>
      <c r="B1733" t="s">
        <v>11</v>
      </c>
      <c r="C1733">
        <f>123125539063/10^6</f>
      </c>
      <c r="D1733">
        <f>0</f>
      </c>
      <c r="E1733">
        <f>728741455/10^6</f>
      </c>
      <c r="F1733">
        <f>0</f>
      </c>
      <c r="G1733">
        <f>265117462/10^6</f>
      </c>
      <c r="H1733">
        <f>0</f>
      </c>
      <c r="I1733">
        <f>-35471184/10^6</f>
      </c>
      <c r="J1733">
        <f>0</f>
      </c>
    </row>
    <row r="1734">
      <c r="A1734" t="s">
        <v>1743</v>
      </c>
      <c r="B1734" t="s">
        <v>11</v>
      </c>
      <c r="C1734">
        <f>123370375/10^3</f>
      </c>
      <c r="D1734">
        <f>0</f>
      </c>
      <c r="E1734">
        <f>726610901/10^6</f>
      </c>
      <c r="F1734">
        <f>0</f>
      </c>
      <c r="G1734">
        <f>264900665/10^6</f>
      </c>
      <c r="H1734">
        <f>0</f>
      </c>
      <c r="I1734">
        <f>-35152981/10^6</f>
      </c>
      <c r="J1734">
        <f>0</f>
      </c>
    </row>
    <row r="1735">
      <c r="A1735" t="s">
        <v>1744</v>
      </c>
      <c r="B1735" t="s">
        <v>11</v>
      </c>
      <c r="C1735">
        <f>12349471875/10^5</f>
      </c>
      <c r="D1735">
        <f>0</f>
      </c>
      <c r="E1735">
        <f>725349854/10^6</f>
      </c>
      <c r="F1735">
        <f>0</f>
      </c>
      <c r="G1735">
        <f>264632263/10^6</f>
      </c>
      <c r="H1735">
        <f>0</f>
      </c>
      <c r="I1735">
        <f>-34774273/10^6</f>
      </c>
      <c r="J1735">
        <f>0</f>
      </c>
    </row>
    <row r="1736">
      <c r="A1736" t="s">
        <v>1745</v>
      </c>
      <c r="B1736" t="s">
        <v>11</v>
      </c>
      <c r="C1736">
        <f>123596203125/10^6</f>
      </c>
      <c r="D1736">
        <f>0</f>
      </c>
      <c r="E1736">
        <f>72441394/10^5</f>
      </c>
      <c r="F1736">
        <f>0</f>
      </c>
      <c r="G1736">
        <f>264487427/10^6</f>
      </c>
      <c r="H1736">
        <f>0</f>
      </c>
      <c r="I1736">
        <f>-34604141/10^6</f>
      </c>
      <c r="J1736">
        <f>0</f>
      </c>
    </row>
    <row r="1737">
      <c r="A1737" t="s">
        <v>1746</v>
      </c>
      <c r="B1737" t="s">
        <v>11</v>
      </c>
      <c r="C1737">
        <f>12366225/10^2</f>
      </c>
      <c r="D1737">
        <f>0</f>
      </c>
      <c r="E1737">
        <f>723781067/10^6</f>
      </c>
      <c r="F1737">
        <f>0</f>
      </c>
      <c r="G1737">
        <f>264313019/10^6</f>
      </c>
      <c r="H1737">
        <f>0</f>
      </c>
      <c r="I1737">
        <f>-34570969/10^6</f>
      </c>
      <c r="J1737">
        <f>0</f>
      </c>
    </row>
    <row r="1738">
      <c r="A1738" t="s">
        <v>1747</v>
      </c>
      <c r="B1738" t="s">
        <v>11</v>
      </c>
      <c r="C1738">
        <f>123615164063/10^6</f>
      </c>
      <c r="D1738">
        <f>0</f>
      </c>
      <c r="E1738">
        <f>723213745/10^6</f>
      </c>
      <c r="F1738">
        <f>0</f>
      </c>
      <c r="G1738">
        <f>264139313/10^6</f>
      </c>
      <c r="H1738">
        <f>0</f>
      </c>
      <c r="I1738">
        <f>-34533997/10^6</f>
      </c>
      <c r="J1738">
        <f>0</f>
      </c>
    </row>
    <row r="1739">
      <c r="A1739" t="s">
        <v>1748</v>
      </c>
      <c r="B1739" t="s">
        <v>11</v>
      </c>
      <c r="C1739">
        <f>12345440625/10^5</f>
      </c>
      <c r="D1739">
        <f>0</f>
      </c>
      <c r="E1739">
        <f>722897156/10^6</f>
      </c>
      <c r="F1739">
        <f>0</f>
      </c>
      <c r="G1739">
        <f>26377475/10^5</f>
      </c>
      <c r="H1739">
        <f>0</f>
      </c>
      <c r="I1739">
        <f>-34651104/10^6</f>
      </c>
      <c r="J1739">
        <f>0</f>
      </c>
    </row>
    <row r="1740">
      <c r="A1740" t="s">
        <v>1749</v>
      </c>
      <c r="B1740" t="s">
        <v>11</v>
      </c>
      <c r="C1740">
        <f>123233023438/10^6</f>
      </c>
      <c r="D1740">
        <f>0</f>
      </c>
      <c r="E1740">
        <f>723325439/10^6</f>
      </c>
      <c r="F1740">
        <f>0</f>
      </c>
      <c r="G1740">
        <f>263350555/10^6</f>
      </c>
      <c r="H1740">
        <f>0</f>
      </c>
      <c r="I1740">
        <f>-34750488/10^6</f>
      </c>
      <c r="J1740">
        <f>0</f>
      </c>
    </row>
    <row r="1741">
      <c r="A1741" t="s">
        <v>1750</v>
      </c>
      <c r="B1741" t="s">
        <v>11</v>
      </c>
      <c r="C1741">
        <f>122981414063/10^6</f>
      </c>
      <c r="D1741">
        <f>0</f>
      </c>
      <c r="E1741">
        <f>724374756/10^6</f>
      </c>
      <c r="F1741">
        <f>0</f>
      </c>
      <c r="G1741">
        <f>263132416/10^6</f>
      </c>
      <c r="H1741">
        <f>0</f>
      </c>
      <c r="I1741">
        <f>-34991901/10^6</f>
      </c>
      <c r="J1741">
        <f>0</f>
      </c>
    </row>
    <row r="1742">
      <c r="A1742" t="s">
        <v>1751</v>
      </c>
      <c r="B1742" t="s">
        <v>11</v>
      </c>
      <c r="C1742">
        <f>122710164063/10^6</f>
      </c>
      <c r="D1742">
        <f>0</f>
      </c>
      <c r="E1742">
        <f>725643066/10^6</f>
      </c>
      <c r="F1742">
        <f>0</f>
      </c>
      <c r="G1742">
        <f>262932861/10^6</f>
      </c>
      <c r="H1742">
        <f>0</f>
      </c>
      <c r="I1742">
        <f>-35473633/10^6</f>
      </c>
      <c r="J1742">
        <f>0</f>
      </c>
    </row>
    <row r="1743">
      <c r="A1743" t="s">
        <v>1752</v>
      </c>
      <c r="B1743" t="s">
        <v>11</v>
      </c>
      <c r="C1743">
        <f>12242178125/10^5</f>
      </c>
      <c r="D1743">
        <f>0</f>
      </c>
      <c r="E1743">
        <f>72707959/10^5</f>
      </c>
      <c r="F1743">
        <f>0</f>
      </c>
      <c r="G1743">
        <f>262740356/10^6</f>
      </c>
      <c r="H1743">
        <f>0</f>
      </c>
      <c r="I1743">
        <f>-35838531/10^6</f>
      </c>
      <c r="J1743">
        <f>0</f>
      </c>
    </row>
    <row r="1744">
      <c r="A1744" t="s">
        <v>1753</v>
      </c>
      <c r="B1744" t="s">
        <v>11</v>
      </c>
      <c r="C1744">
        <f>122103351563/10^6</f>
      </c>
      <c r="D1744">
        <f>0</f>
      </c>
      <c r="E1744">
        <f>728797974/10^6</f>
      </c>
      <c r="F1744">
        <f>0</f>
      </c>
      <c r="G1744">
        <f>262591492/10^6</f>
      </c>
      <c r="H1744">
        <f>0</f>
      </c>
      <c r="I1744">
        <f>-36207291/10^6</f>
      </c>
      <c r="J1744">
        <f>0</f>
      </c>
    </row>
    <row r="1745">
      <c r="A1745" t="s">
        <v>1754</v>
      </c>
      <c r="B1745" t="s">
        <v>11</v>
      </c>
      <c r="C1745">
        <f>121741898438/10^6</f>
      </c>
      <c r="D1745">
        <f>0</f>
      </c>
      <c r="E1745">
        <f>730715759/10^6</f>
      </c>
      <c r="F1745">
        <f>0</f>
      </c>
      <c r="G1745">
        <f>262442688/10^6</f>
      </c>
      <c r="H1745">
        <f>0</f>
      </c>
      <c r="I1745">
        <f>-36607803/10^6</f>
      </c>
      <c r="J1745">
        <f>0</f>
      </c>
    </row>
    <row r="1746">
      <c r="A1746" t="s">
        <v>1755</v>
      </c>
      <c r="B1746" t="s">
        <v>11</v>
      </c>
      <c r="C1746">
        <f>12135515625/10^5</f>
      </c>
      <c r="D1746">
        <f>0</f>
      </c>
      <c r="E1746">
        <f>732656921/10^6</f>
      </c>
      <c r="F1746">
        <f>0</f>
      </c>
      <c r="G1746">
        <f>262307465/10^6</f>
      </c>
      <c r="H1746">
        <f>0</f>
      </c>
      <c r="I1746">
        <f>-36991814/10^6</f>
      </c>
      <c r="J1746">
        <f>0</f>
      </c>
    </row>
    <row r="1747">
      <c r="A1747" t="s">
        <v>1756</v>
      </c>
      <c r="B1747" t="s">
        <v>11</v>
      </c>
      <c r="C1747">
        <f>120974023438/10^6</f>
      </c>
      <c r="D1747">
        <f>0</f>
      </c>
      <c r="E1747">
        <f>734746094/10^6</f>
      </c>
      <c r="F1747">
        <f>0</f>
      </c>
      <c r="G1747">
        <f>262114716/10^6</f>
      </c>
      <c r="H1747">
        <f>0</f>
      </c>
      <c r="I1747">
        <f>-37512421/10^6</f>
      </c>
      <c r="J1747">
        <f>0</f>
      </c>
    </row>
    <row r="1748">
      <c r="A1748" t="s">
        <v>1757</v>
      </c>
      <c r="B1748" t="s">
        <v>11</v>
      </c>
      <c r="C1748">
        <f>120570992188/10^6</f>
      </c>
      <c r="D1748">
        <f>0</f>
      </c>
      <c r="E1748">
        <f>737149231/10^6</f>
      </c>
      <c r="F1748">
        <f>0</f>
      </c>
      <c r="G1748">
        <f>261966492/10^6</f>
      </c>
      <c r="H1748">
        <f>0</f>
      </c>
      <c r="I1748">
        <f>-37950394/10^6</f>
      </c>
      <c r="J1748">
        <f>0</f>
      </c>
    </row>
    <row r="1749">
      <c r="A1749" t="s">
        <v>1758</v>
      </c>
      <c r="B1749" t="s">
        <v>11</v>
      </c>
      <c r="C1749">
        <f>120115414063/10^6</f>
      </c>
      <c r="D1749">
        <f>0</f>
      </c>
      <c r="E1749">
        <f>739754456/10^6</f>
      </c>
      <c r="F1749">
        <f>0</f>
      </c>
      <c r="G1749">
        <f>261927002/10^6</f>
      </c>
      <c r="H1749">
        <f>0</f>
      </c>
      <c r="I1749">
        <f>-38396233/10^6</f>
      </c>
      <c r="J1749">
        <f>0</f>
      </c>
    </row>
    <row r="1750">
      <c r="A1750" t="s">
        <v>1759</v>
      </c>
      <c r="B1750" t="s">
        <v>11</v>
      </c>
      <c r="C1750">
        <f>119703523438/10^6</f>
      </c>
      <c r="D1750">
        <f>0</f>
      </c>
      <c r="E1750">
        <f>742332642/10^6</f>
      </c>
      <c r="F1750">
        <f>0</f>
      </c>
      <c r="G1750">
        <f>26189624/10^5</f>
      </c>
      <c r="H1750">
        <f>0</f>
      </c>
      <c r="I1750">
        <f>-38857895/10^6</f>
      </c>
      <c r="J1750">
        <f>0</f>
      </c>
    </row>
    <row r="1751">
      <c r="A1751" t="s">
        <v>1760</v>
      </c>
      <c r="B1751" t="s">
        <v>11</v>
      </c>
      <c r="C1751">
        <f>119394445313/10^6</f>
      </c>
      <c r="D1751">
        <f>0</f>
      </c>
      <c r="E1751">
        <f>74453241/10^5</f>
      </c>
      <c r="F1751">
        <f>0</f>
      </c>
      <c r="G1751">
        <f>26180661/10^5</f>
      </c>
      <c r="H1751">
        <f>0</f>
      </c>
      <c r="I1751">
        <f>-39319962/10^6</f>
      </c>
      <c r="J1751">
        <f>0</f>
      </c>
    </row>
    <row r="1752">
      <c r="A1752" t="s">
        <v>1761</v>
      </c>
      <c r="B1752" t="s">
        <v>11</v>
      </c>
      <c r="C1752">
        <f>119069929688/10^6</f>
      </c>
      <c r="D1752">
        <f>0</f>
      </c>
      <c r="E1752">
        <f>746411499/10^6</f>
      </c>
      <c r="F1752">
        <f>0</f>
      </c>
      <c r="G1752">
        <f>261673157/10^6</f>
      </c>
      <c r="H1752">
        <f>0</f>
      </c>
      <c r="I1752">
        <f>-40016411/10^6</f>
      </c>
      <c r="J1752">
        <f>0</f>
      </c>
    </row>
    <row r="1753">
      <c r="A1753" t="s">
        <v>1762</v>
      </c>
      <c r="B1753" t="s">
        <v>11</v>
      </c>
      <c r="C1753">
        <f>118678304688/10^6</f>
      </c>
      <c r="D1753">
        <f>0</f>
      </c>
      <c r="E1753">
        <f>748468872/10^6</f>
      </c>
      <c r="F1753">
        <f>0</f>
      </c>
      <c r="G1753">
        <f>261574066/10^6</f>
      </c>
      <c r="H1753">
        <f>0</f>
      </c>
      <c r="I1753">
        <f>-40549911/10^6</f>
      </c>
      <c r="J1753">
        <f>0</f>
      </c>
    </row>
    <row r="1754">
      <c r="A1754" t="s">
        <v>1763</v>
      </c>
      <c r="B1754" t="s">
        <v>11</v>
      </c>
      <c r="C1754">
        <f>118316882813/10^6</f>
      </c>
      <c r="D1754">
        <f>0</f>
      </c>
      <c r="E1754">
        <f>750716553/10^6</f>
      </c>
      <c r="F1754">
        <f>0</f>
      </c>
      <c r="G1754">
        <f>261408966/10^6</f>
      </c>
      <c r="H1754">
        <f>0</f>
      </c>
      <c r="I1754">
        <f>-40904308/10^6</f>
      </c>
      <c r="J1754">
        <f>0</f>
      </c>
    </row>
    <row r="1755">
      <c r="A1755" t="s">
        <v>1764</v>
      </c>
      <c r="B1755" t="s">
        <v>11</v>
      </c>
      <c r="C1755">
        <f>118024804688/10^6</f>
      </c>
      <c r="D1755">
        <f>0</f>
      </c>
      <c r="E1755">
        <f>752750916/10^6</f>
      </c>
      <c r="F1755">
        <f>0</f>
      </c>
      <c r="G1755">
        <f>261193481/10^6</f>
      </c>
      <c r="H1755">
        <f>0</f>
      </c>
      <c r="I1755">
        <f>-41301971/10^6</f>
      </c>
      <c r="J1755">
        <f>0</f>
      </c>
    </row>
    <row r="1756">
      <c r="A1756" t="s">
        <v>1765</v>
      </c>
      <c r="B1756" t="s">
        <v>11</v>
      </c>
      <c r="C1756">
        <f>117766328125/10^6</f>
      </c>
      <c r="D1756">
        <f>0</f>
      </c>
      <c r="E1756">
        <f>754483154/10^6</f>
      </c>
      <c r="F1756">
        <f>0</f>
      </c>
      <c r="G1756">
        <f>261143036/10^6</f>
      </c>
      <c r="H1756">
        <f>0</f>
      </c>
      <c r="I1756">
        <f>-41620079/10^6</f>
      </c>
      <c r="J1756">
        <f>0</f>
      </c>
    </row>
    <row r="1757">
      <c r="A1757" t="s">
        <v>1766</v>
      </c>
      <c r="B1757" t="s">
        <v>11</v>
      </c>
      <c r="C1757">
        <f>117519117188/10^6</f>
      </c>
      <c r="D1757">
        <f>0</f>
      </c>
      <c r="E1757">
        <f>756109009/10^6</f>
      </c>
      <c r="F1757">
        <f>0</f>
      </c>
      <c r="G1757">
        <f>261204254/10^6</f>
      </c>
      <c r="H1757">
        <f>0</f>
      </c>
      <c r="I1757">
        <f>-41951691/10^6</f>
      </c>
      <c r="J1757">
        <f>0</f>
      </c>
    </row>
    <row r="1758">
      <c r="A1758" t="s">
        <v>1767</v>
      </c>
      <c r="B1758" t="s">
        <v>11</v>
      </c>
      <c r="C1758">
        <f>117278148438/10^6</f>
      </c>
      <c r="D1758">
        <f>0</f>
      </c>
      <c r="E1758">
        <f>757658997/10^6</f>
      </c>
      <c r="F1758">
        <f>0</f>
      </c>
      <c r="G1758">
        <f>26120694/10^5</f>
      </c>
      <c r="H1758">
        <f>0</f>
      </c>
      <c r="I1758">
        <f>-42246918/10^6</f>
      </c>
      <c r="J1758">
        <f>0</f>
      </c>
    </row>
    <row r="1759">
      <c r="A1759" t="s">
        <v>1768</v>
      </c>
      <c r="B1759" t="s">
        <v>11</v>
      </c>
      <c r="C1759">
        <f>117051445313/10^6</f>
      </c>
      <c r="D1759">
        <f>0</f>
      </c>
      <c r="E1759">
        <f>759106201/10^6</f>
      </c>
      <c r="F1759">
        <f>0</f>
      </c>
      <c r="G1759">
        <f>261146667/10^6</f>
      </c>
      <c r="H1759">
        <f>0</f>
      </c>
      <c r="I1759">
        <f>-4259211/10^5</f>
      </c>
      <c r="J1759">
        <f>0</f>
      </c>
    </row>
    <row r="1760">
      <c r="A1760" t="s">
        <v>1769</v>
      </c>
      <c r="B1760" t="s">
        <v>11</v>
      </c>
      <c r="C1760">
        <f>116828210938/10^6</f>
      </c>
      <c r="D1760">
        <f>0</f>
      </c>
      <c r="E1760">
        <f>760539368/10^6</f>
      </c>
      <c r="F1760">
        <f>0</f>
      </c>
      <c r="G1760">
        <f>26110202/10^5</f>
      </c>
      <c r="H1760">
        <f>0</f>
      </c>
      <c r="I1760">
        <f>-42977642/10^6</f>
      </c>
      <c r="J1760">
        <f>0</f>
      </c>
    </row>
    <row r="1761">
      <c r="A1761" t="s">
        <v>1770</v>
      </c>
      <c r="B1761" t="s">
        <v>11</v>
      </c>
      <c r="C1761">
        <f>116566179688/10^6</f>
      </c>
      <c r="D1761">
        <f>0</f>
      </c>
      <c r="E1761">
        <f>762098267/10^6</f>
      </c>
      <c r="F1761">
        <f>0</f>
      </c>
      <c r="G1761">
        <f>261025208/10^6</f>
      </c>
      <c r="H1761">
        <f>0</f>
      </c>
      <c r="I1761">
        <f>-43235378/10^6</f>
      </c>
      <c r="J1761">
        <f>0</f>
      </c>
    </row>
    <row r="1762">
      <c r="A1762" t="s">
        <v>1771</v>
      </c>
      <c r="B1762" t="s">
        <v>11</v>
      </c>
      <c r="C1762">
        <f>116260820313/10^6</f>
      </c>
      <c r="D1762">
        <f>0</f>
      </c>
      <c r="E1762">
        <f>763955444/10^6</f>
      </c>
      <c r="F1762">
        <f>0</f>
      </c>
      <c r="G1762">
        <f>26087265/10^5</f>
      </c>
      <c r="H1762">
        <f>0</f>
      </c>
      <c r="I1762">
        <f>-43512695/10^6</f>
      </c>
      <c r="J1762">
        <f>0</f>
      </c>
    </row>
    <row r="1763">
      <c r="A1763" t="s">
        <v>1772</v>
      </c>
      <c r="B1763" t="s">
        <v>11</v>
      </c>
      <c r="C1763">
        <f>115946375/10^3</f>
      </c>
      <c r="D1763">
        <f>0</f>
      </c>
      <c r="E1763">
        <f>766012024/10^6</f>
      </c>
      <c r="F1763">
        <f>0</f>
      </c>
      <c r="G1763">
        <f>260756958/10^6</f>
      </c>
      <c r="H1763">
        <f>0</f>
      </c>
      <c r="I1763">
        <f>-43753262/10^6</f>
      </c>
      <c r="J1763">
        <f>0</f>
      </c>
    </row>
    <row r="1764">
      <c r="A1764" t="s">
        <v>1773</v>
      </c>
      <c r="B1764" t="s">
        <v>11</v>
      </c>
      <c r="C1764">
        <f>11563459375/10^5</f>
      </c>
      <c r="D1764">
        <f>0</f>
      </c>
      <c r="E1764">
        <f>767909119/10^6</f>
      </c>
      <c r="F1764">
        <f>0</f>
      </c>
      <c r="G1764">
        <f>26068927/10^5</f>
      </c>
      <c r="H1764">
        <f>0</f>
      </c>
      <c r="I1764">
        <f>-43985092/10^6</f>
      </c>
      <c r="J1764">
        <f>0</f>
      </c>
    </row>
    <row r="1765">
      <c r="A1765" t="s">
        <v>1774</v>
      </c>
      <c r="B1765" t="s">
        <v>11</v>
      </c>
      <c r="C1765">
        <f>115335492188/10^6</f>
      </c>
      <c r="D1765">
        <f>0</f>
      </c>
      <c r="E1765">
        <f>769520569/10^6</f>
      </c>
      <c r="F1765">
        <f>0</f>
      </c>
      <c r="G1765">
        <f>26062793/10^5</f>
      </c>
      <c r="H1765">
        <f>0</f>
      </c>
      <c r="I1765">
        <f>-44247643/10^6</f>
      </c>
      <c r="J1765">
        <f>0</f>
      </c>
    </row>
    <row r="1766">
      <c r="A1766" t="s">
        <v>1775</v>
      </c>
      <c r="B1766" t="s">
        <v>11</v>
      </c>
      <c r="C1766">
        <f>115056242188/10^6</f>
      </c>
      <c r="D1766">
        <f>0</f>
      </c>
      <c r="E1766">
        <f>770851929/10^6</f>
      </c>
      <c r="F1766">
        <f>0</f>
      </c>
      <c r="G1766">
        <f>26049765/10^5</f>
      </c>
      <c r="H1766">
        <f>0</f>
      </c>
      <c r="I1766">
        <f>-44367413/10^6</f>
      </c>
      <c r="J1766">
        <f>0</f>
      </c>
    </row>
    <row r="1767">
      <c r="A1767" t="s">
        <v>1776</v>
      </c>
      <c r="B1767" t="s">
        <v>11</v>
      </c>
      <c r="C1767">
        <f>114772328125/10^6</f>
      </c>
      <c r="D1767">
        <f>0</f>
      </c>
      <c r="E1767">
        <f>771985901/10^6</f>
      </c>
      <c r="F1767">
        <f>0</f>
      </c>
      <c r="G1767">
        <f>260303406/10^6</f>
      </c>
      <c r="H1767">
        <f>0</f>
      </c>
      <c r="I1767">
        <f>-44508743/10^6</f>
      </c>
      <c r="J1767">
        <f>0</f>
      </c>
    </row>
    <row r="1768">
      <c r="A1768" t="s">
        <v>1777</v>
      </c>
      <c r="B1768" t="s">
        <v>11</v>
      </c>
      <c r="C1768">
        <f>114491882813/10^6</f>
      </c>
      <c r="D1768">
        <f>0</f>
      </c>
      <c r="E1768">
        <f>77282666/10^5</f>
      </c>
      <c r="F1768">
        <f>0</f>
      </c>
      <c r="G1768">
        <f>260142242/10^6</f>
      </c>
      <c r="H1768">
        <f>0</f>
      </c>
      <c r="I1768">
        <f>-44582016/10^6</f>
      </c>
      <c r="J1768">
        <f>0</f>
      </c>
    </row>
    <row r="1769">
      <c r="A1769" t="s">
        <v>1778</v>
      </c>
      <c r="B1769" t="s">
        <v>11</v>
      </c>
      <c r="C1769">
        <f>114277304688/10^6</f>
      </c>
      <c r="D1769">
        <f>0</f>
      </c>
      <c r="E1769">
        <f>773302979/10^6</f>
      </c>
      <c r="F1769">
        <f>0</f>
      </c>
      <c r="G1769">
        <f>259865479/10^6</f>
      </c>
      <c r="H1769">
        <f>0</f>
      </c>
      <c r="I1769">
        <f>-44381893/10^6</f>
      </c>
      <c r="J1769">
        <f>0</f>
      </c>
    </row>
    <row r="1770">
      <c r="A1770" t="s">
        <v>1779</v>
      </c>
      <c r="B1770" t="s">
        <v>11</v>
      </c>
      <c r="C1770">
        <f>114125882813/10^6</f>
      </c>
      <c r="D1770">
        <f>0</f>
      </c>
      <c r="E1770">
        <f>774001343/10^6</f>
      </c>
      <c r="F1770">
        <f>0</f>
      </c>
      <c r="G1770">
        <f>259531006/10^6</f>
      </c>
      <c r="H1770">
        <f>0</f>
      </c>
      <c r="I1770">
        <f>-44188858/10^6</f>
      </c>
      <c r="J1770">
        <f>0</f>
      </c>
    </row>
    <row r="1771">
      <c r="A1771" t="s">
        <v>1780</v>
      </c>
      <c r="B1771" t="s">
        <v>11</v>
      </c>
      <c r="C1771">
        <f>114002773438/10^6</f>
      </c>
      <c r="D1771">
        <f>0</f>
      </c>
      <c r="E1771">
        <f>773294922/10^6</f>
      </c>
      <c r="F1771">
        <f>0</f>
      </c>
      <c r="G1771">
        <f>259295105/10^6</f>
      </c>
      <c r="H1771">
        <f>0</f>
      </c>
      <c r="I1771">
        <f>-43797974/10^6</f>
      </c>
      <c r="J1771">
        <f>0</f>
      </c>
    </row>
    <row r="1772">
      <c r="A1772" t="s">
        <v>1781</v>
      </c>
      <c r="B1772" t="s">
        <v>11</v>
      </c>
      <c r="C1772">
        <f>113972148438/10^6</f>
      </c>
      <c r="D1772">
        <f>0</f>
      </c>
      <c r="E1772">
        <f>769259155/10^6</f>
      </c>
      <c r="F1772">
        <f>0</f>
      </c>
      <c r="G1772">
        <f>25917749/10^5</f>
      </c>
      <c r="H1772">
        <f>0</f>
      </c>
      <c r="I1772">
        <f>-43289673/10^6</f>
      </c>
      <c r="J1772">
        <f>0</f>
      </c>
    </row>
    <row r="1773">
      <c r="A1773" t="s">
        <v>1782</v>
      </c>
      <c r="B1773" t="s">
        <v>11</v>
      </c>
      <c r="C1773">
        <f>11402925/10^2</f>
      </c>
      <c r="D1773">
        <f>0</f>
      </c>
      <c r="E1773">
        <f>765429932/10^6</f>
      </c>
      <c r="F1773">
        <f>0</f>
      </c>
      <c r="G1773">
        <f>259033508/10^6</f>
      </c>
      <c r="H1773">
        <f>0</f>
      </c>
      <c r="I1773">
        <f>-42844528/10^6</f>
      </c>
      <c r="J1773">
        <f>0</f>
      </c>
    </row>
    <row r="1774">
      <c r="A1774" t="s">
        <v>1783</v>
      </c>
      <c r="B1774" t="s">
        <v>11</v>
      </c>
      <c r="C1774">
        <f>11407153125/10^5</f>
      </c>
      <c r="D1774">
        <f>0</f>
      </c>
      <c r="E1774">
        <f>764874756/10^6</f>
      </c>
      <c r="F1774">
        <f>0</f>
      </c>
      <c r="G1774">
        <f>258117249/10^6</f>
      </c>
      <c r="H1774">
        <f>0</f>
      </c>
      <c r="I1774">
        <f>-41272793/10^6</f>
      </c>
      <c r="J1774">
        <f>0</f>
      </c>
    </row>
    <row r="1775">
      <c r="A1775" t="s">
        <v>1784</v>
      </c>
      <c r="B1775" t="s">
        <v>11</v>
      </c>
      <c r="C1775">
        <f>114100554688/10^6</f>
      </c>
      <c r="D1775">
        <f>0</f>
      </c>
      <c r="E1775">
        <f>766029358/10^6</f>
      </c>
      <c r="F1775">
        <f>0</f>
      </c>
      <c r="G1775">
        <f>256863892/10^6</f>
      </c>
      <c r="H1775">
        <f>0</f>
      </c>
      <c r="I1775">
        <f>-39250397/10^6</f>
      </c>
      <c r="J1775">
        <f>0</f>
      </c>
    </row>
    <row r="1776">
      <c r="A1776" t="s">
        <v>1785</v>
      </c>
      <c r="B1776" t="s">
        <v>11</v>
      </c>
      <c r="C1776">
        <f>11412675/10^2</f>
      </c>
      <c r="D1776">
        <f>0</f>
      </c>
      <c r="E1776">
        <f>767624695/10^6</f>
      </c>
      <c r="F1776">
        <f>0</f>
      </c>
      <c r="G1776">
        <f>256910034/10^6</f>
      </c>
      <c r="H1776">
        <f>0</f>
      </c>
      <c r="I1776">
        <f>-38846642/10^6</f>
      </c>
      <c r="J1776">
        <f>0</f>
      </c>
    </row>
    <row r="1777">
      <c r="A1777" t="s">
        <v>1786</v>
      </c>
      <c r="B1777" t="s">
        <v>11</v>
      </c>
      <c r="C1777">
        <f>114137210938/10^6</f>
      </c>
      <c r="D1777">
        <f>0</f>
      </c>
      <c r="E1777">
        <f>769149597/10^6</f>
      </c>
      <c r="F1777">
        <f>0</f>
      </c>
      <c r="G1777">
        <f>257839111/10^6</f>
      </c>
      <c r="H1777">
        <f>0</f>
      </c>
      <c r="I1777">
        <f>-39287186/10^6</f>
      </c>
      <c r="J1777">
        <f>0</f>
      </c>
    </row>
    <row r="1778">
      <c r="A1778" t="s">
        <v>1787</v>
      </c>
      <c r="B1778" t="s">
        <v>11</v>
      </c>
      <c r="C1778">
        <f>114199109375/10^6</f>
      </c>
      <c r="D1778">
        <f>0</f>
      </c>
      <c r="E1778">
        <f>770090515/10^6</f>
      </c>
      <c r="F1778">
        <f>0</f>
      </c>
      <c r="G1778">
        <f>258339996/10^6</f>
      </c>
      <c r="H1778">
        <f>0</f>
      </c>
      <c r="I1778">
        <f>-39337059/10^6</f>
      </c>
      <c r="J1778">
        <f>0</f>
      </c>
    </row>
    <row r="1779">
      <c r="A1779" t="s">
        <v>1788</v>
      </c>
      <c r="B1779" t="s">
        <v>11</v>
      </c>
      <c r="C1779">
        <f>114338867188/10^6</f>
      </c>
      <c r="D1779">
        <f>0</f>
      </c>
      <c r="E1779">
        <f>770538757/10^6</f>
      </c>
      <c r="F1779">
        <f>0</f>
      </c>
      <c r="G1779">
        <f>258693207/10^6</f>
      </c>
      <c r="H1779">
        <f>0</f>
      </c>
      <c r="I1779">
        <f>-39356094/10^6</f>
      </c>
      <c r="J1779">
        <f>0</f>
      </c>
    </row>
    <row r="1780">
      <c r="A1780" t="s">
        <v>1789</v>
      </c>
      <c r="B1780" t="s">
        <v>11</v>
      </c>
      <c r="C1780">
        <f>114518179688/10^6</f>
      </c>
      <c r="D1780">
        <f>0</f>
      </c>
      <c r="E1780">
        <f>770640015/10^6</f>
      </c>
      <c r="F1780">
        <f>0</f>
      </c>
      <c r="G1780">
        <f>259122711/10^6</f>
      </c>
      <c r="H1780">
        <f>0</f>
      </c>
      <c r="I1780">
        <f>-39479198/10^6</f>
      </c>
      <c r="J1780">
        <f>0</f>
      </c>
    </row>
    <row r="1781">
      <c r="A1781" t="s">
        <v>1790</v>
      </c>
      <c r="B1781" t="s">
        <v>11</v>
      </c>
      <c r="C1781">
        <f>114747039063/10^6</f>
      </c>
      <c r="D1781">
        <f>0</f>
      </c>
      <c r="E1781">
        <f>770477112/10^6</f>
      </c>
      <c r="F1781">
        <f>0</f>
      </c>
      <c r="G1781">
        <f>259580841/10^6</f>
      </c>
      <c r="H1781">
        <f>0</f>
      </c>
      <c r="I1781">
        <f>-39475151/10^6</f>
      </c>
      <c r="J1781">
        <f>0</f>
      </c>
    </row>
    <row r="1782">
      <c r="A1782" t="s">
        <v>1791</v>
      </c>
      <c r="B1782" t="s">
        <v>11</v>
      </c>
      <c r="C1782">
        <f>115059164063/10^6</f>
      </c>
      <c r="D1782">
        <f>0</f>
      </c>
      <c r="E1782">
        <f>769959839/10^6</f>
      </c>
      <c r="F1782">
        <f>0</f>
      </c>
      <c r="G1782">
        <f>260219818/10^6</f>
      </c>
      <c r="H1782">
        <f>0</f>
      </c>
      <c r="I1782">
        <f>-39410561/10^6</f>
      </c>
      <c r="J1782">
        <f>0</f>
      </c>
    </row>
    <row r="1783">
      <c r="A1783" t="s">
        <v>1792</v>
      </c>
      <c r="B1783" t="s">
        <v>11</v>
      </c>
      <c r="C1783">
        <f>115477664063/10^6</f>
      </c>
      <c r="D1783">
        <f>0</f>
      </c>
      <c r="E1783">
        <f>768834717/10^6</f>
      </c>
      <c r="F1783">
        <f>0</f>
      </c>
      <c r="G1783">
        <f>260739594/10^6</f>
      </c>
      <c r="H1783">
        <f>0</f>
      </c>
      <c r="I1783">
        <f>-39346233/10^6</f>
      </c>
      <c r="J1783">
        <f>0</f>
      </c>
    </row>
    <row r="1784">
      <c r="A1784" t="s">
        <v>1793</v>
      </c>
      <c r="B1784" t="s">
        <v>11</v>
      </c>
      <c r="C1784">
        <f>1160034375/10^4</f>
      </c>
      <c r="D1784">
        <f>0</f>
      </c>
      <c r="E1784">
        <f>766679626/10^6</f>
      </c>
      <c r="F1784">
        <f>0</f>
      </c>
      <c r="G1784">
        <f>2612883/10^4</f>
      </c>
      <c r="H1784">
        <f>0</f>
      </c>
      <c r="I1784">
        <f>-39245228/10^6</f>
      </c>
      <c r="J1784">
        <f>0</f>
      </c>
    </row>
    <row r="1785">
      <c r="A1785" t="s">
        <v>1794</v>
      </c>
      <c r="B1785" t="s">
        <v>11</v>
      </c>
      <c r="C1785">
        <f>1165956875/10^4</f>
      </c>
      <c r="D1785">
        <f>0</f>
      </c>
      <c r="E1785">
        <f>763776001/10^6</f>
      </c>
      <c r="F1785">
        <f>0</f>
      </c>
      <c r="G1785">
        <f>261897797/10^6</f>
      </c>
      <c r="H1785">
        <f>0</f>
      </c>
      <c r="I1785">
        <f>-39188824/10^6</f>
      </c>
      <c r="J1785">
        <f>0</f>
      </c>
    </row>
    <row r="1786">
      <c r="A1786" t="s">
        <v>1795</v>
      </c>
      <c r="B1786" t="s">
        <v>11</v>
      </c>
      <c r="C1786">
        <f>117253164063/10^6</f>
      </c>
      <c r="D1786">
        <f>0</f>
      </c>
      <c r="E1786">
        <f>760981018/10^6</f>
      </c>
      <c r="F1786">
        <f>0</f>
      </c>
      <c r="G1786">
        <f>262394562/10^6</f>
      </c>
      <c r="H1786">
        <f>0</f>
      </c>
      <c r="I1786">
        <f>-38886806/10^6</f>
      </c>
      <c r="J1786">
        <f>0</f>
      </c>
    </row>
    <row r="1787">
      <c r="A1787" t="s">
        <v>1796</v>
      </c>
      <c r="B1787" t="s">
        <v>11</v>
      </c>
      <c r="C1787">
        <f>118030898438/10^6</f>
      </c>
      <c r="D1787">
        <f>0</f>
      </c>
      <c r="E1787">
        <f>75789624/10^5</f>
      </c>
      <c r="F1787">
        <f>0</f>
      </c>
      <c r="G1787">
        <f>262963837/10^6</f>
      </c>
      <c r="H1787">
        <f>0</f>
      </c>
      <c r="I1787">
        <f>-38316418/10^6</f>
      </c>
      <c r="J1787">
        <f>0</f>
      </c>
    </row>
    <row r="1788">
      <c r="A1788" t="s">
        <v>1797</v>
      </c>
      <c r="B1788" t="s">
        <v>11</v>
      </c>
      <c r="C1788">
        <f>118945539063/10^6</f>
      </c>
      <c r="D1788">
        <f>0</f>
      </c>
      <c r="E1788">
        <f>753759033/10^6</f>
      </c>
      <c r="F1788">
        <f>0</f>
      </c>
      <c r="G1788">
        <f>263455597/10^6</f>
      </c>
      <c r="H1788">
        <f>0</f>
      </c>
      <c r="I1788">
        <f>-37857368/10^6</f>
      </c>
      <c r="J1788">
        <f>0</f>
      </c>
    </row>
    <row r="1789">
      <c r="A1789" t="s">
        <v>1798</v>
      </c>
      <c r="B1789" t="s">
        <v>11</v>
      </c>
      <c r="C1789">
        <f>119958007813/10^6</f>
      </c>
      <c r="D1789">
        <f>0</f>
      </c>
      <c r="E1789">
        <f>748796143/10^6</f>
      </c>
      <c r="F1789">
        <f>0</f>
      </c>
      <c r="G1789">
        <f>264167145/10^6</f>
      </c>
      <c r="H1789">
        <f>0</f>
      </c>
      <c r="I1789">
        <f>-3724408/10^5</f>
      </c>
      <c r="J1789">
        <f>0</f>
      </c>
    </row>
    <row r="1790">
      <c r="A1790" t="s">
        <v>1799</v>
      </c>
      <c r="B1790" t="s">
        <v>11</v>
      </c>
      <c r="C1790">
        <f>121013375/10^3</f>
      </c>
      <c r="D1790">
        <f>0</f>
      </c>
      <c r="E1790">
        <f>743320618/10^6</f>
      </c>
      <c r="F1790">
        <f>0</f>
      </c>
      <c r="G1790">
        <f>265009094/10^6</f>
      </c>
      <c r="H1790">
        <f>0</f>
      </c>
      <c r="I1790">
        <f>-3661544/10^5</f>
      </c>
      <c r="J1790">
        <f>0</f>
      </c>
    </row>
    <row r="1791">
      <c r="A1791" t="s">
        <v>1800</v>
      </c>
      <c r="B1791" t="s">
        <v>11</v>
      </c>
      <c r="C1791">
        <f>122034265625/10^6</f>
      </c>
      <c r="D1791">
        <f>0</f>
      </c>
      <c r="E1791">
        <f>737609741/10^6</f>
      </c>
      <c r="F1791">
        <f>0</f>
      </c>
      <c r="G1791">
        <f>265346222/10^6</f>
      </c>
      <c r="H1791">
        <f>0</f>
      </c>
      <c r="I1791">
        <f>-35964153/10^6</f>
      </c>
      <c r="J1791">
        <f>0</f>
      </c>
    </row>
    <row r="1792">
      <c r="A1792" t="s">
        <v>1801</v>
      </c>
      <c r="B1792" t="s">
        <v>11</v>
      </c>
      <c r="C1792">
        <f>122891109375/10^6</f>
      </c>
      <c r="D1792">
        <f>0</f>
      </c>
      <c r="E1792">
        <f>732400635/10^6</f>
      </c>
      <c r="F1792">
        <f>0</f>
      </c>
      <c r="G1792">
        <f>265609344/10^6</f>
      </c>
      <c r="H1792">
        <f>0</f>
      </c>
      <c r="I1792">
        <f>-34827629/10^6</f>
      </c>
      <c r="J1792">
        <f>0</f>
      </c>
    </row>
    <row r="1793">
      <c r="A1793" t="s">
        <v>1802</v>
      </c>
      <c r="B1793" t="s">
        <v>11</v>
      </c>
      <c r="C1793">
        <f>123445429688/10^6</f>
      </c>
      <c r="D1793">
        <f>0</f>
      </c>
      <c r="E1793">
        <f>728496033/10^6</f>
      </c>
      <c r="F1793">
        <f>0</f>
      </c>
      <c r="G1793">
        <f>26583551/10^5</f>
      </c>
      <c r="H1793">
        <f>0</f>
      </c>
      <c r="I1793">
        <f>-34030716/10^6</f>
      </c>
      <c r="J1793">
        <f>0</f>
      </c>
    </row>
    <row r="1794">
      <c r="A1794" t="s">
        <v>1803</v>
      </c>
      <c r="B1794" t="s">
        <v>11</v>
      </c>
      <c r="C1794">
        <f>123698835938/10^6</f>
      </c>
      <c r="D1794">
        <f>0</f>
      </c>
      <c r="E1794">
        <f>725944153/10^6</f>
      </c>
      <c r="F1794">
        <f>0</f>
      </c>
      <c r="G1794">
        <f>265568604/10^6</f>
      </c>
      <c r="H1794">
        <f>0</f>
      </c>
      <c r="I1794">
        <f>-33836388/10^6</f>
      </c>
      <c r="J1794">
        <f>0</f>
      </c>
    </row>
    <row r="1795">
      <c r="A1795" t="s">
        <v>1804</v>
      </c>
      <c r="B1795" t="s">
        <v>11</v>
      </c>
      <c r="C1795">
        <f>123828421875/10^6</f>
      </c>
      <c r="D1795">
        <f>0</f>
      </c>
      <c r="E1795">
        <f>724183899/10^6</f>
      </c>
      <c r="F1795">
        <f>0</f>
      </c>
      <c r="G1795">
        <f>26524472/10^5</f>
      </c>
      <c r="H1795">
        <f>0</f>
      </c>
      <c r="I1795">
        <f>-33590755/10^6</f>
      </c>
      <c r="J1795">
        <f>0</f>
      </c>
    </row>
    <row r="1796">
      <c r="A1796" t="s">
        <v>1805</v>
      </c>
      <c r="B1796" t="s">
        <v>11</v>
      </c>
      <c r="C1796">
        <f>12394228125/10^5</f>
      </c>
      <c r="D1796">
        <f>0</f>
      </c>
      <c r="E1796">
        <f>723025452/10^6</f>
      </c>
      <c r="F1796">
        <f>0</f>
      </c>
      <c r="G1796">
        <f>265048096/10^6</f>
      </c>
      <c r="H1796">
        <f>0</f>
      </c>
      <c r="I1796">
        <f>-33475216/10^6</f>
      </c>
      <c r="J1796">
        <f>0</f>
      </c>
    </row>
    <row r="1797">
      <c r="A1797" t="s">
        <v>1806</v>
      </c>
      <c r="B1797" t="s">
        <v>11</v>
      </c>
      <c r="C1797">
        <f>123958609375/10^6</f>
      </c>
      <c r="D1797">
        <f>0</f>
      </c>
      <c r="E1797">
        <f>722469849/10^6</f>
      </c>
      <c r="F1797">
        <f>0</f>
      </c>
      <c r="G1797">
        <f>26477417/10^5</f>
      </c>
      <c r="H1797">
        <f>0</f>
      </c>
      <c r="I1797">
        <f>-33460957/10^6</f>
      </c>
      <c r="J1797">
        <f>0</f>
      </c>
    </row>
    <row r="1798">
      <c r="A1798" t="s">
        <v>1807</v>
      </c>
      <c r="B1798" t="s">
        <v>11</v>
      </c>
      <c r="C1798">
        <f>123836335938/10^6</f>
      </c>
      <c r="D1798">
        <f>0</f>
      </c>
      <c r="E1798">
        <f>722354675/10^6</f>
      </c>
      <c r="F1798">
        <f>0</f>
      </c>
      <c r="G1798">
        <f>264533112/10^6</f>
      </c>
      <c r="H1798">
        <f>0</f>
      </c>
      <c r="I1798">
        <f>-3346315/10^5</f>
      </c>
      <c r="J1798">
        <f>0</f>
      </c>
    </row>
    <row r="1799">
      <c r="A1799" t="s">
        <v>1808</v>
      </c>
      <c r="B1799" t="s">
        <v>11</v>
      </c>
      <c r="C1799">
        <f>123657617188/10^6</f>
      </c>
      <c r="D1799">
        <f>0</f>
      </c>
      <c r="E1799">
        <f>722776978/10^6</f>
      </c>
      <c r="F1799">
        <f>0</f>
      </c>
      <c r="G1799">
        <f>264207794/10^6</f>
      </c>
      <c r="H1799">
        <f>0</f>
      </c>
      <c r="I1799">
        <f>-33770416/10^6</f>
      </c>
      <c r="J1799">
        <f>0</f>
      </c>
    </row>
    <row r="1800">
      <c r="A1800" t="s">
        <v>1809</v>
      </c>
      <c r="B1800" t="s">
        <v>11</v>
      </c>
      <c r="C1800">
        <f>123463828125/10^6</f>
      </c>
      <c r="D1800">
        <f>0</f>
      </c>
      <c r="E1800">
        <f>723504272/10^6</f>
      </c>
      <c r="F1800">
        <f>0</f>
      </c>
      <c r="G1800">
        <f>263838715/10^6</f>
      </c>
      <c r="H1800">
        <f>0</f>
      </c>
      <c r="I1800">
        <f>-34111824/10^6</f>
      </c>
      <c r="J1800">
        <f>0</f>
      </c>
    </row>
    <row r="1801">
      <c r="A1801" t="s">
        <v>1810</v>
      </c>
      <c r="B1801" t="s">
        <v>11</v>
      </c>
      <c r="C1801">
        <f>123233007813/10^6</f>
      </c>
      <c r="D1801">
        <f>0</f>
      </c>
      <c r="E1801">
        <f>724155823/10^6</f>
      </c>
      <c r="F1801">
        <f>0</f>
      </c>
      <c r="G1801">
        <f>263611877/10^6</f>
      </c>
      <c r="H1801">
        <f>0</f>
      </c>
      <c r="I1801">
        <f>-3440509/10^5</f>
      </c>
      <c r="J1801">
        <f>0</f>
      </c>
    </row>
    <row r="1802">
      <c r="A1802" t="s">
        <v>1811</v>
      </c>
      <c r="B1802" t="s">
        <v>11</v>
      </c>
      <c r="C1802">
        <f>122959296875/10^6</f>
      </c>
      <c r="D1802">
        <f>0</f>
      </c>
      <c r="E1802">
        <f>725200745/10^6</f>
      </c>
      <c r="F1802">
        <f>0</f>
      </c>
      <c r="G1802">
        <f>263363251/10^6</f>
      </c>
      <c r="H1802">
        <f>0</f>
      </c>
      <c r="I1802">
        <f>-34814152/10^6</f>
      </c>
      <c r="J1802">
        <f>0</f>
      </c>
    </row>
    <row r="1803">
      <c r="A1803" t="s">
        <v>1812</v>
      </c>
      <c r="B1803" t="s">
        <v>11</v>
      </c>
      <c r="C1803">
        <f>122656585938/10^6</f>
      </c>
      <c r="D1803">
        <f>0</f>
      </c>
      <c r="E1803">
        <f>726835327/10^6</f>
      </c>
      <c r="F1803">
        <f>0</f>
      </c>
      <c r="G1803">
        <f>263148804/10^6</f>
      </c>
      <c r="H1803">
        <f>0</f>
      </c>
      <c r="I1803">
        <f>-35174873/10^6</f>
      </c>
      <c r="J1803">
        <f>0</f>
      </c>
    </row>
    <row r="1804">
      <c r="A1804" t="s">
        <v>1813</v>
      </c>
      <c r="B1804" t="s">
        <v>11</v>
      </c>
      <c r="C1804">
        <f>122331929688/10^6</f>
      </c>
      <c r="D1804">
        <f>0</f>
      </c>
      <c r="E1804">
        <f>728612061/10^6</f>
      </c>
      <c r="F1804">
        <f>0</f>
      </c>
      <c r="G1804">
        <f>263017212/10^6</f>
      </c>
      <c r="H1804">
        <f>0</f>
      </c>
      <c r="I1804">
        <f>-35653305/10^6</f>
      </c>
      <c r="J1804">
        <f>0</f>
      </c>
    </row>
    <row r="1805">
      <c r="A1805" t="s">
        <v>1814</v>
      </c>
      <c r="B1805" t="s">
        <v>11</v>
      </c>
      <c r="C1805">
        <f>121982179688/10^6</f>
      </c>
      <c r="D1805">
        <f>0</f>
      </c>
      <c r="E1805">
        <f>730473877/10^6</f>
      </c>
      <c r="F1805">
        <f>0</f>
      </c>
      <c r="G1805">
        <f>262877899/10^6</f>
      </c>
      <c r="H1805">
        <f>0</f>
      </c>
      <c r="I1805">
        <f>-36163021/10^6</f>
      </c>
      <c r="J1805">
        <f>0</f>
      </c>
    </row>
    <row r="1806">
      <c r="A1806" t="s">
        <v>1815</v>
      </c>
      <c r="B1806" t="s">
        <v>11</v>
      </c>
      <c r="C1806">
        <f>121615898438/10^6</f>
      </c>
      <c r="D1806">
        <f>0</f>
      </c>
      <c r="E1806">
        <f>732453369/10^6</f>
      </c>
      <c r="F1806">
        <f>0</f>
      </c>
      <c r="G1806">
        <f>262756378/10^6</f>
      </c>
      <c r="H1806">
        <f>0</f>
      </c>
      <c r="I1806">
        <f>-36634933/10^6</f>
      </c>
      <c r="J1806">
        <f>0</f>
      </c>
    </row>
    <row r="1807">
      <c r="A1807" t="s">
        <v>1816</v>
      </c>
      <c r="B1807" t="s">
        <v>11</v>
      </c>
      <c r="C1807">
        <f>121237078125/10^6</f>
      </c>
      <c r="D1807">
        <f>0</f>
      </c>
      <c r="E1807">
        <f>734579102/10^6</f>
      </c>
      <c r="F1807">
        <f>0</f>
      </c>
      <c r="G1807">
        <f>262632813/10^6</f>
      </c>
      <c r="H1807">
        <f>0</f>
      </c>
      <c r="I1807">
        <f>-37280834/10^6</f>
      </c>
      <c r="J1807">
        <f>0</f>
      </c>
    </row>
    <row r="1808">
      <c r="A1808" t="s">
        <v>1817</v>
      </c>
      <c r="B1808" t="s">
        <v>11</v>
      </c>
      <c r="C1808">
        <f>120823375/10^3</f>
      </c>
      <c r="D1808">
        <f>0</f>
      </c>
      <c r="E1808">
        <f>7369599/10^4</f>
      </c>
      <c r="F1808">
        <f>0</f>
      </c>
      <c r="G1808">
        <f>262520599/10^6</f>
      </c>
      <c r="H1808">
        <f>0</f>
      </c>
      <c r="I1808">
        <f>-37817509/10^6</f>
      </c>
      <c r="J1808">
        <f>0</f>
      </c>
    </row>
    <row r="1809">
      <c r="A1809" t="s">
        <v>1818</v>
      </c>
      <c r="B1809" t="s">
        <v>11</v>
      </c>
      <c r="C1809">
        <f>12040190625/10^5</f>
      </c>
      <c r="D1809">
        <f>0</f>
      </c>
      <c r="E1809">
        <f>739452393/10^6</f>
      </c>
      <c r="F1809">
        <f>0</f>
      </c>
      <c r="G1809">
        <f>262359253/10^6</f>
      </c>
      <c r="H1809">
        <f>0</f>
      </c>
      <c r="I1809">
        <f>-38391956/10^6</f>
      </c>
      <c r="J1809">
        <f>0</f>
      </c>
    </row>
    <row r="1810">
      <c r="A1810" t="s">
        <v>1819</v>
      </c>
      <c r="B1810" t="s">
        <v>11</v>
      </c>
      <c r="C1810">
        <f>120026984375/10^6</f>
      </c>
      <c r="D1810">
        <f>0</f>
      </c>
      <c r="E1810">
        <f>741788574/10^6</f>
      </c>
      <c r="F1810">
        <f>0</f>
      </c>
      <c r="G1810">
        <f>262173828/10^6</f>
      </c>
      <c r="H1810">
        <f>0</f>
      </c>
      <c r="I1810">
        <f>-39022503/10^6</f>
      </c>
      <c r="J1810">
        <f>0</f>
      </c>
    </row>
    <row r="1811">
      <c r="A1811" t="s">
        <v>1820</v>
      </c>
      <c r="B1811" t="s">
        <v>11</v>
      </c>
      <c r="C1811">
        <f>119646953125/10^6</f>
      </c>
      <c r="D1811">
        <f>0</f>
      </c>
      <c r="E1811">
        <f>743952454/10^6</f>
      </c>
      <c r="F1811">
        <f>0</f>
      </c>
      <c r="G1811">
        <f>262061249/10^6</f>
      </c>
      <c r="H1811">
        <f>0</f>
      </c>
      <c r="I1811">
        <f>-39525608/10^6</f>
      </c>
      <c r="J1811">
        <f>0</f>
      </c>
    </row>
    <row r="1812">
      <c r="A1812" t="s">
        <v>1821</v>
      </c>
      <c r="B1812" t="s">
        <v>11</v>
      </c>
      <c r="C1812">
        <f>119219085938/10^6</f>
      </c>
      <c r="D1812">
        <f>0</f>
      </c>
      <c r="E1812">
        <f>746280762/10^6</f>
      </c>
      <c r="F1812">
        <f>0</f>
      </c>
      <c r="G1812">
        <f>261961884/10^6</f>
      </c>
      <c r="H1812">
        <f>0</f>
      </c>
      <c r="I1812">
        <f>-40149796/10^6</f>
      </c>
      <c r="J1812">
        <f>0</f>
      </c>
    </row>
    <row r="1813">
      <c r="A1813" t="s">
        <v>1822</v>
      </c>
      <c r="B1813" t="s">
        <v>11</v>
      </c>
      <c r="C1813">
        <f>1188139375/10^4</f>
      </c>
      <c r="D1813">
        <f>0</f>
      </c>
      <c r="E1813">
        <f>74873938/10^5</f>
      </c>
      <c r="F1813">
        <f>0</f>
      </c>
      <c r="G1813">
        <f>261866241/10^6</f>
      </c>
      <c r="H1813">
        <f>0</f>
      </c>
      <c r="I1813">
        <f>-40674488/10^6</f>
      </c>
      <c r="J1813">
        <f>0</f>
      </c>
    </row>
    <row r="1814">
      <c r="A1814" t="s">
        <v>1823</v>
      </c>
      <c r="B1814" t="s">
        <v>11</v>
      </c>
      <c r="C1814">
        <f>118469171875/10^6</f>
      </c>
      <c r="D1814">
        <f>0</f>
      </c>
      <c r="E1814">
        <f>750913635/10^6</f>
      </c>
      <c r="F1814">
        <f>0</f>
      </c>
      <c r="G1814">
        <f>261713715/10^6</f>
      </c>
      <c r="H1814">
        <f>0</f>
      </c>
      <c r="I1814">
        <f>-41158176/10^6</f>
      </c>
      <c r="J1814">
        <f>0</f>
      </c>
    </row>
    <row r="1815">
      <c r="A1815" t="s">
        <v>1824</v>
      </c>
      <c r="B1815" t="s">
        <v>11</v>
      </c>
      <c r="C1815">
        <f>118161726563/10^6</f>
      </c>
      <c r="D1815">
        <f>0</f>
      </c>
      <c r="E1815">
        <f>75289386/10^5</f>
      </c>
      <c r="F1815">
        <f>0</f>
      </c>
      <c r="G1815">
        <f>261526367/10^6</f>
      </c>
      <c r="H1815">
        <f>0</f>
      </c>
      <c r="I1815">
        <f>-41684517/10^6</f>
      </c>
      <c r="J1815">
        <f>0</f>
      </c>
    </row>
    <row r="1816">
      <c r="A1816" t="s">
        <v>1825</v>
      </c>
      <c r="B1816" t="s">
        <v>11</v>
      </c>
      <c r="C1816">
        <f>1178776875/10^4</f>
      </c>
      <c r="D1816">
        <f>0</f>
      </c>
      <c r="E1816">
        <f>754819824/10^6</f>
      </c>
      <c r="F1816">
        <f>0</f>
      </c>
      <c r="G1816">
        <f>261462616/10^6</f>
      </c>
      <c r="H1816">
        <f>0</f>
      </c>
      <c r="I1816">
        <f>-42097088/10^6</f>
      </c>
      <c r="J1816">
        <f>0</f>
      </c>
    </row>
    <row r="1817">
      <c r="A1817" t="s">
        <v>1826</v>
      </c>
      <c r="B1817" t="s">
        <v>11</v>
      </c>
      <c r="C1817">
        <f>117612640625/10^6</f>
      </c>
      <c r="D1817">
        <f>0</f>
      </c>
      <c r="E1817">
        <f>756498291/10^6</f>
      </c>
      <c r="F1817">
        <f>0</f>
      </c>
      <c r="G1817">
        <f>261480133/10^6</f>
      </c>
      <c r="H1817">
        <f>0</f>
      </c>
      <c r="I1817">
        <f>-42605537/10^6</f>
      </c>
      <c r="J1817">
        <f>0</f>
      </c>
    </row>
    <row r="1818">
      <c r="A1818" t="s">
        <v>1827</v>
      </c>
      <c r="B1818" t="s">
        <v>11</v>
      </c>
      <c r="C1818">
        <f>117351882813/10^6</f>
      </c>
      <c r="D1818">
        <f>0</f>
      </c>
      <c r="E1818">
        <f>758159668/10^6</f>
      </c>
      <c r="F1818">
        <f>0</f>
      </c>
      <c r="G1818">
        <f>261456024/10^6</f>
      </c>
      <c r="H1818">
        <f>0</f>
      </c>
      <c r="I1818">
        <f>-4303249/10^5</f>
      </c>
      <c r="J1818">
        <f>0</f>
      </c>
    </row>
    <row r="1819">
      <c r="A1819" t="s">
        <v>1828</v>
      </c>
      <c r="B1819" t="s">
        <v>11</v>
      </c>
      <c r="C1819">
        <f>117075648438/10^6</f>
      </c>
      <c r="D1819">
        <f>0</f>
      </c>
      <c r="E1819">
        <f>760121948/10^6</f>
      </c>
      <c r="F1819">
        <f>0</f>
      </c>
      <c r="G1819">
        <f>261347809/10^6</f>
      </c>
      <c r="H1819">
        <f>0</f>
      </c>
      <c r="I1819">
        <f>-43327816/10^6</f>
      </c>
      <c r="J1819">
        <f>0</f>
      </c>
    </row>
    <row r="1820">
      <c r="A1820" t="s">
        <v>1829</v>
      </c>
      <c r="B1820" t="s">
        <v>11</v>
      </c>
      <c r="C1820">
        <f>116792351563/10^6</f>
      </c>
      <c r="D1820">
        <f>0</f>
      </c>
      <c r="E1820">
        <f>761941528/10^6</f>
      </c>
      <c r="F1820">
        <f>0</f>
      </c>
      <c r="G1820">
        <f>261236237/10^6</f>
      </c>
      <c r="H1820">
        <f>0</f>
      </c>
      <c r="I1820">
        <f>-43610775/10^6</f>
      </c>
      <c r="J1820">
        <f>0</f>
      </c>
    </row>
    <row r="1821">
      <c r="A1821" t="s">
        <v>1830</v>
      </c>
      <c r="B1821" t="s">
        <v>11</v>
      </c>
      <c r="C1821">
        <f>116494132813/10^6</f>
      </c>
      <c r="D1821">
        <f>0</f>
      </c>
      <c r="E1821">
        <f>763533508/10^6</f>
      </c>
      <c r="F1821">
        <f>0</f>
      </c>
      <c r="G1821">
        <f>261155304/10^6</f>
      </c>
      <c r="H1821">
        <f>0</f>
      </c>
      <c r="I1821">
        <f>-43944675/10^6</f>
      </c>
      <c r="J1821">
        <f>0</f>
      </c>
    </row>
    <row r="1822">
      <c r="A1822" t="s">
        <v>1831</v>
      </c>
      <c r="B1822" t="s">
        <v>11</v>
      </c>
      <c r="C1822">
        <f>116171007813/10^6</f>
      </c>
      <c r="D1822">
        <f>0</f>
      </c>
      <c r="E1822">
        <f>765426208/10^6</f>
      </c>
      <c r="F1822">
        <f>0</f>
      </c>
      <c r="G1822">
        <f>261045319/10^6</f>
      </c>
      <c r="H1822">
        <f>0</f>
      </c>
      <c r="I1822">
        <f>-44538044/10^6</f>
      </c>
      <c r="J1822">
        <f>0</f>
      </c>
    </row>
    <row r="1823">
      <c r="A1823" t="s">
        <v>1832</v>
      </c>
      <c r="B1823" t="s">
        <v>11</v>
      </c>
      <c r="C1823">
        <f>115876960938/10^6</f>
      </c>
      <c r="D1823">
        <f>0</f>
      </c>
      <c r="E1823">
        <f>767515808/10^6</f>
      </c>
      <c r="F1823">
        <f>0</f>
      </c>
      <c r="G1823">
        <f>260937256/10^6</f>
      </c>
      <c r="H1823">
        <f>0</f>
      </c>
      <c r="I1823">
        <f>-44909016/10^6</f>
      </c>
      <c r="J1823">
        <f>0</f>
      </c>
    </row>
    <row r="1824">
      <c r="A1824" t="s">
        <v>1833</v>
      </c>
      <c r="B1824" t="s">
        <v>11</v>
      </c>
      <c r="C1824">
        <f>115621351563/10^6</f>
      </c>
      <c r="D1824">
        <f>0</f>
      </c>
      <c r="E1824">
        <f>769296814/10^6</f>
      </c>
      <c r="F1824">
        <f>0</f>
      </c>
      <c r="G1824">
        <f>260877441/10^6</f>
      </c>
      <c r="H1824">
        <f>0</f>
      </c>
      <c r="I1824">
        <f>-44907661/10^6</f>
      </c>
      <c r="J1824">
        <f>0</f>
      </c>
    </row>
    <row r="1825">
      <c r="A1825" t="s">
        <v>1834</v>
      </c>
      <c r="B1825" t="s">
        <v>11</v>
      </c>
      <c r="C1825">
        <f>115393585938/10^6</f>
      </c>
      <c r="D1825">
        <f>0</f>
      </c>
      <c r="E1825">
        <f>769483887/10^6</f>
      </c>
      <c r="F1825">
        <f>0</f>
      </c>
      <c r="G1825">
        <f>260884003/10^6</f>
      </c>
      <c r="H1825">
        <f>0</f>
      </c>
      <c r="I1825">
        <f>-45031708/10^6</f>
      </c>
      <c r="J1825">
        <f>0</f>
      </c>
    </row>
    <row r="1826">
      <c r="A1826" t="s">
        <v>1835</v>
      </c>
      <c r="B1826" t="s">
        <v>11</v>
      </c>
      <c r="C1826">
        <f>11526740625/10^5</f>
      </c>
      <c r="D1826">
        <f>0</f>
      </c>
      <c r="E1826">
        <f>768068542/10^6</f>
      </c>
      <c r="F1826">
        <f>0</f>
      </c>
      <c r="G1826">
        <f>260689606/10^6</f>
      </c>
      <c r="H1826">
        <f>0</f>
      </c>
      <c r="I1826">
        <f>-44799927/10^6</f>
      </c>
      <c r="J1826">
        <f>0</f>
      </c>
    </row>
    <row r="1827">
      <c r="A1827" t="s">
        <v>1836</v>
      </c>
      <c r="B1827" t="s">
        <v>11</v>
      </c>
      <c r="C1827">
        <f>1152005/10^1</f>
      </c>
      <c r="D1827">
        <f>0</f>
      </c>
      <c r="E1827">
        <f>768279968/10^6</f>
      </c>
      <c r="F1827">
        <f>0</f>
      </c>
      <c r="G1827">
        <f>260087463/10^6</f>
      </c>
      <c r="H1827">
        <f>0</f>
      </c>
      <c r="I1827">
        <f>-43873367/10^6</f>
      </c>
      <c r="J1827">
        <f>0</f>
      </c>
    </row>
    <row r="1828">
      <c r="A1828" t="s">
        <v>1837</v>
      </c>
      <c r="B1828" t="s">
        <v>11</v>
      </c>
      <c r="C1828">
        <f>115047640625/10^6</f>
      </c>
      <c r="D1828">
        <f>0</f>
      </c>
      <c r="E1828">
        <f>770797791/10^6</f>
      </c>
      <c r="F1828">
        <f>0</f>
      </c>
      <c r="G1828">
        <f>259738861/10^6</f>
      </c>
      <c r="H1828">
        <f>0</f>
      </c>
      <c r="I1828">
        <f>-43334663/10^6</f>
      </c>
      <c r="J1828">
        <f>0</f>
      </c>
    </row>
    <row r="1829">
      <c r="A1829" t="s">
        <v>1838</v>
      </c>
      <c r="B1829" t="s">
        <v>11</v>
      </c>
      <c r="C1829">
        <f>114826609375/10^6</f>
      </c>
      <c r="D1829">
        <f>0</f>
      </c>
      <c r="E1829">
        <f>772900879/10^6</f>
      </c>
      <c r="F1829">
        <f>0</f>
      </c>
      <c r="G1829">
        <f>260118958/10^6</f>
      </c>
      <c r="H1829">
        <f>0</f>
      </c>
      <c r="I1829">
        <f>-43763573/10^6</f>
      </c>
      <c r="J1829">
        <f>0</f>
      </c>
    </row>
    <row r="1830">
      <c r="A1830" t="s">
        <v>1839</v>
      </c>
      <c r="B1830" t="s">
        <v>11</v>
      </c>
      <c r="C1830">
        <f>114654945313/10^6</f>
      </c>
      <c r="D1830">
        <f>0</f>
      </c>
      <c r="E1830">
        <f>773991638/10^6</f>
      </c>
      <c r="F1830">
        <f>0</f>
      </c>
      <c r="G1830">
        <f>260579834/10^6</f>
      </c>
      <c r="H1830">
        <f>0</f>
      </c>
      <c r="I1830">
        <f>-44289104/10^6</f>
      </c>
      <c r="J1830">
        <f>0</f>
      </c>
    </row>
    <row r="1831">
      <c r="A1831" t="s">
        <v>1840</v>
      </c>
      <c r="B1831" t="s">
        <v>11</v>
      </c>
      <c r="C1831">
        <f>114572382813/10^6</f>
      </c>
      <c r="D1831">
        <f>0</f>
      </c>
      <c r="E1831">
        <f>774740417/10^6</f>
      </c>
      <c r="F1831">
        <f>0</f>
      </c>
      <c r="G1831">
        <f>260644012/10^6</f>
      </c>
      <c r="H1831">
        <f>0</f>
      </c>
      <c r="I1831">
        <f>-44270111/10^6</f>
      </c>
      <c r="J1831">
        <f>0</f>
      </c>
    </row>
    <row r="1832">
      <c r="A1832" t="s">
        <v>1841</v>
      </c>
      <c r="B1832" t="s">
        <v>11</v>
      </c>
      <c r="C1832">
        <f>1145259375/10^4</f>
      </c>
      <c r="D1832">
        <f>0</f>
      </c>
      <c r="E1832">
        <f>77499408/10^5</f>
      </c>
      <c r="F1832">
        <f>0</f>
      </c>
      <c r="G1832">
        <f>260614258/10^6</f>
      </c>
      <c r="H1832">
        <f>0</f>
      </c>
      <c r="I1832">
        <f>-44093555/10^6</f>
      </c>
      <c r="J1832">
        <f>0</f>
      </c>
    </row>
    <row r="1833">
      <c r="A1833" t="s">
        <v>1842</v>
      </c>
      <c r="B1833" t="s">
        <v>11</v>
      </c>
      <c r="C1833">
        <f>11447540625/10^5</f>
      </c>
      <c r="D1833">
        <f>0</f>
      </c>
      <c r="E1833">
        <f>774817871/10^6</f>
      </c>
      <c r="F1833">
        <f>0</f>
      </c>
      <c r="G1833">
        <f>260645081/10^6</f>
      </c>
      <c r="H1833">
        <f>0</f>
      </c>
      <c r="I1833">
        <f>-44004898/10^6</f>
      </c>
      <c r="J1833">
        <f>0</f>
      </c>
    </row>
    <row r="1834">
      <c r="A1834" t="s">
        <v>1843</v>
      </c>
      <c r="B1834" t="s">
        <v>11</v>
      </c>
      <c r="C1834">
        <f>114456796875/10^6</f>
      </c>
      <c r="D1834">
        <f>0</f>
      </c>
      <c r="E1834">
        <f>774611328/10^6</f>
      </c>
      <c r="F1834">
        <f>0</f>
      </c>
      <c r="G1834">
        <f>260542633/10^6</f>
      </c>
      <c r="H1834">
        <f>0</f>
      </c>
      <c r="I1834">
        <f>-43662186/10^6</f>
      </c>
      <c r="J1834">
        <f>0</f>
      </c>
    </row>
    <row r="1835">
      <c r="A1835" t="s">
        <v>1844</v>
      </c>
      <c r="B1835" t="s">
        <v>11</v>
      </c>
      <c r="C1835">
        <f>1144966875/10^4</f>
      </c>
      <c r="D1835">
        <f>0</f>
      </c>
      <c r="E1835">
        <f>774420532/10^6</f>
      </c>
      <c r="F1835">
        <f>0</f>
      </c>
      <c r="G1835">
        <f>260370941/10^6</f>
      </c>
      <c r="H1835">
        <f>0</f>
      </c>
      <c r="I1835">
        <f>-43225307/10^6</f>
      </c>
      <c r="J1835">
        <f>0</f>
      </c>
    </row>
    <row r="1836">
      <c r="A1836" t="s">
        <v>1845</v>
      </c>
      <c r="B1836" t="s">
        <v>11</v>
      </c>
      <c r="C1836">
        <f>114589648438/10^6</f>
      </c>
      <c r="D1836">
        <f>0</f>
      </c>
      <c r="E1836">
        <f>7740849/10^4</f>
      </c>
      <c r="F1836">
        <f>0</f>
      </c>
      <c r="G1836">
        <f>260432007/10^6</f>
      </c>
      <c r="H1836">
        <f>0</f>
      </c>
      <c r="I1836">
        <f>-43054237/10^6</f>
      </c>
      <c r="J1836">
        <f>0</f>
      </c>
    </row>
    <row r="1837">
      <c r="A1837" t="s">
        <v>1846</v>
      </c>
      <c r="B1837" t="s">
        <v>11</v>
      </c>
      <c r="C1837">
        <f>114738953125/10^6</f>
      </c>
      <c r="D1837">
        <f>0</f>
      </c>
      <c r="E1837">
        <f>773611816/10^6</f>
      </c>
      <c r="F1837">
        <f>0</f>
      </c>
      <c r="G1837">
        <f>260639893/10^6</f>
      </c>
      <c r="H1837">
        <f>0</f>
      </c>
      <c r="I1837">
        <f>-42961582/10^6</f>
      </c>
      <c r="J1837">
        <f>0</f>
      </c>
    </row>
    <row r="1838">
      <c r="A1838" t="s">
        <v>1847</v>
      </c>
      <c r="B1838" t="s">
        <v>11</v>
      </c>
      <c r="C1838">
        <f>114943359375/10^6</f>
      </c>
      <c r="D1838">
        <f>0</f>
      </c>
      <c r="E1838">
        <f>772902405/10^6</f>
      </c>
      <c r="F1838">
        <f>0</f>
      </c>
      <c r="G1838">
        <f>260783051/10^6</f>
      </c>
      <c r="H1838">
        <f>0</f>
      </c>
      <c r="I1838">
        <f>-42828785/10^6</f>
      </c>
      <c r="J1838">
        <f>0</f>
      </c>
    </row>
    <row r="1839">
      <c r="A1839" t="s">
        <v>1848</v>
      </c>
      <c r="B1839" t="s">
        <v>11</v>
      </c>
      <c r="C1839">
        <f>11518596875/10^5</f>
      </c>
      <c r="D1839">
        <f>0</f>
      </c>
      <c r="E1839">
        <f>771837158/10^6</f>
      </c>
      <c r="F1839">
        <f>0</f>
      </c>
      <c r="G1839">
        <f>261005005/10^6</f>
      </c>
      <c r="H1839">
        <f>0</f>
      </c>
      <c r="I1839">
        <f>-42711555/10^6</f>
      </c>
      <c r="J1839">
        <f>0</f>
      </c>
    </row>
    <row r="1840">
      <c r="A1840" t="s">
        <v>1849</v>
      </c>
      <c r="B1840" t="s">
        <v>11</v>
      </c>
      <c r="C1840">
        <f>115451679688/10^6</f>
      </c>
      <c r="D1840">
        <f>0</f>
      </c>
      <c r="E1840">
        <f>770493591/10^6</f>
      </c>
      <c r="F1840">
        <f>0</f>
      </c>
      <c r="G1840">
        <f>26125946/10^5</f>
      </c>
      <c r="H1840">
        <f>0</f>
      </c>
      <c r="I1840">
        <f>-4262846/10^5</f>
      </c>
      <c r="J1840">
        <f>0</f>
      </c>
    </row>
    <row r="1841">
      <c r="A1841" t="s">
        <v>1850</v>
      </c>
      <c r="B1841" t="s">
        <v>11</v>
      </c>
      <c r="C1841">
        <f>115770601563/10^6</f>
      </c>
      <c r="D1841">
        <f>0</f>
      </c>
      <c r="E1841">
        <f>768979614/10^6</f>
      </c>
      <c r="F1841">
        <f>0</f>
      </c>
      <c r="G1841">
        <f>261484283/10^6</f>
      </c>
      <c r="H1841">
        <f>0</f>
      </c>
      <c r="I1841">
        <f>-42410549/10^6</f>
      </c>
      <c r="J1841">
        <f>0</f>
      </c>
    </row>
    <row r="1842">
      <c r="A1842" t="s">
        <v>1851</v>
      </c>
      <c r="B1842" t="s">
        <v>11</v>
      </c>
      <c r="C1842">
        <f>116186984375/10^6</f>
      </c>
      <c r="D1842">
        <f>0</f>
      </c>
      <c r="E1842">
        <f>767207336/10^6</f>
      </c>
      <c r="F1842">
        <f>0</f>
      </c>
      <c r="G1842">
        <f>261743774/10^6</f>
      </c>
      <c r="H1842">
        <f>0</f>
      </c>
      <c r="I1842">
        <f>-42041378/10^6</f>
      </c>
      <c r="J1842">
        <f>0</f>
      </c>
    </row>
    <row r="1843">
      <c r="A1843" t="s">
        <v>1852</v>
      </c>
      <c r="B1843" t="s">
        <v>11</v>
      </c>
      <c r="C1843">
        <f>116685664063/10^6</f>
      </c>
      <c r="D1843">
        <f>0</f>
      </c>
      <c r="E1843">
        <f>76494281/10^5</f>
      </c>
      <c r="F1843">
        <f>0</f>
      </c>
      <c r="G1843">
        <f>26199118/10^5</f>
      </c>
      <c r="H1843">
        <f>0</f>
      </c>
      <c r="I1843">
        <f>-4173711/10^5</f>
      </c>
      <c r="J1843">
        <f>0</f>
      </c>
    </row>
    <row r="1844">
      <c r="A1844" t="s">
        <v>1853</v>
      </c>
      <c r="B1844" t="s">
        <v>11</v>
      </c>
      <c r="C1844">
        <f>117235390625/10^6</f>
      </c>
      <c r="D1844">
        <f>0</f>
      </c>
      <c r="E1844">
        <f>762200378/10^6</f>
      </c>
      <c r="F1844">
        <f>0</f>
      </c>
      <c r="G1844">
        <f>262428925/10^6</f>
      </c>
      <c r="H1844">
        <f>0</f>
      </c>
      <c r="I1844">
        <f>-41340916/10^6</f>
      </c>
      <c r="J1844">
        <f>0</f>
      </c>
    </row>
    <row r="1845">
      <c r="A1845" t="s">
        <v>1854</v>
      </c>
      <c r="B1845" t="s">
        <v>11</v>
      </c>
      <c r="C1845">
        <f>117827539063/10^6</f>
      </c>
      <c r="D1845">
        <f>0</f>
      </c>
      <c r="E1845">
        <f>759225586/10^6</f>
      </c>
      <c r="F1845">
        <f>0</f>
      </c>
      <c r="G1845">
        <f>262911072/10^6</f>
      </c>
      <c r="H1845">
        <f>0</f>
      </c>
      <c r="I1845">
        <f>-40928516/10^6</f>
      </c>
      <c r="J1845">
        <f>0</f>
      </c>
    </row>
    <row r="1846">
      <c r="A1846" t="s">
        <v>1855</v>
      </c>
      <c r="B1846" t="s">
        <v>11</v>
      </c>
      <c r="C1846">
        <f>118470859375/10^6</f>
      </c>
      <c r="D1846">
        <f>0</f>
      </c>
      <c r="E1846">
        <f>756195801/10^6</f>
      </c>
      <c r="F1846">
        <f>0</f>
      </c>
      <c r="G1846">
        <f>263283844/10^6</f>
      </c>
      <c r="H1846">
        <f>0</f>
      </c>
      <c r="I1846">
        <f>-40471416/10^6</f>
      </c>
      <c r="J1846">
        <f>0</f>
      </c>
    </row>
    <row r="1847">
      <c r="A1847" t="s">
        <v>1856</v>
      </c>
      <c r="B1847" t="s">
        <v>11</v>
      </c>
      <c r="C1847">
        <f>11919496875/10^5</f>
      </c>
      <c r="D1847">
        <f>0</f>
      </c>
      <c r="E1847">
        <f>752971375/10^6</f>
      </c>
      <c r="F1847">
        <f>0</f>
      </c>
      <c r="G1847">
        <f>263748016/10^6</f>
      </c>
      <c r="H1847">
        <f>0</f>
      </c>
      <c r="I1847">
        <f>-39806416/10^6</f>
      </c>
      <c r="J1847">
        <f>0</f>
      </c>
    </row>
    <row r="1848">
      <c r="A1848" t="s">
        <v>1857</v>
      </c>
      <c r="B1848" t="s">
        <v>11</v>
      </c>
      <c r="C1848">
        <f>119993523438/10^6</f>
      </c>
      <c r="D1848">
        <f>0</f>
      </c>
      <c r="E1848">
        <f>749235413/10^6</f>
      </c>
      <c r="F1848">
        <f>0</f>
      </c>
      <c r="G1848">
        <f>264129059/10^6</f>
      </c>
      <c r="H1848">
        <f>0</f>
      </c>
      <c r="I1848">
        <f>-39253017/10^6</f>
      </c>
      <c r="J1848">
        <f>0</f>
      </c>
    </row>
    <row r="1849">
      <c r="A1849" t="s">
        <v>1858</v>
      </c>
      <c r="B1849" t="s">
        <v>11</v>
      </c>
      <c r="C1849">
        <f>120817304688/10^6</f>
      </c>
      <c r="D1849">
        <f>0</f>
      </c>
      <c r="E1849">
        <f>745005981/10^6</f>
      </c>
      <c r="F1849">
        <f>0</f>
      </c>
      <c r="G1849">
        <f>264618011/10^6</f>
      </c>
      <c r="H1849">
        <f>0</f>
      </c>
      <c r="I1849">
        <f>-38598152/10^6</f>
      </c>
      <c r="J1849">
        <f>0</f>
      </c>
    </row>
    <row r="1850">
      <c r="A1850" t="s">
        <v>1859</v>
      </c>
      <c r="B1850" t="s">
        <v>11</v>
      </c>
      <c r="C1850">
        <f>121626132813/10^6</f>
      </c>
      <c r="D1850">
        <f>0</f>
      </c>
      <c r="E1850">
        <f>740383667/10^6</f>
      </c>
      <c r="F1850">
        <f>0</f>
      </c>
      <c r="G1850">
        <f>265225098/10^6</f>
      </c>
      <c r="H1850">
        <f>0</f>
      </c>
      <c r="I1850">
        <f>-37901844/10^6</f>
      </c>
      <c r="J1850">
        <f>0</f>
      </c>
    </row>
    <row r="1851">
      <c r="A1851" t="s">
        <v>1860</v>
      </c>
      <c r="B1851" t="s">
        <v>11</v>
      </c>
      <c r="C1851">
        <f>12234928125/10^5</f>
      </c>
      <c r="D1851">
        <f>0</f>
      </c>
      <c r="E1851">
        <f>735722839/10^6</f>
      </c>
      <c r="F1851">
        <f>0</f>
      </c>
      <c r="G1851">
        <f>26538681/10^5</f>
      </c>
      <c r="H1851">
        <f>0</f>
      </c>
      <c r="I1851">
        <f>-37306641/10^6</f>
      </c>
      <c r="J1851">
        <f>0</f>
      </c>
    </row>
    <row r="1852">
      <c r="A1852" t="s">
        <v>1861</v>
      </c>
      <c r="B1852" t="s">
        <v>11</v>
      </c>
      <c r="C1852">
        <f>122886140625/10^6</f>
      </c>
      <c r="D1852">
        <f>0</f>
      </c>
      <c r="E1852">
        <f>731986755/10^6</f>
      </c>
      <c r="F1852">
        <f>0</f>
      </c>
      <c r="G1852">
        <f>265350494/10^6</f>
      </c>
      <c r="H1852">
        <f>0</f>
      </c>
      <c r="I1852">
        <f>-36381508/10^6</f>
      </c>
      <c r="J1852">
        <f>0</f>
      </c>
    </row>
    <row r="1853">
      <c r="A1853" t="s">
        <v>1862</v>
      </c>
      <c r="B1853" t="s">
        <v>11</v>
      </c>
      <c r="C1853">
        <f>12320878125/10^5</f>
      </c>
      <c r="D1853">
        <f>0</f>
      </c>
      <c r="E1853">
        <f>729509888/10^6</f>
      </c>
      <c r="F1853">
        <f>0</f>
      </c>
      <c r="G1853">
        <f>265371399/10^6</f>
      </c>
      <c r="H1853">
        <f>0</f>
      </c>
      <c r="I1853">
        <f>-35717632/10^6</f>
      </c>
      <c r="J1853">
        <f>0</f>
      </c>
    </row>
    <row r="1854">
      <c r="A1854" t="s">
        <v>1863</v>
      </c>
      <c r="B1854" t="s">
        <v>11</v>
      </c>
      <c r="C1854">
        <f>123386976563/10^6</f>
      </c>
      <c r="D1854">
        <f>0</f>
      </c>
      <c r="E1854">
        <f>72780249/10^5</f>
      </c>
      <c r="F1854">
        <f>0</f>
      </c>
      <c r="G1854">
        <f>26518045/10^5</f>
      </c>
      <c r="H1854">
        <f>0</f>
      </c>
      <c r="I1854">
        <f>-35567146/10^6</f>
      </c>
      <c r="J1854">
        <f>0</f>
      </c>
    </row>
    <row r="1855">
      <c r="A1855" t="s">
        <v>1864</v>
      </c>
      <c r="B1855" t="s">
        <v>11</v>
      </c>
      <c r="C1855">
        <f>123486859375/10^6</f>
      </c>
      <c r="D1855">
        <f>0</f>
      </c>
      <c r="E1855">
        <f>726741333/10^6</f>
      </c>
      <c r="F1855">
        <f>0</f>
      </c>
      <c r="G1855">
        <f>264946533/10^6</f>
      </c>
      <c r="H1855">
        <f>0</f>
      </c>
      <c r="I1855">
        <f>-3536375/10^5</f>
      </c>
      <c r="J1855">
        <f>0</f>
      </c>
    </row>
    <row r="1856">
      <c r="A1856" t="s">
        <v>1865</v>
      </c>
      <c r="B1856" t="s">
        <v>11</v>
      </c>
      <c r="C1856">
        <f>123511351563/10^6</f>
      </c>
      <c r="D1856">
        <f>0</f>
      </c>
      <c r="E1856">
        <f>726133362/10^6</f>
      </c>
      <c r="F1856">
        <f>0</f>
      </c>
      <c r="G1856">
        <f>264779449/10^6</f>
      </c>
      <c r="H1856">
        <f>0</f>
      </c>
      <c r="I1856">
        <f>-35319607/10^6</f>
      </c>
      <c r="J1856">
        <f>0</f>
      </c>
    </row>
    <row r="1857">
      <c r="A1857" t="s">
        <v>1866</v>
      </c>
      <c r="B1857" t="s">
        <v>11</v>
      </c>
      <c r="C1857">
        <f>123457890625/10^6</f>
      </c>
      <c r="D1857">
        <f>0</f>
      </c>
      <c r="E1857">
        <f>72555188/10^5</f>
      </c>
      <c r="F1857">
        <f>0</f>
      </c>
      <c r="G1857">
        <f>264552246/10^6</f>
      </c>
      <c r="H1857">
        <f>0</f>
      </c>
      <c r="I1857">
        <f>-35465565/10^6</f>
      </c>
      <c r="J1857">
        <f>0</f>
      </c>
    </row>
    <row r="1858">
      <c r="A1858" t="s">
        <v>1867</v>
      </c>
      <c r="B1858" t="s">
        <v>11</v>
      </c>
      <c r="C1858">
        <f>123348359375/10^6</f>
      </c>
      <c r="D1858">
        <f>0</f>
      </c>
      <c r="E1858">
        <f>725365967/10^6</f>
      </c>
      <c r="F1858">
        <f>0</f>
      </c>
      <c r="G1858">
        <f>264357025/10^6</f>
      </c>
      <c r="H1858">
        <f>0</f>
      </c>
      <c r="I1858">
        <f>-35565491/10^6</f>
      </c>
      <c r="J1858">
        <f>0</f>
      </c>
    </row>
    <row r="1859">
      <c r="A1859" t="s">
        <v>1868</v>
      </c>
      <c r="B1859" t="s">
        <v>11</v>
      </c>
      <c r="C1859">
        <f>123197375/10^3</f>
      </c>
      <c r="D1859">
        <f>0</f>
      </c>
      <c r="E1859">
        <f>725870605/10^6</f>
      </c>
      <c r="F1859">
        <f>0</f>
      </c>
      <c r="G1859">
        <f>264125427/10^6</f>
      </c>
      <c r="H1859">
        <f>0</f>
      </c>
      <c r="I1859">
        <f>-35751286/10^6</f>
      </c>
      <c r="J1859">
        <f>0</f>
      </c>
    </row>
    <row r="1860">
      <c r="A1860" t="s">
        <v>1869</v>
      </c>
      <c r="B1860" t="s">
        <v>11</v>
      </c>
      <c r="C1860">
        <f>12299465625/10^5</f>
      </c>
      <c r="D1860">
        <f>0</f>
      </c>
      <c r="E1860">
        <f>726750916/10^6</f>
      </c>
      <c r="F1860">
        <f>0</f>
      </c>
      <c r="G1860">
        <f>263868774/10^6</f>
      </c>
      <c r="H1860">
        <f>0</f>
      </c>
      <c r="I1860">
        <f>-35937992/10^6</f>
      </c>
      <c r="J1860">
        <f>0</f>
      </c>
    </row>
    <row r="1861">
      <c r="A1861" t="s">
        <v>1870</v>
      </c>
      <c r="B1861" t="s">
        <v>11</v>
      </c>
      <c r="C1861">
        <f>122730921875/10^6</f>
      </c>
      <c r="D1861">
        <f>0</f>
      </c>
      <c r="E1861">
        <f>7279599/10^4</f>
      </c>
      <c r="F1861">
        <f>0</f>
      </c>
      <c r="G1861">
        <f>263684082/10^6</f>
      </c>
      <c r="H1861">
        <f>0</f>
      </c>
      <c r="I1861">
        <f>-36215614/10^6</f>
      </c>
      <c r="J1861">
        <f>0</f>
      </c>
    </row>
    <row r="1862">
      <c r="A1862" t="s">
        <v>1871</v>
      </c>
      <c r="B1862" t="s">
        <v>11</v>
      </c>
      <c r="C1862">
        <f>122436421875/10^6</f>
      </c>
      <c r="D1862">
        <f>0</f>
      </c>
      <c r="E1862">
        <f>72936261/10^5</f>
      </c>
      <c r="F1862">
        <f>0</f>
      </c>
      <c r="G1862">
        <f>263458191/10^6</f>
      </c>
      <c r="H1862">
        <f>0</f>
      </c>
      <c r="I1862">
        <f>-36669415/10^6</f>
      </c>
      <c r="J1862">
        <f>0</f>
      </c>
    </row>
    <row r="1863">
      <c r="A1863" t="s">
        <v>1872</v>
      </c>
      <c r="B1863" t="s">
        <v>11</v>
      </c>
      <c r="C1863">
        <f>122125421875/10^6</f>
      </c>
      <c r="D1863">
        <f>0</f>
      </c>
      <c r="E1863">
        <f>730804504/10^6</f>
      </c>
      <c r="F1863">
        <f>0</f>
      </c>
      <c r="G1863">
        <f>263270935/10^6</f>
      </c>
      <c r="H1863">
        <f>0</f>
      </c>
      <c r="I1863">
        <f>-37032951/10^6</f>
      </c>
      <c r="J1863">
        <f>0</f>
      </c>
    </row>
    <row r="1864">
      <c r="A1864" t="s">
        <v>1873</v>
      </c>
      <c r="B1864" t="s">
        <v>11</v>
      </c>
      <c r="C1864">
        <f>1217935/10^1</f>
      </c>
      <c r="D1864">
        <f>0</f>
      </c>
      <c r="E1864">
        <f>732463745/10^6</f>
      </c>
      <c r="F1864">
        <f>0</f>
      </c>
      <c r="G1864">
        <f>263140167/10^6</f>
      </c>
      <c r="H1864">
        <f>0</f>
      </c>
      <c r="I1864">
        <f>-37500706/10^6</f>
      </c>
      <c r="J1864">
        <f>0</f>
      </c>
    </row>
    <row r="1865">
      <c r="A1865" t="s">
        <v>1874</v>
      </c>
      <c r="B1865" t="s">
        <v>11</v>
      </c>
      <c r="C1865">
        <f>121464304688/10^6</f>
      </c>
      <c r="D1865">
        <f>0</f>
      </c>
      <c r="E1865">
        <f>734282104/10^6</f>
      </c>
      <c r="F1865">
        <f>0</f>
      </c>
      <c r="G1865">
        <f>26299588/10^5</f>
      </c>
      <c r="H1865">
        <f>0</f>
      </c>
      <c r="I1865">
        <f>-38029198/10^6</f>
      </c>
      <c r="J1865">
        <f>0</f>
      </c>
    </row>
    <row r="1866">
      <c r="A1866" t="s">
        <v>1875</v>
      </c>
      <c r="B1866" t="s">
        <v>11</v>
      </c>
      <c r="C1866">
        <f>1211294375/10^4</f>
      </c>
      <c r="D1866">
        <f>0</f>
      </c>
      <c r="E1866">
        <f>736179993/10^6</f>
      </c>
      <c r="F1866">
        <f>0</f>
      </c>
      <c r="G1866">
        <f>262873413/10^6</f>
      </c>
      <c r="H1866">
        <f>0</f>
      </c>
      <c r="I1866">
        <f>-38427792/10^6</f>
      </c>
      <c r="J1866">
        <f>0</f>
      </c>
    </row>
    <row r="1867">
      <c r="A1867" t="s">
        <v>1876</v>
      </c>
      <c r="B1867" t="s">
        <v>11</v>
      </c>
      <c r="C1867">
        <f>120767289063/10^6</f>
      </c>
      <c r="D1867">
        <f>0</f>
      </c>
      <c r="E1867">
        <f>738178162/10^6</f>
      </c>
      <c r="F1867">
        <f>0</f>
      </c>
      <c r="G1867">
        <f>26276004/10^5</f>
      </c>
      <c r="H1867">
        <f>0</f>
      </c>
      <c r="I1867">
        <f>-38877892/10^6</f>
      </c>
      <c r="J1867">
        <f>0</f>
      </c>
    </row>
    <row r="1868">
      <c r="A1868" t="s">
        <v>1877</v>
      </c>
      <c r="B1868" t="s">
        <v>11</v>
      </c>
      <c r="C1868">
        <f>120374515625/10^6</f>
      </c>
      <c r="D1868">
        <f>0</f>
      </c>
      <c r="E1868">
        <f>740329407/10^6</f>
      </c>
      <c r="F1868">
        <f>0</f>
      </c>
      <c r="G1868">
        <f>262654694/10^6</f>
      </c>
      <c r="H1868">
        <f>0</f>
      </c>
      <c r="I1868">
        <f>-392915/10^4</f>
      </c>
      <c r="J1868">
        <f>0</f>
      </c>
    </row>
    <row r="1869">
      <c r="A1869" t="s">
        <v>1878</v>
      </c>
      <c r="B1869" t="s">
        <v>11</v>
      </c>
      <c r="C1869">
        <f>119958070313/10^6</f>
      </c>
      <c r="D1869">
        <f>0</f>
      </c>
      <c r="E1869">
        <f>742787476/10^6</f>
      </c>
      <c r="F1869">
        <f>0</f>
      </c>
      <c r="G1869">
        <f>262424286/10^6</f>
      </c>
      <c r="H1869">
        <f>0</f>
      </c>
      <c r="I1869">
        <f>-39811214/10^6</f>
      </c>
      <c r="J1869">
        <f>0</f>
      </c>
    </row>
    <row r="1870">
      <c r="A1870" t="s">
        <v>1879</v>
      </c>
      <c r="B1870" t="s">
        <v>11</v>
      </c>
      <c r="C1870">
        <f>119561234375/10^6</f>
      </c>
      <c r="D1870">
        <f>0</f>
      </c>
      <c r="E1870">
        <f>745239319/10^6</f>
      </c>
      <c r="F1870">
        <f>0</f>
      </c>
      <c r="G1870">
        <f>262133179/10^6</f>
      </c>
      <c r="H1870">
        <f>0</f>
      </c>
      <c r="I1870">
        <f>-40357525/10^6</f>
      </c>
      <c r="J1870">
        <f>0</f>
      </c>
    </row>
    <row r="1871">
      <c r="A1871" t="s">
        <v>1880</v>
      </c>
      <c r="B1871" t="s">
        <v>11</v>
      </c>
      <c r="C1871">
        <f>119193195313/10^6</f>
      </c>
      <c r="D1871">
        <f>0</f>
      </c>
      <c r="E1871">
        <f>74742572/10^5</f>
      </c>
      <c r="F1871">
        <f>0</f>
      </c>
      <c r="G1871">
        <f>262050964/10^6</f>
      </c>
      <c r="H1871">
        <f>0</f>
      </c>
      <c r="I1871">
        <f>-40835457/10^6</f>
      </c>
      <c r="J1871">
        <f>0</f>
      </c>
    </row>
    <row r="1872">
      <c r="A1872" t="s">
        <v>1881</v>
      </c>
      <c r="B1872" t="s">
        <v>11</v>
      </c>
      <c r="C1872">
        <f>118841/10^0</f>
      </c>
      <c r="D1872">
        <f>0</f>
      </c>
      <c r="E1872">
        <f>749528503/10^6</f>
      </c>
      <c r="F1872">
        <f>0</f>
      </c>
      <c r="G1872">
        <f>262105316/10^6</f>
      </c>
      <c r="H1872">
        <f>0</f>
      </c>
      <c r="I1872">
        <f>-41535633/10^6</f>
      </c>
      <c r="J1872">
        <f>0</f>
      </c>
    </row>
    <row r="1873">
      <c r="A1873" t="s">
        <v>1882</v>
      </c>
      <c r="B1873" t="s">
        <v>11</v>
      </c>
      <c r="C1873">
        <f>118524234375/10^6</f>
      </c>
      <c r="D1873">
        <f>0</f>
      </c>
      <c r="E1873">
        <f>751488037/10^6</f>
      </c>
      <c r="F1873">
        <f>0</f>
      </c>
      <c r="G1873">
        <f>262094421/10^6</f>
      </c>
      <c r="H1873">
        <f>0</f>
      </c>
      <c r="I1873">
        <f>-42078552/10^6</f>
      </c>
      <c r="J1873">
        <f>0</f>
      </c>
    </row>
    <row r="1874">
      <c r="A1874" t="s">
        <v>1883</v>
      </c>
      <c r="B1874" t="s">
        <v>11</v>
      </c>
      <c r="C1874">
        <f>1182355625/10^4</f>
      </c>
      <c r="D1874">
        <f>0</f>
      </c>
      <c r="E1874">
        <f>753221375/10^6</f>
      </c>
      <c r="F1874">
        <f>0</f>
      </c>
      <c r="G1874">
        <f>261937042/10^6</f>
      </c>
      <c r="H1874">
        <f>0</f>
      </c>
      <c r="I1874">
        <f>-42380856/10^6</f>
      </c>
      <c r="J1874">
        <f>0</f>
      </c>
    </row>
    <row r="1875">
      <c r="A1875" t="s">
        <v>1884</v>
      </c>
      <c r="B1875" t="s">
        <v>11</v>
      </c>
      <c r="C1875">
        <f>117973390625/10^6</f>
      </c>
      <c r="D1875">
        <f>0</f>
      </c>
      <c r="E1875">
        <f>754848938/10^6</f>
      </c>
      <c r="F1875">
        <f>0</f>
      </c>
      <c r="G1875">
        <f>261752625/10^6</f>
      </c>
      <c r="H1875">
        <f>0</f>
      </c>
      <c r="I1875">
        <f>-42702728/10^6</f>
      </c>
      <c r="J1875">
        <f>0</f>
      </c>
    </row>
    <row r="1876">
      <c r="A1876" t="s">
        <v>1885</v>
      </c>
      <c r="B1876" t="s">
        <v>11</v>
      </c>
      <c r="C1876">
        <f>117754515625/10^6</f>
      </c>
      <c r="D1876">
        <f>0</f>
      </c>
      <c r="E1876">
        <f>756479004/10^6</f>
      </c>
      <c r="F1876">
        <f>0</f>
      </c>
      <c r="G1876">
        <f>261705383/10^6</f>
      </c>
      <c r="H1876">
        <f>0</f>
      </c>
      <c r="I1876">
        <f>-43017178/10^6</f>
      </c>
      <c r="J1876">
        <f>0</f>
      </c>
    </row>
    <row r="1877">
      <c r="A1877" t="s">
        <v>1886</v>
      </c>
      <c r="B1877" t="s">
        <v>11</v>
      </c>
      <c r="C1877">
        <f>1175645/10^1</f>
      </c>
      <c r="D1877">
        <f>0</f>
      </c>
      <c r="E1877">
        <f>757999023/10^6</f>
      </c>
      <c r="F1877">
        <f>0</f>
      </c>
      <c r="G1877">
        <f>26171637/10^5</f>
      </c>
      <c r="H1877">
        <f>0</f>
      </c>
      <c r="I1877">
        <f>-43408909/10^6</f>
      </c>
      <c r="J1877">
        <f>0</f>
      </c>
    </row>
    <row r="1878">
      <c r="A1878" t="s">
        <v>1887</v>
      </c>
      <c r="B1878" t="s">
        <v>11</v>
      </c>
      <c r="C1878">
        <f>117385671875/10^6</f>
      </c>
      <c r="D1878">
        <f>0</f>
      </c>
      <c r="E1878">
        <f>759266174/10^6</f>
      </c>
      <c r="F1878">
        <f>0</f>
      </c>
      <c r="G1878">
        <f>261699127/10^6</f>
      </c>
      <c r="H1878">
        <f>0</f>
      </c>
      <c r="I1878">
        <f>-4372533/10^5</f>
      </c>
      <c r="J1878">
        <f>0</f>
      </c>
    </row>
    <row r="1879">
      <c r="A1879" t="s">
        <v>1888</v>
      </c>
      <c r="B1879" t="s">
        <v>11</v>
      </c>
      <c r="C1879">
        <f>117211367188/10^6</f>
      </c>
      <c r="D1879">
        <f>0</f>
      </c>
      <c r="E1879">
        <f>760505188/10^6</f>
      </c>
      <c r="F1879">
        <f>0</f>
      </c>
      <c r="G1879">
        <f>26168277/10^5</f>
      </c>
      <c r="H1879">
        <f>0</f>
      </c>
      <c r="I1879">
        <f>-44001781/10^6</f>
      </c>
      <c r="J1879">
        <f>0</f>
      </c>
    </row>
    <row r="1880">
      <c r="A1880" t="s">
        <v>1889</v>
      </c>
      <c r="B1880" t="s">
        <v>11</v>
      </c>
      <c r="C1880">
        <f>117039984375/10^6</f>
      </c>
      <c r="D1880">
        <f>0</f>
      </c>
      <c r="E1880">
        <f>761744263/10^6</f>
      </c>
      <c r="F1880">
        <f>0</f>
      </c>
      <c r="G1880">
        <f>261676636/10^6</f>
      </c>
      <c r="H1880">
        <f>0</f>
      </c>
      <c r="I1880">
        <f>-44316719/10^6</f>
      </c>
      <c r="J1880">
        <f>0</f>
      </c>
    </row>
    <row r="1881">
      <c r="A1881" t="s">
        <v>1890</v>
      </c>
      <c r="B1881" t="s">
        <v>11</v>
      </c>
      <c r="C1881">
        <f>116869101563/10^6</f>
      </c>
      <c r="D1881">
        <f>0</f>
      </c>
      <c r="E1881">
        <f>762889526/10^6</f>
      </c>
      <c r="F1881">
        <f>0</f>
      </c>
      <c r="G1881">
        <f>261648468/10^6</f>
      </c>
      <c r="H1881">
        <f>0</f>
      </c>
      <c r="I1881">
        <f>-44534203/10^6</f>
      </c>
      <c r="J1881">
        <f>0</f>
      </c>
    </row>
    <row r="1882">
      <c r="A1882" t="s">
        <v>1891</v>
      </c>
      <c r="B1882" t="s">
        <v>11</v>
      </c>
      <c r="C1882">
        <f>116679273438/10^6</f>
      </c>
      <c r="D1882">
        <f>0</f>
      </c>
      <c r="E1882">
        <f>764171265/10^6</f>
      </c>
      <c r="F1882">
        <f>0</f>
      </c>
      <c r="G1882">
        <f>261597961/10^6</f>
      </c>
      <c r="H1882">
        <f>0</f>
      </c>
      <c r="I1882">
        <f>-44730206/10^6</f>
      </c>
      <c r="J1882">
        <f>0</f>
      </c>
    </row>
    <row r="1883">
      <c r="A1883" t="s">
        <v>1892</v>
      </c>
      <c r="B1883" t="s">
        <v>11</v>
      </c>
      <c r="C1883">
        <f>11646646875/10^5</f>
      </c>
      <c r="D1883">
        <f>0</f>
      </c>
      <c r="E1883">
        <f>765488342/10^6</f>
      </c>
      <c r="F1883">
        <f>0</f>
      </c>
      <c r="G1883">
        <f>261549713/10^6</f>
      </c>
      <c r="H1883">
        <f>0</f>
      </c>
      <c r="I1883">
        <f>-44918793/10^6</f>
      </c>
      <c r="J1883">
        <f>0</f>
      </c>
    </row>
    <row r="1884">
      <c r="A1884" t="s">
        <v>1893</v>
      </c>
      <c r="B1884" t="s">
        <v>11</v>
      </c>
      <c r="C1884">
        <f>116258710938/10^6</f>
      </c>
      <c r="D1884">
        <f>0</f>
      </c>
      <c r="E1884">
        <f>766656921/10^6</f>
      </c>
      <c r="F1884">
        <f>0</f>
      </c>
      <c r="G1884">
        <f>261510071/10^6</f>
      </c>
      <c r="H1884">
        <f>0</f>
      </c>
      <c r="I1884">
        <f>-45207291/10^6</f>
      </c>
      <c r="J1884">
        <f>0</f>
      </c>
    </row>
    <row r="1885">
      <c r="A1885" t="s">
        <v>1894</v>
      </c>
      <c r="B1885" t="s">
        <v>11</v>
      </c>
      <c r="C1885">
        <f>116047007813/10^6</f>
      </c>
      <c r="D1885">
        <f>0</f>
      </c>
      <c r="E1885">
        <f>767869812/10^6</f>
      </c>
      <c r="F1885">
        <f>0</f>
      </c>
      <c r="G1885">
        <f>261495605/10^6</f>
      </c>
      <c r="H1885">
        <f>0</f>
      </c>
      <c r="I1885">
        <f>-45538124/10^6</f>
      </c>
      <c r="J1885">
        <f>0</f>
      </c>
    </row>
    <row r="1886">
      <c r="A1886" t="s">
        <v>1895</v>
      </c>
      <c r="B1886" t="s">
        <v>11</v>
      </c>
      <c r="C1886">
        <f>115782851563/10^6</f>
      </c>
      <c r="D1886">
        <f>0</f>
      </c>
      <c r="E1886">
        <f>769073181/10^6</f>
      </c>
      <c r="F1886">
        <f>0</f>
      </c>
      <c r="G1886">
        <f>261363464/10^6</f>
      </c>
      <c r="H1886">
        <f>0</f>
      </c>
      <c r="I1886">
        <f>-45697605/10^6</f>
      </c>
      <c r="J1886">
        <f>0</f>
      </c>
    </row>
    <row r="1887">
      <c r="A1887" t="s">
        <v>1896</v>
      </c>
      <c r="B1887" t="s">
        <v>11</v>
      </c>
      <c r="C1887">
        <f>115472726563/10^6</f>
      </c>
      <c r="D1887">
        <f>0</f>
      </c>
      <c r="E1887">
        <f>770257507/10^6</f>
      </c>
      <c r="F1887">
        <f>0</f>
      </c>
      <c r="G1887">
        <f>261087372/10^6</f>
      </c>
      <c r="H1887">
        <f>0</f>
      </c>
      <c r="I1887">
        <f>-45866184/10^6</f>
      </c>
      <c r="J1887">
        <f>0</f>
      </c>
    </row>
    <row r="1888">
      <c r="A1888" t="s">
        <v>1897</v>
      </c>
      <c r="B1888" t="s">
        <v>11</v>
      </c>
      <c r="C1888">
        <f>115151507813/10^6</f>
      </c>
      <c r="D1888">
        <f>0</f>
      </c>
      <c r="E1888">
        <f>771736572/10^6</f>
      </c>
      <c r="F1888">
        <f>0</f>
      </c>
      <c r="G1888">
        <f>260892456/10^6</f>
      </c>
      <c r="H1888">
        <f>0</f>
      </c>
      <c r="I1888">
        <f>-45961483/10^6</f>
      </c>
      <c r="J1888">
        <f>0</f>
      </c>
    </row>
    <row r="1889">
      <c r="A1889" t="s">
        <v>1898</v>
      </c>
      <c r="B1889" t="s">
        <v>11</v>
      </c>
      <c r="C1889">
        <f>1148480625/10^4</f>
      </c>
      <c r="D1889">
        <f>0</f>
      </c>
      <c r="E1889">
        <f>773095703/10^6</f>
      </c>
      <c r="F1889">
        <f>0</f>
      </c>
      <c r="G1889">
        <f>260698151/10^6</f>
      </c>
      <c r="H1889">
        <f>0</f>
      </c>
      <c r="I1889">
        <f>-45935543/10^6</f>
      </c>
      <c r="J1889">
        <f>0</f>
      </c>
    </row>
    <row r="1890">
      <c r="A1890" t="s">
        <v>1899</v>
      </c>
      <c r="B1890" t="s">
        <v>11</v>
      </c>
      <c r="C1890">
        <f>114625046875/10^6</f>
      </c>
      <c r="D1890">
        <f>0</f>
      </c>
      <c r="E1890">
        <f>773700378/10^6</f>
      </c>
      <c r="F1890">
        <f>0</f>
      </c>
      <c r="G1890">
        <f>260459534/10^6</f>
      </c>
      <c r="H1890">
        <f>0</f>
      </c>
      <c r="I1890">
        <f>-46036808/10^6</f>
      </c>
      <c r="J1890">
        <f>0</f>
      </c>
    </row>
    <row r="1891">
      <c r="A1891" t="s">
        <v>1900</v>
      </c>
      <c r="B1891" t="s">
        <v>11</v>
      </c>
      <c r="C1891">
        <f>114496476563/10^6</f>
      </c>
      <c r="D1891">
        <f>0</f>
      </c>
      <c r="E1891">
        <f>774132874/10^6</f>
      </c>
      <c r="F1891">
        <f>0</f>
      </c>
      <c r="G1891">
        <f>260322357/10^6</f>
      </c>
      <c r="H1891">
        <f>0</f>
      </c>
      <c r="I1891">
        <f>-4563504/10^5</f>
      </c>
      <c r="J1891">
        <f>0</f>
      </c>
    </row>
    <row r="1892">
      <c r="A1892" t="s">
        <v>1901</v>
      </c>
      <c r="B1892" t="s">
        <v>11</v>
      </c>
      <c r="C1892">
        <f>114396789063/10^6</f>
      </c>
      <c r="D1892">
        <f>0</f>
      </c>
      <c r="E1892">
        <f>774471191/10^6</f>
      </c>
      <c r="F1892">
        <f>0</f>
      </c>
      <c r="G1892">
        <f>260243134/10^6</f>
      </c>
      <c r="H1892">
        <f>0</f>
      </c>
      <c r="I1892">
        <f>-44549572/10^6</f>
      </c>
      <c r="J1892">
        <f>0</f>
      </c>
    </row>
    <row r="1893">
      <c r="A1893" t="s">
        <v>1902</v>
      </c>
      <c r="B1893" t="s">
        <v>11</v>
      </c>
      <c r="C1893">
        <f>114312960938/10^6</f>
      </c>
      <c r="D1893">
        <f>0</f>
      </c>
      <c r="E1893">
        <f>773902405/10^6</f>
      </c>
      <c r="F1893">
        <f>0</f>
      </c>
      <c r="G1893">
        <f>260145691/10^6</f>
      </c>
      <c r="H1893">
        <f>0</f>
      </c>
      <c r="I1893">
        <f>-43835659/10^6</f>
      </c>
      <c r="J1893">
        <f>0</f>
      </c>
    </row>
    <row r="1894">
      <c r="A1894" t="s">
        <v>1903</v>
      </c>
      <c r="B1894" t="s">
        <v>11</v>
      </c>
      <c r="C1894">
        <f>11426628125/10^5</f>
      </c>
      <c r="D1894">
        <f>0</f>
      </c>
      <c r="E1894">
        <f>773220642/10^6</f>
      </c>
      <c r="F1894">
        <f>0</f>
      </c>
      <c r="G1894">
        <f>259891937/10^6</f>
      </c>
      <c r="H1894">
        <f>0</f>
      </c>
      <c r="I1894">
        <f>-43526257/10^6</f>
      </c>
      <c r="J1894">
        <f>0</f>
      </c>
    </row>
    <row r="1895">
      <c r="A1895" t="s">
        <v>1904</v>
      </c>
      <c r="B1895" t="s">
        <v>11</v>
      </c>
      <c r="C1895">
        <f>114223414063/10^6</f>
      </c>
      <c r="D1895">
        <f>0</f>
      </c>
      <c r="E1895">
        <f>773314636/10^6</f>
      </c>
      <c r="F1895">
        <f>0</f>
      </c>
      <c r="G1895">
        <f>259582825/10^6</f>
      </c>
      <c r="H1895">
        <f>0</f>
      </c>
      <c r="I1895">
        <f>-431814/10^4</f>
      </c>
      <c r="J1895">
        <f>0</f>
      </c>
    </row>
    <row r="1896">
      <c r="A1896" t="s">
        <v>1905</v>
      </c>
      <c r="B1896" t="s">
        <v>11</v>
      </c>
      <c r="C1896">
        <f>114161/10^0</f>
      </c>
      <c r="D1896">
        <f>0</f>
      </c>
      <c r="E1896">
        <f>773508606/10^6</f>
      </c>
      <c r="F1896">
        <f>0</f>
      </c>
      <c r="G1896">
        <f>259486664/10^6</f>
      </c>
      <c r="H1896">
        <f>0</f>
      </c>
      <c r="I1896">
        <f>-42821243/10^6</f>
      </c>
      <c r="J1896">
        <f>0</f>
      </c>
    </row>
    <row r="1897">
      <c r="A1897" t="s">
        <v>1906</v>
      </c>
      <c r="B1897" t="s">
        <v>11</v>
      </c>
      <c r="C1897">
        <f>1141025625/10^4</f>
      </c>
      <c r="D1897">
        <f>0</f>
      </c>
      <c r="E1897">
        <f>773428589/10^6</f>
      </c>
      <c r="F1897">
        <f>0</f>
      </c>
      <c r="G1897">
        <f>259487671/10^6</f>
      </c>
      <c r="H1897">
        <f>0</f>
      </c>
      <c r="I1897">
        <f>-42254875/10^6</f>
      </c>
      <c r="J1897">
        <f>0</f>
      </c>
    </row>
    <row r="1898">
      <c r="A1898" t="s">
        <v>1907</v>
      </c>
      <c r="B1898" t="s">
        <v>11</v>
      </c>
      <c r="C1898">
        <f>114062070313/10^6</f>
      </c>
      <c r="D1898">
        <f>0</f>
      </c>
      <c r="E1898">
        <f>773392334/10^6</f>
      </c>
      <c r="F1898">
        <f>0</f>
      </c>
      <c r="G1898">
        <f>259459045/10^6</f>
      </c>
      <c r="H1898">
        <f>0</f>
      </c>
      <c r="I1898">
        <f>-4186441/10^5</f>
      </c>
      <c r="J1898">
        <f>0</f>
      </c>
    </row>
    <row r="1899">
      <c r="A1899" t="s">
        <v>1908</v>
      </c>
      <c r="B1899" t="s">
        <v>11</v>
      </c>
      <c r="C1899">
        <f>114035929688/10^6</f>
      </c>
      <c r="D1899">
        <f>0</f>
      </c>
      <c r="E1899">
        <f>773703125/10^6</f>
      </c>
      <c r="F1899">
        <f>0</f>
      </c>
      <c r="G1899">
        <f>259382996/10^6</f>
      </c>
      <c r="H1899">
        <f>0</f>
      </c>
      <c r="I1899">
        <f>-41981331/10^6</f>
      </c>
      <c r="J1899">
        <f>0</f>
      </c>
    </row>
    <row r="1900">
      <c r="A1900" t="s">
        <v>1909</v>
      </c>
      <c r="B1900" t="s">
        <v>11</v>
      </c>
      <c r="C1900">
        <f>114041085938/10^6</f>
      </c>
      <c r="D1900">
        <f>0</f>
      </c>
      <c r="E1900">
        <f>774086304/10^6</f>
      </c>
      <c r="F1900">
        <f>0</f>
      </c>
      <c r="G1900">
        <f>259271545/10^6</f>
      </c>
      <c r="H1900">
        <f>0</f>
      </c>
      <c r="I1900">
        <f>-42125942/10^6</f>
      </c>
      <c r="J1900">
        <f>0</f>
      </c>
    </row>
    <row r="1901">
      <c r="A1901" t="s">
        <v>1910</v>
      </c>
      <c r="B1901" t="s">
        <v>11</v>
      </c>
      <c r="C1901">
        <f>114115726563/10^6</f>
      </c>
      <c r="D1901">
        <f>0</f>
      </c>
      <c r="E1901">
        <f>773891113/10^6</f>
      </c>
      <c r="F1901">
        <f>0</f>
      </c>
      <c r="G1901">
        <f>259359283/10^6</f>
      </c>
      <c r="H1901">
        <f>0</f>
      </c>
      <c r="I1901">
        <f>-42074257/10^6</f>
      </c>
      <c r="J1901">
        <f>0</f>
      </c>
    </row>
    <row r="1902">
      <c r="A1902" t="s">
        <v>1911</v>
      </c>
      <c r="B1902" t="s">
        <v>11</v>
      </c>
      <c r="C1902">
        <f>114286882813/10^6</f>
      </c>
      <c r="D1902">
        <f>0</f>
      </c>
      <c r="E1902">
        <f>773197571/10^6</f>
      </c>
      <c r="F1902">
        <f>0</f>
      </c>
      <c r="G1902">
        <f>259580933/10^6</f>
      </c>
      <c r="H1902">
        <f>0</f>
      </c>
      <c r="I1902">
        <f>-42084805/10^6</f>
      </c>
      <c r="J1902">
        <f>0</f>
      </c>
    </row>
    <row r="1903">
      <c r="A1903" t="s">
        <v>1912</v>
      </c>
      <c r="B1903" t="s">
        <v>11</v>
      </c>
      <c r="C1903">
        <f>114562382813/10^6</f>
      </c>
      <c r="D1903">
        <f>0</f>
      </c>
      <c r="E1903">
        <f>772225037/10^6</f>
      </c>
      <c r="F1903">
        <f>0</f>
      </c>
      <c r="G1903">
        <f>25975238/10^5</f>
      </c>
      <c r="H1903">
        <f>0</f>
      </c>
      <c r="I1903">
        <f>-42047699/10^6</f>
      </c>
      <c r="J1903">
        <f>0</f>
      </c>
    </row>
    <row r="1904">
      <c r="A1904" t="s">
        <v>1913</v>
      </c>
      <c r="B1904" t="s">
        <v>11</v>
      </c>
      <c r="C1904">
        <f>114918984375/10^6</f>
      </c>
      <c r="D1904">
        <f>0</f>
      </c>
      <c r="E1904">
        <f>770629883/10^6</f>
      </c>
      <c r="F1904">
        <f>0</f>
      </c>
      <c r="G1904">
        <f>260088654/10^6</f>
      </c>
      <c r="H1904">
        <f>0</f>
      </c>
      <c r="I1904">
        <f>-41559193/10^6</f>
      </c>
      <c r="J1904">
        <f>0</f>
      </c>
    </row>
    <row r="1905">
      <c r="A1905" t="s">
        <v>1914</v>
      </c>
      <c r="B1905" t="s">
        <v>11</v>
      </c>
      <c r="C1905">
        <f>115322195313/10^6</f>
      </c>
      <c r="D1905">
        <f>0</f>
      </c>
      <c r="E1905">
        <f>768385986/10^6</f>
      </c>
      <c r="F1905">
        <f>0</f>
      </c>
      <c r="G1905">
        <f>260475128/10^6</f>
      </c>
      <c r="H1905">
        <f>0</f>
      </c>
      <c r="I1905">
        <f>-40992901/10^6</f>
      </c>
      <c r="J1905">
        <f>0</f>
      </c>
    </row>
    <row r="1906">
      <c r="A1906" t="s">
        <v>1915</v>
      </c>
      <c r="B1906" t="s">
        <v>11</v>
      </c>
      <c r="C1906">
        <f>115797242188/10^6</f>
      </c>
      <c r="D1906">
        <f>0</f>
      </c>
      <c r="E1906">
        <f>76614209/10^5</f>
      </c>
      <c r="F1906">
        <f>0</f>
      </c>
      <c r="G1906">
        <f>260802612/10^6</f>
      </c>
      <c r="H1906">
        <f>0</f>
      </c>
      <c r="I1906">
        <f>-40656445/10^6</f>
      </c>
      <c r="J1906">
        <f>0</f>
      </c>
    </row>
    <row r="1907">
      <c r="A1907" t="s">
        <v>1916</v>
      </c>
      <c r="B1907" t="s">
        <v>11</v>
      </c>
      <c r="C1907">
        <f>11638325/10^2</f>
      </c>
      <c r="D1907">
        <f>0</f>
      </c>
      <c r="E1907">
        <f>764113831/10^6</f>
      </c>
      <c r="F1907">
        <f>0</f>
      </c>
      <c r="G1907">
        <f>261131073/10^6</f>
      </c>
      <c r="H1907">
        <f>0</f>
      </c>
      <c r="I1907">
        <f>-40312145/10^6</f>
      </c>
      <c r="J1907">
        <f>0</f>
      </c>
    </row>
    <row r="1908">
      <c r="A1908" t="s">
        <v>1917</v>
      </c>
      <c r="B1908" t="s">
        <v>11</v>
      </c>
      <c r="C1908">
        <f>117071210938/10^6</f>
      </c>
      <c r="D1908">
        <f>0</f>
      </c>
      <c r="E1908">
        <f>76168634/10^5</f>
      </c>
      <c r="F1908">
        <f>0</f>
      </c>
      <c r="G1908">
        <f>261479431/10^6</f>
      </c>
      <c r="H1908">
        <f>0</f>
      </c>
      <c r="I1908">
        <f>-39955872/10^6</f>
      </c>
      <c r="J1908">
        <f>0</f>
      </c>
    </row>
    <row r="1909">
      <c r="A1909" t="s">
        <v>1918</v>
      </c>
      <c r="B1909" t="s">
        <v>11</v>
      </c>
      <c r="C1909">
        <f>11785340625/10^5</f>
      </c>
      <c r="D1909">
        <f>0</f>
      </c>
      <c r="E1909">
        <f>75854248/10^5</f>
      </c>
      <c r="F1909">
        <f>0</f>
      </c>
      <c r="G1909">
        <f>262294983/10^6</f>
      </c>
      <c r="H1909">
        <f>0</f>
      </c>
      <c r="I1909">
        <f>-39449005/10^6</f>
      </c>
      <c r="J1909">
        <f>0</f>
      </c>
    </row>
    <row r="1910">
      <c r="A1910" t="s">
        <v>1919</v>
      </c>
      <c r="B1910" t="s">
        <v>11</v>
      </c>
      <c r="C1910">
        <f>1187439375/10^4</f>
      </c>
      <c r="D1910">
        <f>0</f>
      </c>
      <c r="E1910">
        <f>754722412/10^6</f>
      </c>
      <c r="F1910">
        <f>0</f>
      </c>
      <c r="G1910">
        <f>263193817/10^6</f>
      </c>
      <c r="H1910">
        <f>0</f>
      </c>
      <c r="I1910">
        <f>-38934704/10^6</f>
      </c>
      <c r="J1910">
        <f>0</f>
      </c>
    </row>
    <row r="1911">
      <c r="A1911" t="s">
        <v>1920</v>
      </c>
      <c r="B1911" t="s">
        <v>11</v>
      </c>
      <c r="C1911">
        <f>119757242188/10^6</f>
      </c>
      <c r="D1911">
        <f>0</f>
      </c>
      <c r="E1911">
        <f>750188904/10^6</f>
      </c>
      <c r="F1911">
        <f>0</f>
      </c>
      <c r="G1911">
        <f>263790802/10^6</f>
      </c>
      <c r="H1911">
        <f>0</f>
      </c>
      <c r="I1911">
        <f>-38364151/10^6</f>
      </c>
      <c r="J1911">
        <f>0</f>
      </c>
    </row>
    <row r="1912">
      <c r="A1912" t="s">
        <v>1921</v>
      </c>
      <c r="B1912" t="s">
        <v>11</v>
      </c>
      <c r="C1912">
        <f>120863476563/10^6</f>
      </c>
      <c r="D1912">
        <f>0</f>
      </c>
      <c r="E1912">
        <f>744777039/10^6</f>
      </c>
      <c r="F1912">
        <f>0</f>
      </c>
      <c r="G1912">
        <f>264640411/10^6</f>
      </c>
      <c r="H1912">
        <f>0</f>
      </c>
      <c r="I1912">
        <f>-37553974/10^6</f>
      </c>
      <c r="J1912">
        <f>0</f>
      </c>
    </row>
    <row r="1913">
      <c r="A1913" t="s">
        <v>1922</v>
      </c>
      <c r="B1913" t="s">
        <v>11</v>
      </c>
      <c r="C1913">
        <f>121976585938/10^6</f>
      </c>
      <c r="D1913">
        <f>0</f>
      </c>
      <c r="E1913">
        <f>738384888/10^6</f>
      </c>
      <c r="F1913">
        <f>0</f>
      </c>
      <c r="G1913">
        <f>265274963/10^6</f>
      </c>
      <c r="H1913">
        <f>0</f>
      </c>
      <c r="I1913">
        <f>-3690155/10^5</f>
      </c>
      <c r="J1913">
        <f>0</f>
      </c>
    </row>
    <row r="1914">
      <c r="A1914" t="s">
        <v>1923</v>
      </c>
      <c r="B1914" t="s">
        <v>11</v>
      </c>
      <c r="C1914">
        <f>122956476563/10^6</f>
      </c>
      <c r="D1914">
        <f>0</f>
      </c>
      <c r="E1914">
        <f>732094299/10^6</f>
      </c>
      <c r="F1914">
        <f>0</f>
      </c>
      <c r="G1914">
        <f>265410492/10^6</f>
      </c>
      <c r="H1914">
        <f>0</f>
      </c>
      <c r="I1914">
        <f>-35946072/10^6</f>
      </c>
      <c r="J1914">
        <f>0</f>
      </c>
    </row>
    <row r="1915">
      <c r="A1915" t="s">
        <v>1924</v>
      </c>
      <c r="B1915" t="s">
        <v>11</v>
      </c>
      <c r="C1915">
        <f>123627492188/10^6</f>
      </c>
      <c r="D1915">
        <f>0</f>
      </c>
      <c r="E1915">
        <f>72740448/10^5</f>
      </c>
      <c r="F1915">
        <f>0</f>
      </c>
      <c r="G1915">
        <f>265586182/10^6</f>
      </c>
      <c r="H1915">
        <f>0</f>
      </c>
      <c r="I1915">
        <f>-34791977/10^6</f>
      </c>
      <c r="J1915">
        <f>0</f>
      </c>
    </row>
    <row r="1916">
      <c r="A1916" t="s">
        <v>1925</v>
      </c>
      <c r="B1916" t="s">
        <v>11</v>
      </c>
      <c r="C1916">
        <f>123972476563/10^6</f>
      </c>
      <c r="D1916">
        <f>0</f>
      </c>
      <c r="E1916">
        <f>724596008/10^6</f>
      </c>
      <c r="F1916">
        <f>0</f>
      </c>
      <c r="G1916">
        <f>265599304/10^6</f>
      </c>
      <c r="H1916">
        <f>0</f>
      </c>
      <c r="I1916">
        <f>-34336044/10^6</f>
      </c>
      <c r="J1916">
        <f>0</f>
      </c>
    </row>
    <row r="1917">
      <c r="A1917" t="s">
        <v>1926</v>
      </c>
      <c r="B1917" t="s">
        <v>11</v>
      </c>
      <c r="C1917">
        <f>1241535625/10^4</f>
      </c>
      <c r="D1917">
        <f>0</f>
      </c>
      <c r="E1917">
        <f>723107239/10^6</f>
      </c>
      <c r="F1917">
        <f>0</f>
      </c>
      <c r="G1917">
        <f>265448181/10^6</f>
      </c>
      <c r="H1917">
        <f>0</f>
      </c>
      <c r="I1917">
        <f>-34050327/10^6</f>
      </c>
      <c r="J1917">
        <f>0</f>
      </c>
    </row>
    <row r="1918">
      <c r="A1918" t="s">
        <v>1927</v>
      </c>
      <c r="B1918" t="s">
        <v>11</v>
      </c>
      <c r="C1918">
        <f>1242430625/10^4</f>
      </c>
      <c r="D1918">
        <f>0</f>
      </c>
      <c r="E1918">
        <f>722184875/10^6</f>
      </c>
      <c r="F1918">
        <f>0</f>
      </c>
      <c r="G1918">
        <f>265336304/10^6</f>
      </c>
      <c r="H1918">
        <f>0</f>
      </c>
      <c r="I1918">
        <f>-33766743/10^6</f>
      </c>
      <c r="J1918">
        <f>0</f>
      </c>
    </row>
    <row r="1919">
      <c r="A1919" t="s">
        <v>1928</v>
      </c>
      <c r="B1919" t="s">
        <v>11</v>
      </c>
      <c r="C1919">
        <f>124212289063/10^6</f>
      </c>
      <c r="D1919">
        <f>0</f>
      </c>
      <c r="E1919">
        <f>721468933/10^6</f>
      </c>
      <c r="F1919">
        <f>0</f>
      </c>
      <c r="G1919">
        <f>264951141/10^6</f>
      </c>
      <c r="H1919">
        <f>0</f>
      </c>
      <c r="I1919">
        <f>-33899021/10^6</f>
      </c>
      <c r="J1919">
        <f>0</f>
      </c>
    </row>
    <row r="1920">
      <c r="A1920" t="s">
        <v>1929</v>
      </c>
      <c r="B1920" t="s">
        <v>11</v>
      </c>
      <c r="C1920">
        <f>124093953125/10^6</f>
      </c>
      <c r="D1920">
        <f>0</f>
      </c>
      <c r="E1920">
        <f>721080566/10^6</f>
      </c>
      <c r="F1920">
        <f>0</f>
      </c>
      <c r="G1920">
        <f>264490051/10^6</f>
      </c>
      <c r="H1920">
        <f>0</f>
      </c>
      <c r="I1920">
        <f>-34057499/10^6</f>
      </c>
      <c r="J1920">
        <f>0</f>
      </c>
    </row>
    <row r="1921">
      <c r="A1921" t="s">
        <v>1930</v>
      </c>
      <c r="B1921" t="s">
        <v>11</v>
      </c>
      <c r="C1921">
        <f>123943398438/10^6</f>
      </c>
      <c r="D1921">
        <f>0</f>
      </c>
      <c r="E1921">
        <f>721215454/10^6</f>
      </c>
      <c r="F1921">
        <f>0</f>
      </c>
      <c r="G1921">
        <f>264244324/10^6</f>
      </c>
      <c r="H1921">
        <f>0</f>
      </c>
      <c r="I1921">
        <f>-34225761/10^6</f>
      </c>
      <c r="J1921">
        <f>0</f>
      </c>
    </row>
    <row r="1922">
      <c r="A1922" t="s">
        <v>1931</v>
      </c>
      <c r="B1922" t="s">
        <v>11</v>
      </c>
      <c r="C1922">
        <f>123762695313/10^6</f>
      </c>
      <c r="D1922">
        <f>0</f>
      </c>
      <c r="E1922">
        <f>721823669/10^6</f>
      </c>
      <c r="F1922">
        <f>0</f>
      </c>
      <c r="G1922">
        <f>263994354/10^6</f>
      </c>
      <c r="H1922">
        <f>0</f>
      </c>
      <c r="I1922">
        <f>-34567966/10^6</f>
      </c>
      <c r="J1922">
        <f>0</f>
      </c>
    </row>
    <row r="1923">
      <c r="A1923" t="s">
        <v>1932</v>
      </c>
      <c r="B1923" t="s">
        <v>11</v>
      </c>
      <c r="C1923">
        <f>123545203125/10^6</f>
      </c>
      <c r="D1923">
        <f>0</f>
      </c>
      <c r="E1923">
        <f>722592224/10^6</f>
      </c>
      <c r="F1923">
        <f>0</f>
      </c>
      <c r="G1923">
        <f>263764343/10^6</f>
      </c>
      <c r="H1923">
        <f>0</f>
      </c>
      <c r="I1923">
        <f>-34835808/10^6</f>
      </c>
      <c r="J1923">
        <f>0</f>
      </c>
    </row>
    <row r="1924">
      <c r="A1924" t="s">
        <v>1933</v>
      </c>
      <c r="B1924" t="s">
        <v>11</v>
      </c>
      <c r="C1924">
        <f>12330653125/10^5</f>
      </c>
      <c r="D1924">
        <f>0</f>
      </c>
      <c r="E1924">
        <f>723581238/10^6</f>
      </c>
      <c r="F1924">
        <f>0</f>
      </c>
      <c r="G1924">
        <f>263550995/10^6</f>
      </c>
      <c r="H1924">
        <f>0</f>
      </c>
      <c r="I1924">
        <f>-35104084/10^6</f>
      </c>
      <c r="J1924">
        <f>0</f>
      </c>
    </row>
    <row r="1925">
      <c r="A1925" t="s">
        <v>1934</v>
      </c>
      <c r="B1925" t="s">
        <v>11</v>
      </c>
      <c r="C1925">
        <f>123044875/10^3</f>
      </c>
      <c r="D1925">
        <f>0</f>
      </c>
      <c r="E1925">
        <f>724848999/10^6</f>
      </c>
      <c r="F1925">
        <f>0</f>
      </c>
      <c r="G1925">
        <f>263312347/10^6</f>
      </c>
      <c r="H1925">
        <f>0</f>
      </c>
      <c r="I1925">
        <f>-35393032/10^6</f>
      </c>
      <c r="J1925">
        <f>0</f>
      </c>
    </row>
    <row r="1926">
      <c r="A1926" t="s">
        <v>1935</v>
      </c>
      <c r="B1926" t="s">
        <v>11</v>
      </c>
      <c r="C1926">
        <f>122759914063/10^6</f>
      </c>
      <c r="D1926">
        <f>0</f>
      </c>
      <c r="E1926">
        <f>726226685/10^6</f>
      </c>
      <c r="F1926">
        <f>0</f>
      </c>
      <c r="G1926">
        <f>26316507/10^5</f>
      </c>
      <c r="H1926">
        <f>0</f>
      </c>
      <c r="I1926">
        <f>-35685661/10^6</f>
      </c>
      <c r="J1926">
        <f>0</f>
      </c>
    </row>
    <row r="1927">
      <c r="A1927" t="s">
        <v>1936</v>
      </c>
      <c r="B1927" t="s">
        <v>11</v>
      </c>
      <c r="C1927">
        <f>122458273438/10^6</f>
      </c>
      <c r="D1927">
        <f>0</f>
      </c>
      <c r="E1927">
        <f>727894165/10^6</f>
      </c>
      <c r="F1927">
        <f>0</f>
      </c>
      <c r="G1927">
        <f>263039673/10^6</f>
      </c>
      <c r="H1927">
        <f>0</f>
      </c>
      <c r="I1927">
        <f>-36068295/10^6</f>
      </c>
      <c r="J1927">
        <f>0</f>
      </c>
    </row>
    <row r="1928">
      <c r="A1928" t="s">
        <v>1937</v>
      </c>
      <c r="B1928" t="s">
        <v>11</v>
      </c>
      <c r="C1928">
        <f>12211065625/10^5</f>
      </c>
      <c r="D1928">
        <f>0</f>
      </c>
      <c r="E1928">
        <f>729885193/10^6</f>
      </c>
      <c r="F1928">
        <f>0</f>
      </c>
      <c r="G1928">
        <f>262920227/10^6</f>
      </c>
      <c r="H1928">
        <f>0</f>
      </c>
      <c r="I1928">
        <f>-36399181/10^6</f>
      </c>
      <c r="J1928">
        <f>0</f>
      </c>
    </row>
    <row r="1929">
      <c r="A1929" t="s">
        <v>1938</v>
      </c>
      <c r="B1929" t="s">
        <v>11</v>
      </c>
      <c r="C1929">
        <f>12171184375/10^5</f>
      </c>
      <c r="D1929">
        <f>0</f>
      </c>
      <c r="E1929">
        <f>731966003/10^6</f>
      </c>
      <c r="F1929">
        <f>0</f>
      </c>
      <c r="G1929">
        <f>262778198/10^6</f>
      </c>
      <c r="H1929">
        <f>0</f>
      </c>
      <c r="I1929">
        <f>-36840557/10^6</f>
      </c>
      <c r="J1929">
        <f>0</f>
      </c>
    </row>
    <row r="1930">
      <c r="A1930" t="s">
        <v>1939</v>
      </c>
      <c r="B1930" t="s">
        <v>11</v>
      </c>
      <c r="C1930">
        <f>121312554688/10^6</f>
      </c>
      <c r="D1930">
        <f>0</f>
      </c>
      <c r="E1930">
        <f>734062256/10^6</f>
      </c>
      <c r="F1930">
        <f>0</f>
      </c>
      <c r="G1930">
        <f>262611298/10^6</f>
      </c>
      <c r="H1930">
        <f>0</f>
      </c>
      <c r="I1930">
        <f>-37324497/10^6</f>
      </c>
      <c r="J1930">
        <f>0</f>
      </c>
    </row>
    <row r="1931">
      <c r="A1931" t="s">
        <v>1940</v>
      </c>
      <c r="B1931" t="s">
        <v>11</v>
      </c>
      <c r="C1931">
        <f>120948164063/10^6</f>
      </c>
      <c r="D1931">
        <f>0</f>
      </c>
      <c r="E1931">
        <f>736312317/10^6</f>
      </c>
      <c r="F1931">
        <f>0</f>
      </c>
      <c r="G1931">
        <f>262536407/10^6</f>
      </c>
      <c r="H1931">
        <f>0</f>
      </c>
      <c r="I1931">
        <f>-37716526/10^6</f>
      </c>
      <c r="J1931">
        <f>0</f>
      </c>
    </row>
    <row r="1932">
      <c r="A1932" t="s">
        <v>1941</v>
      </c>
      <c r="B1932" t="s">
        <v>11</v>
      </c>
      <c r="C1932">
        <f>120596546875/10^6</f>
      </c>
      <c r="D1932">
        <f>0</f>
      </c>
      <c r="E1932">
        <f>73864502/10^5</f>
      </c>
      <c r="F1932">
        <f>0</f>
      </c>
      <c r="G1932">
        <f>262509277/10^6</f>
      </c>
      <c r="H1932">
        <f>0</f>
      </c>
      <c r="I1932">
        <f>-38210739/10^6</f>
      </c>
      <c r="J1932">
        <f>0</f>
      </c>
    </row>
    <row r="1933">
      <c r="A1933" t="s">
        <v>1942</v>
      </c>
      <c r="B1933" t="s">
        <v>11</v>
      </c>
      <c r="C1933">
        <f>12023578125/10^5</f>
      </c>
      <c r="D1933">
        <f>0</f>
      </c>
      <c r="E1933">
        <f>740735291/10^6</f>
      </c>
      <c r="F1933">
        <f>0</f>
      </c>
      <c r="G1933">
        <f>262466461/10^6</f>
      </c>
      <c r="H1933">
        <f>0</f>
      </c>
      <c r="I1933">
        <f>-38620396/10^6</f>
      </c>
      <c r="J1933">
        <f>0</f>
      </c>
    </row>
    <row r="1934">
      <c r="A1934" t="s">
        <v>1943</v>
      </c>
      <c r="B1934" t="s">
        <v>11</v>
      </c>
      <c r="C1934">
        <f>119906171875/10^6</f>
      </c>
      <c r="D1934">
        <f>0</f>
      </c>
      <c r="E1934">
        <f>742646973/10^6</f>
      </c>
      <c r="F1934">
        <f>0</f>
      </c>
      <c r="G1934">
        <f>262377594/10^6</f>
      </c>
      <c r="H1934">
        <f>0</f>
      </c>
      <c r="I1934">
        <f>-39084923/10^6</f>
      </c>
      <c r="J1934">
        <f>0</f>
      </c>
    </row>
    <row r="1935">
      <c r="A1935" t="s">
        <v>1944</v>
      </c>
      <c r="B1935" t="s">
        <v>11</v>
      </c>
      <c r="C1935">
        <f>119651632813/10^6</f>
      </c>
      <c r="D1935">
        <f>0</f>
      </c>
      <c r="E1935">
        <f>744419556/10^6</f>
      </c>
      <c r="F1935">
        <f>0</f>
      </c>
      <c r="G1935">
        <f>262270782/10^6</f>
      </c>
      <c r="H1935">
        <f>0</f>
      </c>
      <c r="I1935">
        <f>-39637077/10^6</f>
      </c>
      <c r="J1935">
        <f>0</f>
      </c>
    </row>
    <row r="1936">
      <c r="A1936" t="s">
        <v>1945</v>
      </c>
      <c r="B1936" t="s">
        <v>11</v>
      </c>
      <c r="C1936">
        <f>119437703125/10^6</f>
      </c>
      <c r="D1936">
        <f>0</f>
      </c>
      <c r="E1936">
        <f>745826294/10^6</f>
      </c>
      <c r="F1936">
        <f>0</f>
      </c>
      <c r="G1936">
        <f>262242126/10^6</f>
      </c>
      <c r="H1936">
        <f>0</f>
      </c>
      <c r="I1936">
        <f>-3990947/10^5</f>
      </c>
      <c r="J1936">
        <f>0</f>
      </c>
    </row>
    <row r="1937">
      <c r="A1937" t="s">
        <v>1946</v>
      </c>
      <c r="B1937" t="s">
        <v>11</v>
      </c>
      <c r="C1937">
        <f>119220617188/10^6</f>
      </c>
      <c r="D1937">
        <f>0</f>
      </c>
      <c r="E1937">
        <f>747001648/10^6</f>
      </c>
      <c r="F1937">
        <f>0</f>
      </c>
      <c r="G1937">
        <f>262258362/10^6</f>
      </c>
      <c r="H1937">
        <f>0</f>
      </c>
      <c r="I1937">
        <f>-40067471/10^6</f>
      </c>
      <c r="J1937">
        <f>0</f>
      </c>
    </row>
    <row r="1938">
      <c r="A1938" t="s">
        <v>1947</v>
      </c>
      <c r="B1938" t="s">
        <v>11</v>
      </c>
      <c r="C1938">
        <f>11903809375/10^5</f>
      </c>
      <c r="D1938">
        <f>0</f>
      </c>
      <c r="E1938">
        <f>748187683/10^6</f>
      </c>
      <c r="F1938">
        <f>0</f>
      </c>
      <c r="G1938">
        <f>262262146/10^6</f>
      </c>
      <c r="H1938">
        <f>0</f>
      </c>
      <c r="I1938">
        <f>-40250816/10^6</f>
      </c>
      <c r="J1938">
        <f>0</f>
      </c>
    </row>
    <row r="1939">
      <c r="A1939" t="s">
        <v>1948</v>
      </c>
      <c r="B1939" t="s">
        <v>11</v>
      </c>
      <c r="C1939">
        <f>118925898438/10^6</f>
      </c>
      <c r="D1939">
        <f>0</f>
      </c>
      <c r="E1939">
        <f>749354797/10^6</f>
      </c>
      <c r="F1939">
        <f>0</f>
      </c>
      <c r="G1939">
        <f>262229584/10^6</f>
      </c>
      <c r="H1939">
        <f>0</f>
      </c>
      <c r="I1939">
        <f>-40529533/10^6</f>
      </c>
      <c r="J1939">
        <f>0</f>
      </c>
    </row>
    <row r="1940">
      <c r="A1940" t="s">
        <v>1949</v>
      </c>
      <c r="B1940" t="s">
        <v>11</v>
      </c>
      <c r="C1940">
        <f>118858507813/10^6</f>
      </c>
      <c r="D1940">
        <f>0</f>
      </c>
      <c r="E1940">
        <f>750203369/10^6</f>
      </c>
      <c r="F1940">
        <f>0</f>
      </c>
      <c r="G1940">
        <f>262167908/10^6</f>
      </c>
      <c r="H1940">
        <f>0</f>
      </c>
      <c r="I1940">
        <f>-40863983/10^6</f>
      </c>
      <c r="J1940">
        <f>0</f>
      </c>
    </row>
    <row r="1941">
      <c r="A1941" t="s">
        <v>1950</v>
      </c>
      <c r="B1941" t="s">
        <v>11</v>
      </c>
      <c r="C1941">
        <f>118833039063/10^6</f>
      </c>
      <c r="D1941">
        <f>0</f>
      </c>
      <c r="E1941">
        <f>750616333/10^6</f>
      </c>
      <c r="F1941">
        <f>0</f>
      </c>
      <c r="G1941">
        <f>262235504/10^6</f>
      </c>
      <c r="H1941">
        <f>0</f>
      </c>
      <c r="I1941">
        <f>-40961338/10^6</f>
      </c>
      <c r="J1941">
        <f>0</f>
      </c>
    </row>
    <row r="1942">
      <c r="A1942" t="s">
        <v>1951</v>
      </c>
      <c r="B1942" t="s">
        <v>11</v>
      </c>
      <c r="C1942">
        <f>118854015625/10^6</f>
      </c>
      <c r="D1942">
        <f>0</f>
      </c>
      <c r="E1942">
        <f>750976624/10^6</f>
      </c>
      <c r="F1942">
        <f>0</f>
      </c>
      <c r="G1942">
        <f>26243454/10^5</f>
      </c>
      <c r="H1942">
        <f>0</f>
      </c>
      <c r="I1942">
        <f>-40918968/10^6</f>
      </c>
      <c r="J1942">
        <f>0</f>
      </c>
    </row>
    <row r="1943">
      <c r="A1943" t="s">
        <v>1952</v>
      </c>
      <c r="B1943" t="s">
        <v>11</v>
      </c>
      <c r="C1943">
        <f>118872890625/10^6</f>
      </c>
      <c r="D1943">
        <f>0</f>
      </c>
      <c r="E1943">
        <f>751428467/10^6</f>
      </c>
      <c r="F1943">
        <f>0</f>
      </c>
      <c r="G1943">
        <f>262561584/10^6</f>
      </c>
      <c r="H1943">
        <f>0</f>
      </c>
      <c r="I1943">
        <f>-40935932/10^6</f>
      </c>
      <c r="J1943">
        <f>0</f>
      </c>
    </row>
    <row r="1944">
      <c r="A1944" t="s">
        <v>1953</v>
      </c>
      <c r="B1944" t="s">
        <v>11</v>
      </c>
      <c r="C1944">
        <f>118852429688/10^6</f>
      </c>
      <c r="D1944">
        <f>0</f>
      </c>
      <c r="E1944">
        <f>751626587/10^6</f>
      </c>
      <c r="F1944">
        <f>0</f>
      </c>
      <c r="G1944">
        <f>262648163/10^6</f>
      </c>
      <c r="H1944">
        <f>0</f>
      </c>
      <c r="I1944">
        <f>-4100528/10^5</f>
      </c>
      <c r="J1944">
        <f>0</f>
      </c>
    </row>
    <row r="1945">
      <c r="A1945" t="s">
        <v>1954</v>
      </c>
      <c r="B1945" t="s">
        <v>11</v>
      </c>
      <c r="C1945">
        <f>118815765625/10^6</f>
      </c>
      <c r="D1945">
        <f>0</f>
      </c>
      <c r="E1945">
        <f>751651794/10^6</f>
      </c>
      <c r="F1945">
        <f>0</f>
      </c>
      <c r="G1945">
        <f>26275946/10^5</f>
      </c>
      <c r="H1945">
        <f>0</f>
      </c>
      <c r="I1945">
        <f>-41078182/10^6</f>
      </c>
      <c r="J1945">
        <f>0</f>
      </c>
    </row>
    <row r="1946">
      <c r="A1946" t="s">
        <v>1955</v>
      </c>
      <c r="B1946" t="s">
        <v>11</v>
      </c>
      <c r="C1946">
        <f>118804664063/10^6</f>
      </c>
      <c r="D1946">
        <f>0</f>
      </c>
      <c r="E1946">
        <f>751940186/10^6</f>
      </c>
      <c r="F1946">
        <f>0</f>
      </c>
      <c r="G1946">
        <f>262828583/10^6</f>
      </c>
      <c r="H1946">
        <f>0</f>
      </c>
      <c r="I1946">
        <f>-41095127/10^6</f>
      </c>
      <c r="J1946">
        <f>0</f>
      </c>
    </row>
    <row r="1947">
      <c r="A1947" t="s">
        <v>1956</v>
      </c>
      <c r="B1947" t="s">
        <v>11</v>
      </c>
      <c r="C1947">
        <f>1188399375/10^4</f>
      </c>
      <c r="D1947">
        <f>0</f>
      </c>
      <c r="E1947">
        <f>752257751/10^6</f>
      </c>
      <c r="F1947">
        <f>0</f>
      </c>
      <c r="G1947">
        <f>262861603/10^6</f>
      </c>
      <c r="H1947">
        <f>0</f>
      </c>
      <c r="I1947">
        <f>-41084709/10^6</f>
      </c>
      <c r="J1947">
        <f>0</f>
      </c>
    </row>
    <row r="1948">
      <c r="A1948" t="s">
        <v>1957</v>
      </c>
      <c r="B1948" t="s">
        <v>11</v>
      </c>
      <c r="C1948">
        <f>118899851563/10^6</f>
      </c>
      <c r="D1948">
        <f>0</f>
      </c>
      <c r="E1948">
        <f>752214966/10^6</f>
      </c>
      <c r="F1948">
        <f>0</f>
      </c>
      <c r="G1948">
        <f>262910553/10^6</f>
      </c>
      <c r="H1948">
        <f>0</f>
      </c>
      <c r="I1948">
        <f>-41087917/10^6</f>
      </c>
      <c r="J1948">
        <f>0</f>
      </c>
    </row>
    <row r="1949">
      <c r="A1949" t="s">
        <v>1958</v>
      </c>
      <c r="B1949" t="s">
        <v>11</v>
      </c>
      <c r="C1949">
        <f>118949085938/10^6</f>
      </c>
      <c r="D1949">
        <f>0</f>
      </c>
      <c r="E1949">
        <f>752124573/10^6</f>
      </c>
      <c r="F1949">
        <f>0</f>
      </c>
      <c r="G1949">
        <f>263056091/10^6</f>
      </c>
      <c r="H1949">
        <f>0</f>
      </c>
      <c r="I1949">
        <f>-41083412/10^6</f>
      </c>
      <c r="J1949">
        <f>0</f>
      </c>
    </row>
    <row r="1950">
      <c r="A1950" t="s">
        <v>1959</v>
      </c>
      <c r="B1950" t="s">
        <v>11</v>
      </c>
      <c r="C1950">
        <f>11899225/10^2</f>
      </c>
      <c r="D1950">
        <f>0</f>
      </c>
      <c r="E1950">
        <f>752185791/10^6</f>
      </c>
      <c r="F1950">
        <f>0</f>
      </c>
      <c r="G1950">
        <f>263218506/10^6</f>
      </c>
      <c r="H1950">
        <f>0</f>
      </c>
      <c r="I1950">
        <f>-41068069/10^6</f>
      </c>
      <c r="J1950">
        <f>0</f>
      </c>
    </row>
    <row r="1951">
      <c r="A1951" t="s">
        <v>1960</v>
      </c>
      <c r="B1951" t="s">
        <v>11</v>
      </c>
      <c r="C1951">
        <f>119035054688/10^6</f>
      </c>
      <c r="D1951">
        <f>0</f>
      </c>
      <c r="E1951">
        <f>752092773/10^6</f>
      </c>
      <c r="F1951">
        <f>0</f>
      </c>
      <c r="G1951">
        <f>263293671/10^6</f>
      </c>
      <c r="H1951">
        <f>0</f>
      </c>
      <c r="I1951">
        <f>-41076946/10^6</f>
      </c>
      <c r="J1951">
        <f>0</f>
      </c>
    </row>
    <row r="1952">
      <c r="A1952" t="s">
        <v>1961</v>
      </c>
      <c r="B1952" t="s">
        <v>11</v>
      </c>
      <c r="C1952">
        <f>119052210938/10^6</f>
      </c>
      <c r="D1952">
        <f>0</f>
      </c>
      <c r="E1952">
        <f>751820923/10^6</f>
      </c>
      <c r="F1952">
        <f>0</f>
      </c>
      <c r="G1952">
        <f>263409973/10^6</f>
      </c>
      <c r="H1952">
        <f>0</f>
      </c>
      <c r="I1952">
        <f>-41124619/10^6</f>
      </c>
      <c r="J1952">
        <f>0</f>
      </c>
    </row>
    <row r="1953">
      <c r="A1953" t="s">
        <v>1962</v>
      </c>
      <c r="B1953" t="s">
        <v>11</v>
      </c>
      <c r="C1953">
        <f>119031054688/10^6</f>
      </c>
      <c r="D1953">
        <f>0</f>
      </c>
      <c r="E1953">
        <f>751707214/10^6</f>
      </c>
      <c r="F1953">
        <f>0</f>
      </c>
      <c r="G1953">
        <f>2634823/10^4</f>
      </c>
      <c r="H1953">
        <f>0</f>
      </c>
      <c r="I1953">
        <f>-41152763/10^6</f>
      </c>
      <c r="J1953">
        <f>0</f>
      </c>
    </row>
    <row r="1954">
      <c r="A1954" t="s">
        <v>1963</v>
      </c>
      <c r="B1954" t="s">
        <v>11</v>
      </c>
      <c r="C1954">
        <f>118978039063/10^6</f>
      </c>
      <c r="D1954">
        <f>0</f>
      </c>
      <c r="E1954">
        <f>751822937/10^6</f>
      </c>
      <c r="F1954">
        <f>0</f>
      </c>
      <c r="G1954">
        <f>26334433/10^5</f>
      </c>
      <c r="H1954">
        <f>0</f>
      </c>
      <c r="I1954">
        <f>-41094147/10^6</f>
      </c>
      <c r="J1954">
        <f>0</f>
      </c>
    </row>
    <row r="1955">
      <c r="A1955" t="s">
        <v>1964</v>
      </c>
      <c r="B1955" t="s">
        <v>11</v>
      </c>
      <c r="C1955">
        <f>118889523438/10^6</f>
      </c>
      <c r="D1955">
        <f>0</f>
      </c>
      <c r="E1955">
        <f>751998657/10^6</f>
      </c>
      <c r="F1955">
        <f>0</f>
      </c>
      <c r="G1955">
        <f>263191681/10^6</f>
      </c>
      <c r="H1955">
        <f>0</f>
      </c>
      <c r="I1955">
        <f>-41013409/10^6</f>
      </c>
      <c r="J1955">
        <f>0</f>
      </c>
    </row>
    <row r="1956">
      <c r="A1956" t="s">
        <v>1965</v>
      </c>
      <c r="B1956" t="s">
        <v>11</v>
      </c>
      <c r="C1956">
        <f>118764671875/10^6</f>
      </c>
      <c r="D1956">
        <f>0</f>
      </c>
      <c r="E1956">
        <f>752410767/10^6</f>
      </c>
      <c r="F1956">
        <f>0</f>
      </c>
      <c r="G1956">
        <f>263082397/10^6</f>
      </c>
      <c r="H1956">
        <f>0</f>
      </c>
      <c r="I1956">
        <f>-41048225/10^6</f>
      </c>
      <c r="J1956">
        <f>0</f>
      </c>
    </row>
    <row r="1957">
      <c r="A1957" t="s">
        <v>1966</v>
      </c>
      <c r="B1957" t="s">
        <v>11</v>
      </c>
      <c r="C1957">
        <f>118613039063/10^6</f>
      </c>
      <c r="D1957">
        <f>0</f>
      </c>
      <c r="E1957">
        <f>753220825/10^6</f>
      </c>
      <c r="F1957">
        <f>0</f>
      </c>
      <c r="G1957">
        <f>262910065/10^6</f>
      </c>
      <c r="H1957">
        <f>0</f>
      </c>
      <c r="I1957">
        <f>-41122463/10^6</f>
      </c>
      <c r="J1957">
        <f>0</f>
      </c>
    </row>
    <row r="1958">
      <c r="A1958" t="s">
        <v>1967</v>
      </c>
      <c r="B1958" t="s">
        <v>11</v>
      </c>
      <c r="C1958">
        <f>118438882813/10^6</f>
      </c>
      <c r="D1958">
        <f>0</f>
      </c>
      <c r="E1958">
        <f>754127625/10^6</f>
      </c>
      <c r="F1958">
        <f>0</f>
      </c>
      <c r="G1958">
        <f>262774567/10^6</f>
      </c>
      <c r="H1958">
        <f>0</f>
      </c>
      <c r="I1958">
        <f>-41184734/10^6</f>
      </c>
      <c r="J1958">
        <f>0</f>
      </c>
    </row>
    <row r="1959">
      <c r="A1959" t="s">
        <v>1968</v>
      </c>
      <c r="B1959" t="s">
        <v>11</v>
      </c>
      <c r="C1959">
        <f>118255171875/10^6</f>
      </c>
      <c r="D1959">
        <f>0</f>
      </c>
      <c r="E1959">
        <f>755019897/10^6</f>
      </c>
      <c r="F1959">
        <f>0</f>
      </c>
      <c r="G1959">
        <f>262651886/10^6</f>
      </c>
      <c r="H1959">
        <f>0</f>
      </c>
      <c r="I1959">
        <f>-41421623/10^6</f>
      </c>
      <c r="J1959">
        <f>0</f>
      </c>
    </row>
    <row r="1960">
      <c r="A1960" t="s">
        <v>1969</v>
      </c>
      <c r="B1960" t="s">
        <v>11</v>
      </c>
      <c r="C1960">
        <f>118069171875/10^6</f>
      </c>
      <c r="D1960">
        <f>0</f>
      </c>
      <c r="E1960">
        <f>756103882/10^6</f>
      </c>
      <c r="F1960">
        <f>0</f>
      </c>
      <c r="G1960">
        <f>262504639/10^6</f>
      </c>
      <c r="H1960">
        <f>0</f>
      </c>
      <c r="I1960">
        <f>-41709747/10^6</f>
      </c>
      <c r="J1960">
        <f>0</f>
      </c>
    </row>
    <row r="1961">
      <c r="A1961" t="s">
        <v>1970</v>
      </c>
      <c r="B1961" t="s">
        <v>11</v>
      </c>
      <c r="C1961">
        <f>1178750625/10^4</f>
      </c>
      <c r="D1961">
        <f>0</f>
      </c>
      <c r="E1961">
        <f>757274597/10^6</f>
      </c>
      <c r="F1961">
        <f>0</f>
      </c>
      <c r="G1961">
        <f>262428406/10^6</f>
      </c>
      <c r="H1961">
        <f>0</f>
      </c>
      <c r="I1961">
        <f>-41856052/10^6</f>
      </c>
      <c r="J1961">
        <f>0</f>
      </c>
    </row>
    <row r="1962">
      <c r="A1962" t="s">
        <v>1971</v>
      </c>
      <c r="B1962" t="s">
        <v>11</v>
      </c>
      <c r="C1962">
        <f>11768321875/10^5</f>
      </c>
      <c r="D1962">
        <f>0</f>
      </c>
      <c r="E1962">
        <f>758230835/10^6</f>
      </c>
      <c r="F1962">
        <f>0</f>
      </c>
      <c r="G1962">
        <f>262391479/10^6</f>
      </c>
      <c r="H1962">
        <f>0</f>
      </c>
      <c r="I1962">
        <f>-41946674/10^6</f>
      </c>
      <c r="J1962">
        <f>0</f>
      </c>
    </row>
    <row r="1963">
      <c r="A1963" t="s">
        <v>1972</v>
      </c>
      <c r="B1963" t="s">
        <v>11</v>
      </c>
      <c r="C1963">
        <f>1174789375/10^4</f>
      </c>
      <c r="D1963">
        <f>0</f>
      </c>
      <c r="E1963">
        <f>759183777/10^6</f>
      </c>
      <c r="F1963">
        <f>0</f>
      </c>
      <c r="G1963">
        <f>262338562/10^6</f>
      </c>
      <c r="H1963">
        <f>0</f>
      </c>
      <c r="I1963">
        <f>-42071869/10^6</f>
      </c>
      <c r="J1963">
        <f>0</f>
      </c>
    </row>
    <row r="1964">
      <c r="A1964" t="s">
        <v>1973</v>
      </c>
      <c r="B1964" t="s">
        <v>11</v>
      </c>
      <c r="C1964">
        <f>117248921875/10^6</f>
      </c>
      <c r="D1964">
        <f>0</f>
      </c>
      <c r="E1964">
        <f>760460327/10^6</f>
      </c>
      <c r="F1964">
        <f>0</f>
      </c>
      <c r="G1964">
        <f>262243164/10^6</f>
      </c>
      <c r="H1964">
        <f>0</f>
      </c>
      <c r="I1964">
        <f>-42357716/10^6</f>
      </c>
      <c r="J1964">
        <f>0</f>
      </c>
    </row>
    <row r="1965">
      <c r="A1965" t="s">
        <v>1974</v>
      </c>
      <c r="B1965" t="s">
        <v>11</v>
      </c>
      <c r="C1965">
        <f>117034335938/10^6</f>
      </c>
      <c r="D1965">
        <f>0</f>
      </c>
      <c r="E1965">
        <f>761845032/10^6</f>
      </c>
      <c r="F1965">
        <f>0</f>
      </c>
      <c r="G1965">
        <f>262141998/10^6</f>
      </c>
      <c r="H1965">
        <f>0</f>
      </c>
      <c r="I1965">
        <f>-42674393/10^6</f>
      </c>
      <c r="J1965">
        <f>0</f>
      </c>
    </row>
    <row r="1966">
      <c r="A1966" t="s">
        <v>1975</v>
      </c>
      <c r="B1966" t="s">
        <v>11</v>
      </c>
      <c r="C1966">
        <f>116832476563/10^6</f>
      </c>
      <c r="D1966">
        <f>0</f>
      </c>
      <c r="E1966">
        <f>763078735/10^6</f>
      </c>
      <c r="F1966">
        <f>0</f>
      </c>
      <c r="G1966">
        <f>262054169/10^6</f>
      </c>
      <c r="H1966">
        <f>0</f>
      </c>
      <c r="I1966">
        <f>-42930092/10^6</f>
      </c>
      <c r="J1966">
        <f>0</f>
      </c>
    </row>
    <row r="1967">
      <c r="A1967" t="s">
        <v>1976</v>
      </c>
      <c r="B1967" t="s">
        <v>11</v>
      </c>
      <c r="C1967">
        <f>116580414063/10^6</f>
      </c>
      <c r="D1967">
        <f>0</f>
      </c>
      <c r="E1967">
        <f>764363342/10^6</f>
      </c>
      <c r="F1967">
        <f>0</f>
      </c>
      <c r="G1967">
        <f>261961029/10^6</f>
      </c>
      <c r="H1967">
        <f>0</f>
      </c>
      <c r="I1967">
        <f>-43173038/10^6</f>
      </c>
      <c r="J1967">
        <f>0</f>
      </c>
    </row>
    <row r="1968">
      <c r="A1968" t="s">
        <v>1977</v>
      </c>
      <c r="B1968" t="s">
        <v>11</v>
      </c>
      <c r="C1968">
        <f>116279859375/10^6</f>
      </c>
      <c r="D1968">
        <f>0</f>
      </c>
      <c r="E1968">
        <f>766077759/10^6</f>
      </c>
      <c r="F1968">
        <f>0</f>
      </c>
      <c r="G1968">
        <f>261857361/10^6</f>
      </c>
      <c r="H1968">
        <f>0</f>
      </c>
      <c r="I1968">
        <f>-43415085/10^6</f>
      </c>
      <c r="J1968">
        <f>0</f>
      </c>
    </row>
    <row r="1969">
      <c r="A1969" t="s">
        <v>1978</v>
      </c>
      <c r="B1969" t="s">
        <v>11</v>
      </c>
      <c r="C1969">
        <f>115965765625/10^6</f>
      </c>
      <c r="D1969">
        <f>0</f>
      </c>
      <c r="E1969">
        <f>768105286/10^6</f>
      </c>
      <c r="F1969">
        <f>0</f>
      </c>
      <c r="G1969">
        <f>261674011/10^6</f>
      </c>
      <c r="H1969">
        <f>0</f>
      </c>
      <c r="I1969">
        <f>-44098114/10^6</f>
      </c>
      <c r="J1969">
        <f>0</f>
      </c>
    </row>
    <row r="1970">
      <c r="A1970" t="s">
        <v>1979</v>
      </c>
      <c r="B1970" t="s">
        <v>11</v>
      </c>
      <c r="C1970">
        <f>1156248125/10^4</f>
      </c>
      <c r="D1970">
        <f>0</f>
      </c>
      <c r="E1970">
        <f>769790955/10^6</f>
      </c>
      <c r="F1970">
        <f>0</f>
      </c>
      <c r="G1970">
        <f>26150766/10^5</f>
      </c>
      <c r="H1970">
        <f>0</f>
      </c>
      <c r="I1970">
        <f>-44942223/10^6</f>
      </c>
      <c r="J1970">
        <f>0</f>
      </c>
    </row>
    <row r="1971">
      <c r="A1971" t="s">
        <v>1980</v>
      </c>
      <c r="B1971" t="s">
        <v>11</v>
      </c>
      <c r="C1971">
        <f>115296078125/10^6</f>
      </c>
      <c r="D1971">
        <f>0</f>
      </c>
      <c r="E1971">
        <f>77090387/10^5</f>
      </c>
      <c r="F1971">
        <f>0</f>
      </c>
      <c r="G1971">
        <f>261270081/10^6</f>
      </c>
      <c r="H1971">
        <f>0</f>
      </c>
      <c r="I1971">
        <f>-45185867/10^6</f>
      </c>
      <c r="J1971">
        <f>0</f>
      </c>
    </row>
    <row r="1972">
      <c r="A1972" t="s">
        <v>1981</v>
      </c>
      <c r="B1972" t="s">
        <v>11</v>
      </c>
      <c r="C1972">
        <f>1150636875/10^4</f>
      </c>
      <c r="D1972">
        <f>0</f>
      </c>
      <c r="E1972">
        <f>7720047/10^4</f>
      </c>
      <c r="F1972">
        <f>0</f>
      </c>
      <c r="G1972">
        <f>260804596/10^6</f>
      </c>
      <c r="H1972">
        <f>0</f>
      </c>
      <c r="I1972">
        <f>-45194538/10^6</f>
      </c>
      <c r="J1972">
        <f>0</f>
      </c>
    </row>
    <row r="1973">
      <c r="A1973" t="s">
        <v>1982</v>
      </c>
      <c r="B1973" t="s">
        <v>11</v>
      </c>
      <c r="C1973">
        <f>114907453125/10^6</f>
      </c>
      <c r="D1973">
        <f>0</f>
      </c>
      <c r="E1973">
        <f>773080078/10^6</f>
      </c>
      <c r="F1973">
        <f>0</f>
      </c>
      <c r="G1973">
        <f>260493042/10^6</f>
      </c>
      <c r="H1973">
        <f>0</f>
      </c>
      <c r="I1973">
        <f>-45280838/10^6</f>
      </c>
      <c r="J1973">
        <f>0</f>
      </c>
    </row>
    <row r="1974">
      <c r="A1974" t="s">
        <v>1983</v>
      </c>
      <c r="B1974" t="s">
        <v>11</v>
      </c>
      <c r="C1974">
        <f>11476778125/10^5</f>
      </c>
      <c r="D1974">
        <f>0</f>
      </c>
      <c r="E1974">
        <f>773441162/10^6</f>
      </c>
      <c r="F1974">
        <f>0</f>
      </c>
      <c r="G1974">
        <f>26038031/10^5</f>
      </c>
      <c r="H1974">
        <f>0</f>
      </c>
      <c r="I1974">
        <f>-45265842/10^6</f>
      </c>
      <c r="J1974">
        <f>0</f>
      </c>
    </row>
    <row r="1975">
      <c r="A1975" t="s">
        <v>1984</v>
      </c>
      <c r="B1975" t="s">
        <v>11</v>
      </c>
      <c r="C1975">
        <f>11467853125/10^5</f>
      </c>
      <c r="D1975">
        <f>0</f>
      </c>
      <c r="E1975">
        <f>773421387/10^6</f>
      </c>
      <c r="F1975">
        <f>0</f>
      </c>
      <c r="G1975">
        <f>260208374/10^6</f>
      </c>
      <c r="H1975">
        <f>0</f>
      </c>
      <c r="I1975">
        <f>-45249851/10^6</f>
      </c>
      <c r="J1975">
        <f>0</f>
      </c>
    </row>
    <row r="1976">
      <c r="A1976" t="s">
        <v>1985</v>
      </c>
      <c r="B1976" t="s">
        <v>11</v>
      </c>
      <c r="C1976">
        <f>11467140625/10^5</f>
      </c>
      <c r="D1976">
        <f>0</f>
      </c>
      <c r="E1976">
        <f>773599365/10^6</f>
      </c>
      <c r="F1976">
        <f>0</f>
      </c>
      <c r="G1976">
        <f>260203888/10^6</f>
      </c>
      <c r="H1976">
        <f>0</f>
      </c>
      <c r="I1976">
        <f>-45137306/10^6</f>
      </c>
      <c r="J1976">
        <f>0</f>
      </c>
    </row>
    <row r="1977">
      <c r="A1977" t="s">
        <v>1986</v>
      </c>
      <c r="B1977" t="s">
        <v>11</v>
      </c>
      <c r="C1977">
        <f>114683609375/10^6</f>
      </c>
      <c r="D1977">
        <f>0</f>
      </c>
      <c r="E1977">
        <f>773787231/10^6</f>
      </c>
      <c r="F1977">
        <f>0</f>
      </c>
      <c r="G1977">
        <f>260399506/10^6</f>
      </c>
      <c r="H1977">
        <f>0</f>
      </c>
      <c r="I1977">
        <f>-44864452/10^6</f>
      </c>
      <c r="J1977">
        <f>0</f>
      </c>
    </row>
    <row r="1978">
      <c r="A1978" t="s">
        <v>1987</v>
      </c>
      <c r="B1978" t="s">
        <v>11</v>
      </c>
      <c r="C1978">
        <f>11467271875/10^5</f>
      </c>
      <c r="D1978">
        <f>0</f>
      </c>
      <c r="E1978">
        <f>773937561/10^6</f>
      </c>
      <c r="F1978">
        <f>0</f>
      </c>
      <c r="G1978">
        <f>26049939/10^5</f>
      </c>
      <c r="H1978">
        <f>0</f>
      </c>
      <c r="I1978">
        <f>-44680698/10^6</f>
      </c>
      <c r="J1978">
        <f>0</f>
      </c>
    </row>
    <row r="1979">
      <c r="A1979" t="s">
        <v>1988</v>
      </c>
      <c r="B1979" t="s">
        <v>11</v>
      </c>
      <c r="C1979">
        <f>114651929688/10^6</f>
      </c>
      <c r="D1979">
        <f>0</f>
      </c>
      <c r="E1979">
        <f>774043823/10^6</f>
      </c>
      <c r="F1979">
        <f>0</f>
      </c>
      <c r="G1979">
        <f>260486908/10^6</f>
      </c>
      <c r="H1979">
        <f>0</f>
      </c>
      <c r="I1979">
        <f>-44518883/10^6</f>
      </c>
      <c r="J1979">
        <f>0</f>
      </c>
    </row>
    <row r="1980">
      <c r="A1980" t="s">
        <v>1989</v>
      </c>
      <c r="B1980" t="s">
        <v>11</v>
      </c>
      <c r="C1980">
        <f>114611890625/10^6</f>
      </c>
      <c r="D1980">
        <f>0</f>
      </c>
      <c r="E1980">
        <f>774108337/10^6</f>
      </c>
      <c r="F1980">
        <f>0</f>
      </c>
      <c r="G1980">
        <f>260487213/10^6</f>
      </c>
      <c r="H1980">
        <f>0</f>
      </c>
      <c r="I1980">
        <f>-4430822/10^5</f>
      </c>
      <c r="J1980">
        <f>0</f>
      </c>
    </row>
    <row r="1981">
      <c r="A1981" t="s">
        <v>1990</v>
      </c>
      <c r="B1981" t="s">
        <v>11</v>
      </c>
      <c r="C1981">
        <f>114552601563/10^6</f>
      </c>
      <c r="D1981">
        <f>0</f>
      </c>
      <c r="E1981">
        <f>774321716/10^6</f>
      </c>
      <c r="F1981">
        <f>0</f>
      </c>
      <c r="G1981">
        <f>260493256/10^6</f>
      </c>
      <c r="H1981">
        <f>0</f>
      </c>
      <c r="I1981">
        <f>-44231491/10^6</f>
      </c>
      <c r="J1981">
        <f>0</f>
      </c>
    </row>
    <row r="1982">
      <c r="A1982" t="s">
        <v>1991</v>
      </c>
      <c r="B1982" t="s">
        <v>11</v>
      </c>
      <c r="C1982">
        <f>114520796875/10^6</f>
      </c>
      <c r="D1982">
        <f>0</f>
      </c>
      <c r="E1982">
        <f>774493835/10^6</f>
      </c>
      <c r="F1982">
        <f>0</f>
      </c>
      <c r="G1982">
        <f>260471985/10^6</f>
      </c>
      <c r="H1982">
        <f>0</f>
      </c>
      <c r="I1982">
        <f>-44244553/10^6</f>
      </c>
      <c r="J1982">
        <f>0</f>
      </c>
    </row>
    <row r="1983">
      <c r="A1983" t="s">
        <v>1992</v>
      </c>
      <c r="B1983" t="s">
        <v>11</v>
      </c>
      <c r="C1983">
        <f>11454709375/10^5</f>
      </c>
      <c r="D1983">
        <f>0</f>
      </c>
      <c r="E1983">
        <f>774435669/10^6</f>
      </c>
      <c r="F1983">
        <f>0</f>
      </c>
      <c r="G1983">
        <f>260468903/10^6</f>
      </c>
      <c r="H1983">
        <f>0</f>
      </c>
      <c r="I1983">
        <f>-44216194/10^6</f>
      </c>
      <c r="J1983">
        <f>0</f>
      </c>
    </row>
    <row r="1984">
      <c r="A1984" t="s">
        <v>1993</v>
      </c>
      <c r="B1984" t="s">
        <v>11</v>
      </c>
      <c r="C1984">
        <f>114593/10^0</f>
      </c>
      <c r="D1984">
        <f>0</f>
      </c>
      <c r="E1984">
        <f>77444635/10^5</f>
      </c>
      <c r="F1984">
        <f>0</f>
      </c>
      <c r="G1984">
        <f>260501801/10^6</f>
      </c>
      <c r="H1984">
        <f>0</f>
      </c>
      <c r="I1984">
        <f>-4414315/10^5</f>
      </c>
      <c r="J1984">
        <f>0</f>
      </c>
    </row>
    <row r="1985">
      <c r="A1985" t="s">
        <v>1994</v>
      </c>
      <c r="B1985" t="s">
        <v>11</v>
      </c>
      <c r="C1985">
        <f>114632046875/10^6</f>
      </c>
      <c r="D1985">
        <f>0</f>
      </c>
      <c r="E1985">
        <f>774465698/10^6</f>
      </c>
      <c r="F1985">
        <f>0</f>
      </c>
      <c r="G1985">
        <f>260522644/10^6</f>
      </c>
      <c r="H1985">
        <f>0</f>
      </c>
      <c r="I1985">
        <f>-44075169/10^6</f>
      </c>
      <c r="J1985">
        <f>0</f>
      </c>
    </row>
    <row r="1986">
      <c r="A1986" t="s">
        <v>1995</v>
      </c>
      <c r="B1986" t="s">
        <v>11</v>
      </c>
      <c r="C1986">
        <f>114720078125/10^6</f>
      </c>
      <c r="D1986">
        <f>0</f>
      </c>
      <c r="E1986">
        <f>77407019/10^5</f>
      </c>
      <c r="F1986">
        <f>0</f>
      </c>
      <c r="G1986">
        <f>260601959/10^6</f>
      </c>
      <c r="H1986">
        <f>0</f>
      </c>
      <c r="I1986">
        <f>-43979702/10^6</f>
      </c>
      <c r="J1986">
        <f>0</f>
      </c>
    </row>
    <row r="1987">
      <c r="A1987" t="s">
        <v>1996</v>
      </c>
      <c r="B1987" t="s">
        <v>11</v>
      </c>
      <c r="C1987">
        <f>11488196875/10^5</f>
      </c>
      <c r="D1987">
        <f>0</f>
      </c>
      <c r="E1987">
        <f>773399902/10^6</f>
      </c>
      <c r="F1987">
        <f>0</f>
      </c>
      <c r="G1987">
        <f>260747742/10^6</f>
      </c>
      <c r="H1987">
        <f>0</f>
      </c>
      <c r="I1987">
        <f>-43874554/10^6</f>
      </c>
      <c r="J1987">
        <f>0</f>
      </c>
    </row>
    <row r="1988">
      <c r="A1988" t="s">
        <v>1997</v>
      </c>
      <c r="B1988" t="s">
        <v>11</v>
      </c>
      <c r="C1988">
        <f>115097359375/10^6</f>
      </c>
      <c r="D1988">
        <f>0</f>
      </c>
      <c r="E1988">
        <f>772555176/10^6</f>
      </c>
      <c r="F1988">
        <f>0</f>
      </c>
      <c r="G1988">
        <f>260868134/10^6</f>
      </c>
      <c r="H1988">
        <f>0</f>
      </c>
      <c r="I1988">
        <f>-43754601/10^6</f>
      </c>
      <c r="J1988">
        <f>0</f>
      </c>
    </row>
    <row r="1989">
      <c r="A1989" t="s">
        <v>1998</v>
      </c>
      <c r="B1989" t="s">
        <v>11</v>
      </c>
      <c r="C1989">
        <f>11536375/10^2</f>
      </c>
      <c r="D1989">
        <f>0</f>
      </c>
      <c r="E1989">
        <f>771266357/10^6</f>
      </c>
      <c r="F1989">
        <f>0</f>
      </c>
      <c r="G1989">
        <f>261042572/10^6</f>
      </c>
      <c r="H1989">
        <f>0</f>
      </c>
      <c r="I1989">
        <f>-43438503/10^6</f>
      </c>
      <c r="J1989">
        <f>0</f>
      </c>
    </row>
    <row r="1990">
      <c r="A1990" t="s">
        <v>1999</v>
      </c>
      <c r="B1990" t="s">
        <v>11</v>
      </c>
      <c r="C1990">
        <f>115666273438/10^6</f>
      </c>
      <c r="D1990">
        <f>0</f>
      </c>
      <c r="E1990">
        <f>769589722/10^6</f>
      </c>
      <c r="F1990">
        <f>0</f>
      </c>
      <c r="G1990">
        <f>261227142/10^6</f>
      </c>
      <c r="H1990">
        <f>0</f>
      </c>
      <c r="I1990">
        <f>-43104031/10^6</f>
      </c>
      <c r="J1990">
        <f>0</f>
      </c>
    </row>
    <row r="1991">
      <c r="A1991" t="s">
        <v>2000</v>
      </c>
      <c r="B1991" t="s">
        <v>11</v>
      </c>
      <c r="C1991">
        <f>116002015625/10^6</f>
      </c>
      <c r="D1991">
        <f>0</f>
      </c>
      <c r="E1991">
        <f>767650513/10^6</f>
      </c>
      <c r="F1991">
        <f>0</f>
      </c>
      <c r="G1991">
        <f>26142218/10^5</f>
      </c>
      <c r="H1991">
        <f>0</f>
      </c>
      <c r="I1991">
        <f>-42789463/10^6</f>
      </c>
      <c r="J1991">
        <f>0</f>
      </c>
    </row>
    <row r="1992">
      <c r="A1992" t="s">
        <v>2001</v>
      </c>
      <c r="B1992" t="s">
        <v>11</v>
      </c>
      <c r="C1992">
        <f>1163604375/10^4</f>
      </c>
      <c r="D1992">
        <f>0</f>
      </c>
      <c r="E1992">
        <f>765598389/10^6</f>
      </c>
      <c r="F1992">
        <f>0</f>
      </c>
      <c r="G1992">
        <f>261692078/10^6</f>
      </c>
      <c r="H1992">
        <f>0</f>
      </c>
      <c r="I1992">
        <f>-42339645/10^6</f>
      </c>
      <c r="J1992">
        <f>0</f>
      </c>
    </row>
    <row r="1993">
      <c r="A1993" t="s">
        <v>2002</v>
      </c>
      <c r="B1993" t="s">
        <v>11</v>
      </c>
      <c r="C1993">
        <f>11673896875/10^5</f>
      </c>
      <c r="D1993">
        <f>0</f>
      </c>
      <c r="E1993">
        <f>763653381/10^6</f>
      </c>
      <c r="F1993">
        <f>0</f>
      </c>
      <c r="G1993">
        <f>261933929/10^6</f>
      </c>
      <c r="H1993">
        <f>0</f>
      </c>
      <c r="I1993">
        <f>-41953091/10^6</f>
      </c>
      <c r="J1993">
        <f>0</f>
      </c>
    </row>
    <row r="1994">
      <c r="A1994" t="s">
        <v>2003</v>
      </c>
      <c r="B1994" t="s">
        <v>11</v>
      </c>
      <c r="C1994">
        <f>117224375/10^3</f>
      </c>
      <c r="D1994">
        <f>0</f>
      </c>
      <c r="E1994">
        <f>76149823/10^5</f>
      </c>
      <c r="F1994">
        <f>0</f>
      </c>
      <c r="G1994">
        <f>26223587/10^5</f>
      </c>
      <c r="H1994">
        <f>0</f>
      </c>
      <c r="I1994">
        <f>-41528305/10^6</f>
      </c>
      <c r="J1994">
        <f>0</f>
      </c>
    </row>
    <row r="1995">
      <c r="A1995" t="s">
        <v>2004</v>
      </c>
      <c r="B1995" t="s">
        <v>11</v>
      </c>
      <c r="C1995">
        <f>117832328125/10^6</f>
      </c>
      <c r="D1995">
        <f>0</f>
      </c>
      <c r="E1995">
        <f>758822815/10^6</f>
      </c>
      <c r="F1995">
        <f>0</f>
      </c>
      <c r="G1995">
        <f>262529205/10^6</f>
      </c>
      <c r="H1995">
        <f>0</f>
      </c>
      <c r="I1995">
        <f>-41096237/10^6</f>
      </c>
      <c r="J1995">
        <f>0</f>
      </c>
    </row>
    <row r="1996">
      <c r="A1996" t="s">
        <v>2005</v>
      </c>
      <c r="B1996" t="s">
        <v>11</v>
      </c>
      <c r="C1996">
        <f>118477273438/10^6</f>
      </c>
      <c r="D1996">
        <f>0</f>
      </c>
      <c r="E1996">
        <f>756007507/10^6</f>
      </c>
      <c r="F1996">
        <f>0</f>
      </c>
      <c r="G1996">
        <f>262906097/10^6</f>
      </c>
      <c r="H1996">
        <f>0</f>
      </c>
      <c r="I1996">
        <f>-40601646/10^6</f>
      </c>
      <c r="J1996">
        <f>0</f>
      </c>
    </row>
    <row r="1997">
      <c r="A1997" t="s">
        <v>2006</v>
      </c>
      <c r="B1997" t="s">
        <v>11</v>
      </c>
      <c r="C1997">
        <f>119158257813/10^6</f>
      </c>
      <c r="D1997">
        <f>0</f>
      </c>
      <c r="E1997">
        <f>753166138/10^6</f>
      </c>
      <c r="F1997">
        <f>0</f>
      </c>
      <c r="G1997">
        <f>26354007/10^5</f>
      </c>
      <c r="H1997">
        <f>0</f>
      </c>
      <c r="I1997">
        <f>-39869125/10^6</f>
      </c>
      <c r="J1997">
        <f>0</f>
      </c>
    </row>
    <row r="1998">
      <c r="A1998" t="s">
        <v>2007</v>
      </c>
      <c r="B1998" t="s">
        <v>11</v>
      </c>
      <c r="C1998">
        <f>119879453125/10^6</f>
      </c>
      <c r="D1998">
        <f>0</f>
      </c>
      <c r="E1998">
        <f>749726013/10^6</f>
      </c>
      <c r="F1998">
        <f>0</f>
      </c>
      <c r="G1998">
        <f>264003479/10^6</f>
      </c>
      <c r="H1998">
        <f>0</f>
      </c>
      <c r="I1998">
        <f>-39272007/10^6</f>
      </c>
      <c r="J1998">
        <f>0</f>
      </c>
    </row>
    <row r="1999">
      <c r="A1999" t="s">
        <v>2008</v>
      </c>
      <c r="B1999" t="s">
        <v>11</v>
      </c>
      <c r="C1999">
        <f>1205880625/10^4</f>
      </c>
      <c r="D1999">
        <f>0</f>
      </c>
      <c r="E1999">
        <f>745782532/10^6</f>
      </c>
      <c r="F1999">
        <f>0</f>
      </c>
      <c r="G1999">
        <f>264394867/10^6</f>
      </c>
      <c r="H1999">
        <f>0</f>
      </c>
      <c r="I1999">
        <f>-38629631/10^6</f>
      </c>
      <c r="J1999">
        <f>0</f>
      </c>
    </row>
    <row r="2000">
      <c r="A2000" t="s">
        <v>2009</v>
      </c>
      <c r="B2000" t="s">
        <v>11</v>
      </c>
      <c r="C2000">
        <f>121279070313/10^6</f>
      </c>
      <c r="D2000">
        <f>0</f>
      </c>
      <c r="E2000">
        <f>741953369/10^6</f>
      </c>
      <c r="F2000">
        <f>0</f>
      </c>
      <c r="G2000">
        <f>26487915/10^5</f>
      </c>
      <c r="H2000">
        <f>0</f>
      </c>
      <c r="I2000">
        <f>-37944393/10^6</f>
      </c>
      <c r="J2000">
        <f>0</f>
      </c>
    </row>
    <row r="2001">
      <c r="A2001" t="s">
        <v>2010</v>
      </c>
      <c r="B2001" t="s">
        <v>11</v>
      </c>
      <c r="C2001">
        <f>121951234375/10^6</f>
      </c>
      <c r="D2001">
        <f>0</f>
      </c>
      <c r="E2001">
        <f>73796051/10^5</f>
      </c>
      <c r="F2001">
        <f>0</f>
      </c>
      <c r="G2001">
        <f>265059448/10^6</f>
      </c>
      <c r="H2001">
        <f>0</f>
      </c>
      <c r="I2001">
        <f>-37348656/10^6</f>
      </c>
      <c r="J2001">
        <f>0</f>
      </c>
    </row>
    <row r="2002">
      <c r="A2002" t="s">
        <v>2011</v>
      </c>
      <c r="B2002" t="s">
        <v>11</v>
      </c>
      <c r="C2002">
        <f>12252903125/10^5</f>
      </c>
      <c r="D2002">
        <f>0</f>
      </c>
      <c r="E2002">
        <f>733851074/10^6</f>
      </c>
      <c r="F2002">
        <f>0</f>
      </c>
      <c r="G2002">
        <f>265124084/10^6</f>
      </c>
      <c r="H2002">
        <f>0</f>
      </c>
      <c r="I2002">
        <f>-36451939/10^6</f>
      </c>
      <c r="J2002">
        <f>0</f>
      </c>
    </row>
    <row r="2003">
      <c r="A2003" t="s">
        <v>2012</v>
      </c>
      <c r="B2003" t="s">
        <v>11</v>
      </c>
      <c r="C2003">
        <f>122930070313/10^6</f>
      </c>
      <c r="D2003">
        <f>0</f>
      </c>
      <c r="E2003">
        <f>730755127/10^6</f>
      </c>
      <c r="F2003">
        <f>0</f>
      </c>
      <c r="G2003">
        <f>265201874/10^6</f>
      </c>
      <c r="H2003">
        <f>0</f>
      </c>
      <c r="I2003">
        <f>-35797619/10^6</f>
      </c>
      <c r="J2003">
        <f>0</f>
      </c>
    </row>
    <row r="2004">
      <c r="A2004" t="s">
        <v>2013</v>
      </c>
      <c r="B2004" t="s">
        <v>11</v>
      </c>
      <c r="C2004">
        <f>123181601563/10^6</f>
      </c>
      <c r="D2004">
        <f>0</f>
      </c>
      <c r="E2004">
        <f>728916809/10^6</f>
      </c>
      <c r="F2004">
        <f>0</f>
      </c>
      <c r="G2004">
        <f>265056824/10^6</f>
      </c>
      <c r="H2004">
        <f>0</f>
      </c>
      <c r="I2004">
        <f>-35556957/10^6</f>
      </c>
      <c r="J2004">
        <f>0</f>
      </c>
    </row>
    <row r="2005">
      <c r="A2005" t="s">
        <v>2014</v>
      </c>
      <c r="B2005" t="s">
        <v>11</v>
      </c>
      <c r="C2005">
        <f>123351609375/10^6</f>
      </c>
      <c r="D2005">
        <f>0</f>
      </c>
      <c r="E2005">
        <f>727632324/10^6</f>
      </c>
      <c r="F2005">
        <f>0</f>
      </c>
      <c r="G2005">
        <f>264876526/10^6</f>
      </c>
      <c r="H2005">
        <f>0</f>
      </c>
      <c r="I2005">
        <f>-35247616/10^6</f>
      </c>
      <c r="J2005">
        <f>0</f>
      </c>
    </row>
    <row r="2006">
      <c r="A2006" t="s">
        <v>2015</v>
      </c>
      <c r="B2006" t="s">
        <v>11</v>
      </c>
      <c r="C2006">
        <f>123426859375/10^6</f>
      </c>
      <c r="D2006">
        <f>0</f>
      </c>
      <c r="E2006">
        <f>726661316/10^6</f>
      </c>
      <c r="F2006">
        <f>0</f>
      </c>
      <c r="G2006">
        <f>264756653/10^6</f>
      </c>
      <c r="H2006">
        <f>0</f>
      </c>
      <c r="I2006">
        <f>-35158085/10^6</f>
      </c>
      <c r="J2006">
        <f>0</f>
      </c>
    </row>
    <row r="2007">
      <c r="A2007" t="s">
        <v>2016</v>
      </c>
      <c r="B2007" t="s">
        <v>11</v>
      </c>
      <c r="C2007">
        <f>123394757813/10^6</f>
      </c>
      <c r="D2007">
        <f>0</f>
      </c>
      <c r="E2007">
        <f>726086365/10^6</f>
      </c>
      <c r="F2007">
        <f>0</f>
      </c>
      <c r="G2007">
        <f>264610229/10^6</f>
      </c>
      <c r="H2007">
        <f>0</f>
      </c>
      <c r="I2007">
        <f>-35262344/10^6</f>
      </c>
      <c r="J2007">
        <f>0</f>
      </c>
    </row>
    <row r="2008">
      <c r="A2008" t="s">
        <v>2017</v>
      </c>
      <c r="B2008" t="s">
        <v>11</v>
      </c>
      <c r="C2008">
        <f>123295585938/10^6</f>
      </c>
      <c r="D2008">
        <f>0</f>
      </c>
      <c r="E2008">
        <f>725990295/10^6</f>
      </c>
      <c r="F2008">
        <f>0</f>
      </c>
      <c r="G2008">
        <f>264472198/10^6</f>
      </c>
      <c r="H2008">
        <f>0</f>
      </c>
      <c r="I2008">
        <f>-35312389/10^6</f>
      </c>
      <c r="J2008">
        <f>0</f>
      </c>
    </row>
    <row r="2009">
      <c r="A2009" t="s">
        <v>2018</v>
      </c>
      <c r="B2009" t="s">
        <v>11</v>
      </c>
      <c r="C2009">
        <f>123176578125/10^6</f>
      </c>
      <c r="D2009">
        <f>0</f>
      </c>
      <c r="E2009">
        <f>726289185/10^6</f>
      </c>
      <c r="F2009">
        <f>0</f>
      </c>
      <c r="G2009">
        <f>264215057/10^6</f>
      </c>
      <c r="H2009">
        <f>0</f>
      </c>
      <c r="I2009">
        <f>-35479351/10^6</f>
      </c>
      <c r="J2009">
        <f>0</f>
      </c>
    </row>
    <row r="2010">
      <c r="A2010" t="s">
        <v>2019</v>
      </c>
      <c r="B2010" t="s">
        <v>11</v>
      </c>
      <c r="C2010">
        <f>123053765625/10^6</f>
      </c>
      <c r="D2010">
        <f>0</f>
      </c>
      <c r="E2010">
        <f>72665625/10^5</f>
      </c>
      <c r="F2010">
        <f>0</f>
      </c>
      <c r="G2010">
        <f>263919525/10^6</f>
      </c>
      <c r="H2010">
        <f>0</f>
      </c>
      <c r="I2010">
        <f>-35677235/10^6</f>
      </c>
      <c r="J2010">
        <f>0</f>
      </c>
    </row>
    <row r="2011">
      <c r="A2011" t="s">
        <v>2020</v>
      </c>
      <c r="B2011" t="s">
        <v>11</v>
      </c>
      <c r="C2011">
        <f>122897695313/10^6</f>
      </c>
      <c r="D2011">
        <f>0</f>
      </c>
      <c r="E2011">
        <f>727100037/10^6</f>
      </c>
      <c r="F2011">
        <f>0</f>
      </c>
      <c r="G2011">
        <f>263757446/10^6</f>
      </c>
      <c r="H2011">
        <f>0</f>
      </c>
      <c r="I2011">
        <f>-35846249/10^6</f>
      </c>
      <c r="J2011">
        <f>0</f>
      </c>
    </row>
    <row r="2012">
      <c r="A2012" t="s">
        <v>2021</v>
      </c>
      <c r="B2012" t="s">
        <v>11</v>
      </c>
      <c r="C2012">
        <f>122708085938/10^6</f>
      </c>
      <c r="D2012">
        <f>0</f>
      </c>
      <c r="E2012">
        <f>727944336/10^6</f>
      </c>
      <c r="F2012">
        <f>0</f>
      </c>
      <c r="G2012">
        <f>26358667/10^5</f>
      </c>
      <c r="H2012">
        <f>0</f>
      </c>
      <c r="I2012">
        <f>-36055931/10^6</f>
      </c>
      <c r="J2012">
        <f>0</f>
      </c>
    </row>
    <row r="2013">
      <c r="A2013" t="s">
        <v>2022</v>
      </c>
      <c r="B2013" t="s">
        <v>11</v>
      </c>
      <c r="C2013">
        <f>122513773438/10^6</f>
      </c>
      <c r="D2013">
        <f>0</f>
      </c>
      <c r="E2013">
        <f>72912561/10^5</f>
      </c>
      <c r="F2013">
        <f>0</f>
      </c>
      <c r="G2013">
        <f>263434692/10^6</f>
      </c>
      <c r="H2013">
        <f>0</f>
      </c>
      <c r="I2013">
        <f>-36253185/10^6</f>
      </c>
      <c r="J2013">
        <f>0</f>
      </c>
    </row>
    <row r="2014">
      <c r="A2014" t="s">
        <v>2023</v>
      </c>
      <c r="B2014" t="s">
        <v>11</v>
      </c>
      <c r="C2014">
        <f>12230025/10^2</f>
      </c>
      <c r="D2014">
        <f>0</f>
      </c>
      <c r="E2014">
        <f>730191589/10^6</f>
      </c>
      <c r="F2014">
        <f>0</f>
      </c>
      <c r="G2014">
        <f>263364166/10^6</f>
      </c>
      <c r="H2014">
        <f>0</f>
      </c>
      <c r="I2014">
        <f>-36573029/10^6</f>
      </c>
      <c r="J2014">
        <f>0</f>
      </c>
    </row>
    <row r="2015">
      <c r="A2015" t="s">
        <v>2024</v>
      </c>
      <c r="B2015" t="s">
        <v>11</v>
      </c>
      <c r="C2015">
        <f>122035359375/10^6</f>
      </c>
      <c r="D2015">
        <f>0</f>
      </c>
      <c r="E2015">
        <f>731298889/10^6</f>
      </c>
      <c r="F2015">
        <f>0</f>
      </c>
      <c r="G2015">
        <f>263303345/10^6</f>
      </c>
      <c r="H2015">
        <f>0</f>
      </c>
      <c r="I2015">
        <f>-36916203/10^6</f>
      </c>
      <c r="J2015">
        <f>0</f>
      </c>
    </row>
    <row r="2016">
      <c r="A2016" t="s">
        <v>2025</v>
      </c>
      <c r="B2016" t="s">
        <v>11</v>
      </c>
      <c r="C2016">
        <f>121718679688/10^6</f>
      </c>
      <c r="D2016">
        <f>0</f>
      </c>
      <c r="E2016">
        <f>733015625/10^6</f>
      </c>
      <c r="F2016">
        <f>0</f>
      </c>
      <c r="G2016">
        <f>263214508/10^6</f>
      </c>
      <c r="H2016">
        <f>0</f>
      </c>
      <c r="I2016">
        <f>-37220917/10^6</f>
      </c>
      <c r="J2016">
        <f>0</f>
      </c>
    </row>
    <row r="2017">
      <c r="A2017" t="s">
        <v>2026</v>
      </c>
      <c r="B2017" t="s">
        <v>11</v>
      </c>
      <c r="C2017">
        <f>121388484375/10^6</f>
      </c>
      <c r="D2017">
        <f>0</f>
      </c>
      <c r="E2017">
        <f>735124084/10^6</f>
      </c>
      <c r="F2017">
        <f>0</f>
      </c>
      <c r="G2017">
        <f>263067474/10^6</f>
      </c>
      <c r="H2017">
        <f>0</f>
      </c>
      <c r="I2017">
        <f>-37628979/10^6</f>
      </c>
      <c r="J2017">
        <f>0</f>
      </c>
    </row>
    <row r="2018">
      <c r="A2018" t="s">
        <v>2027</v>
      </c>
      <c r="B2018" t="s">
        <v>11</v>
      </c>
      <c r="C2018">
        <f>121079742188/10^6</f>
      </c>
      <c r="D2018">
        <f>0</f>
      </c>
      <c r="E2018">
        <f>737118896/10^6</f>
      </c>
      <c r="F2018">
        <f>0</f>
      </c>
      <c r="G2018">
        <f>2629552/10^4</f>
      </c>
      <c r="H2018">
        <f>0</f>
      </c>
      <c r="I2018">
        <f>-37974049/10^6</f>
      </c>
      <c r="J2018">
        <f>0</f>
      </c>
    </row>
    <row r="2019">
      <c r="A2019" t="s">
        <v>2028</v>
      </c>
      <c r="B2019" t="s">
        <v>11</v>
      </c>
      <c r="C2019">
        <f>12077971875/10^5</f>
      </c>
      <c r="D2019">
        <f>0</f>
      </c>
      <c r="E2019">
        <f>738991272/10^6</f>
      </c>
      <c r="F2019">
        <f>0</f>
      </c>
      <c r="G2019">
        <f>262942535/10^6</f>
      </c>
      <c r="H2019">
        <f>0</f>
      </c>
      <c r="I2019">
        <f>-38374847/10^6</f>
      </c>
      <c r="J2019">
        <f>0</f>
      </c>
    </row>
    <row r="2020">
      <c r="A2020" t="s">
        <v>2029</v>
      </c>
      <c r="B2020" t="s">
        <v>11</v>
      </c>
      <c r="C2020">
        <f>120465992188/10^6</f>
      </c>
      <c r="D2020">
        <f>0</f>
      </c>
      <c r="E2020">
        <f>740854309/10^6</f>
      </c>
      <c r="F2020">
        <f>0</f>
      </c>
      <c r="G2020">
        <f>26296167/10^5</f>
      </c>
      <c r="H2020">
        <f>0</f>
      </c>
      <c r="I2020">
        <f>-38819767/10^6</f>
      </c>
      <c r="J2020">
        <f>0</f>
      </c>
    </row>
    <row r="2021">
      <c r="A2021" t="s">
        <v>2030</v>
      </c>
      <c r="B2021" t="s">
        <v>11</v>
      </c>
      <c r="C2021">
        <f>120132234375/10^6</f>
      </c>
      <c r="D2021">
        <f>0</f>
      </c>
      <c r="E2021">
        <f>742667297/10^6</f>
      </c>
      <c r="F2021">
        <f>0</f>
      </c>
      <c r="G2021">
        <f>262850555/10^6</f>
      </c>
      <c r="H2021">
        <f>0</f>
      </c>
      <c r="I2021">
        <f>-39165447/10^6</f>
      </c>
      <c r="J2021">
        <f>0</f>
      </c>
    </row>
    <row r="2022">
      <c r="A2022" t="s">
        <v>2031</v>
      </c>
      <c r="B2022" t="s">
        <v>11</v>
      </c>
      <c r="C2022">
        <f>11980984375/10^5</f>
      </c>
      <c r="D2022">
        <f>0</f>
      </c>
      <c r="E2022">
        <f>744429749/10^6</f>
      </c>
      <c r="F2022">
        <f>0</f>
      </c>
      <c r="G2022">
        <f>262577972/10^6</f>
      </c>
      <c r="H2022">
        <f>0</f>
      </c>
      <c r="I2022">
        <f>-39559441/10^6</f>
      </c>
      <c r="J2022">
        <f>0</f>
      </c>
    </row>
    <row r="2023">
      <c r="A2023" t="s">
        <v>2032</v>
      </c>
      <c r="B2023" t="s">
        <v>11</v>
      </c>
      <c r="C2023">
        <f>119538695313/10^6</f>
      </c>
      <c r="D2023">
        <f>0</f>
      </c>
      <c r="E2023">
        <f>746154968/10^6</f>
      </c>
      <c r="F2023">
        <f>0</f>
      </c>
      <c r="G2023">
        <f>262397003/10^6</f>
      </c>
      <c r="H2023">
        <f>0</f>
      </c>
      <c r="I2023">
        <f>-39913696/10^6</f>
      </c>
      <c r="J2023">
        <f>0</f>
      </c>
    </row>
    <row r="2024">
      <c r="A2024" t="s">
        <v>2033</v>
      </c>
      <c r="B2024" t="s">
        <v>11</v>
      </c>
      <c r="C2024">
        <f>1192615/10^1</f>
      </c>
      <c r="D2024">
        <f>0</f>
      </c>
      <c r="E2024">
        <f>747670776/10^6</f>
      </c>
      <c r="F2024">
        <f>0</f>
      </c>
      <c r="G2024">
        <f>262379578/10^6</f>
      </c>
      <c r="H2024">
        <f>0</f>
      </c>
      <c r="I2024">
        <f>-40357521/10^6</f>
      </c>
      <c r="J2024">
        <f>0</f>
      </c>
    </row>
    <row r="2025">
      <c r="A2025" t="s">
        <v>2034</v>
      </c>
      <c r="B2025" t="s">
        <v>11</v>
      </c>
      <c r="C2025">
        <f>118926828125/10^6</f>
      </c>
      <c r="D2025">
        <f>0</f>
      </c>
      <c r="E2025">
        <f>749241272/10^6</f>
      </c>
      <c r="F2025">
        <f>0</f>
      </c>
      <c r="G2025">
        <f>262381439/10^6</f>
      </c>
      <c r="H2025">
        <f>0</f>
      </c>
      <c r="I2025">
        <f>-40844013/10^6</f>
      </c>
      <c r="J2025">
        <f>0</f>
      </c>
    </row>
    <row r="2026">
      <c r="A2026" t="s">
        <v>2035</v>
      </c>
      <c r="B2026" t="s">
        <v>11</v>
      </c>
      <c r="C2026">
        <f>11858146875/10^5</f>
      </c>
      <c r="D2026">
        <f>0</f>
      </c>
      <c r="E2026">
        <f>751349121/10^6</f>
      </c>
      <c r="F2026">
        <f>0</f>
      </c>
      <c r="G2026">
        <f>262262146/10^6</f>
      </c>
      <c r="H2026">
        <f>0</f>
      </c>
      <c r="I2026">
        <f>-41222969/10^6</f>
      </c>
      <c r="J2026">
        <f>0</f>
      </c>
    </row>
    <row r="2027">
      <c r="A2027" t="s">
        <v>2036</v>
      </c>
      <c r="B2027" t="s">
        <v>11</v>
      </c>
      <c r="C2027">
        <f>118231976563/10^6</f>
      </c>
      <c r="D2027">
        <f>0</f>
      </c>
      <c r="E2027">
        <f>753699524/10^6</f>
      </c>
      <c r="F2027">
        <f>0</f>
      </c>
      <c r="G2027">
        <f>262024689/10^6</f>
      </c>
      <c r="H2027">
        <f>0</f>
      </c>
      <c r="I2027">
        <f>-41670792/10^6</f>
      </c>
      <c r="J2027">
        <f>0</f>
      </c>
    </row>
    <row r="2028">
      <c r="A2028" t="s">
        <v>2037</v>
      </c>
      <c r="B2028" t="s">
        <v>11</v>
      </c>
      <c r="C2028">
        <f>11784503125/10^5</f>
      </c>
      <c r="D2028">
        <f>0</f>
      </c>
      <c r="E2028">
        <f>755919006/10^6</f>
      </c>
      <c r="F2028">
        <f>0</f>
      </c>
      <c r="G2028">
        <f>261858154/10^6</f>
      </c>
      <c r="H2028">
        <f>0</f>
      </c>
      <c r="I2028">
        <f>-42066288/10^6</f>
      </c>
      <c r="J2028">
        <f>0</f>
      </c>
    </row>
    <row r="2029">
      <c r="A2029" t="s">
        <v>2038</v>
      </c>
      <c r="B2029" t="s">
        <v>11</v>
      </c>
      <c r="C2029">
        <f>117439257813/10^6</f>
      </c>
      <c r="D2029">
        <f>0</f>
      </c>
      <c r="E2029">
        <f>75818927/10^5</f>
      </c>
      <c r="F2029">
        <f>0</f>
      </c>
      <c r="G2029">
        <f>261739227/10^6</f>
      </c>
      <c r="H2029">
        <f>0</f>
      </c>
      <c r="I2029">
        <f>-42521797/10^6</f>
      </c>
      <c r="J2029">
        <f>0</f>
      </c>
    </row>
    <row r="2030">
      <c r="A2030" t="s">
        <v>2039</v>
      </c>
      <c r="B2030" t="s">
        <v>11</v>
      </c>
      <c r="C2030">
        <f>11704003125/10^5</f>
      </c>
      <c r="D2030">
        <f>0</f>
      </c>
      <c r="E2030">
        <f>760630737/10^6</f>
      </c>
      <c r="F2030">
        <f>0</f>
      </c>
      <c r="G2030">
        <f>261605164/10^6</f>
      </c>
      <c r="H2030">
        <f>0</f>
      </c>
      <c r="I2030">
        <f>-43012848/10^6</f>
      </c>
      <c r="J2030">
        <f>0</f>
      </c>
    </row>
    <row r="2031">
      <c r="A2031" t="s">
        <v>2040</v>
      </c>
      <c r="B2031" t="s">
        <v>11</v>
      </c>
      <c r="C2031">
        <f>116633179688/10^6</f>
      </c>
      <c r="D2031">
        <f>0</f>
      </c>
      <c r="E2031">
        <f>762858948/10^6</f>
      </c>
      <c r="F2031">
        <f>0</f>
      </c>
      <c r="G2031">
        <f>261475342/10^6</f>
      </c>
      <c r="H2031">
        <f>0</f>
      </c>
      <c r="I2031">
        <f>-43406979/10^6</f>
      </c>
      <c r="J2031">
        <f>0</f>
      </c>
    </row>
    <row r="2032">
      <c r="A2032" t="s">
        <v>2041</v>
      </c>
      <c r="B2032" t="s">
        <v>11</v>
      </c>
      <c r="C2032">
        <f>116195210938/10^6</f>
      </c>
      <c r="D2032">
        <f>0</f>
      </c>
      <c r="E2032">
        <f>765461121/10^6</f>
      </c>
      <c r="F2032">
        <f>0</f>
      </c>
      <c r="G2032">
        <f>261328491/10^6</f>
      </c>
      <c r="H2032">
        <f>0</f>
      </c>
      <c r="I2032">
        <f>-43951778/10^6</f>
      </c>
      <c r="J2032">
        <f>0</f>
      </c>
    </row>
    <row r="2033">
      <c r="A2033" t="s">
        <v>2042</v>
      </c>
      <c r="B2033" t="s">
        <v>11</v>
      </c>
      <c r="C2033">
        <f>115721648438/10^6</f>
      </c>
      <c r="D2033">
        <f>0</f>
      </c>
      <c r="E2033">
        <f>768828003/10^6</f>
      </c>
      <c r="F2033">
        <f>0</f>
      </c>
      <c r="G2033">
        <f>261179749/10^6</f>
      </c>
      <c r="H2033">
        <f>0</f>
      </c>
      <c r="I2033">
        <f>-44307255/10^6</f>
      </c>
      <c r="J2033">
        <f>0</f>
      </c>
    </row>
    <row r="2034">
      <c r="A2034" t="s">
        <v>2043</v>
      </c>
      <c r="B2034" t="s">
        <v>11</v>
      </c>
      <c r="C2034">
        <f>115314296875/10^6</f>
      </c>
      <c r="D2034">
        <f>0</f>
      </c>
      <c r="E2034">
        <f>76889917/10^5</f>
      </c>
      <c r="F2034">
        <f>0</f>
      </c>
      <c r="G2034">
        <f>260975739/10^6</f>
      </c>
      <c r="H2034">
        <f>0</f>
      </c>
      <c r="I2034">
        <f>-446133/10^4</f>
      </c>
      <c r="J2034">
        <f>0</f>
      </c>
    </row>
    <row r="2035">
      <c r="A2035" t="s">
        <v>2044</v>
      </c>
      <c r="B2035" t="s">
        <v>11</v>
      </c>
      <c r="C2035">
        <f>115124734375/10^6</f>
      </c>
      <c r="D2035">
        <f>0</f>
      </c>
      <c r="E2035">
        <f>765008545/10^6</f>
      </c>
      <c r="F2035">
        <f>0</f>
      </c>
      <c r="G2035">
        <f>260811462/10^6</f>
      </c>
      <c r="H2035">
        <f>0</f>
      </c>
      <c r="I2035">
        <f>-45212475/10^6</f>
      </c>
      <c r="J2035">
        <f>0</f>
      </c>
    </row>
    <row r="2036">
      <c r="A2036" t="s">
        <v>2045</v>
      </c>
      <c r="B2036" t="s">
        <v>11</v>
      </c>
      <c r="C2036">
        <f>11502775/10^2</f>
      </c>
      <c r="D2036">
        <f>0</f>
      </c>
      <c r="E2036">
        <f>765046631/10^6</f>
      </c>
      <c r="F2036">
        <f>0</f>
      </c>
      <c r="G2036">
        <f>260541962/10^6</f>
      </c>
      <c r="H2036">
        <f>0</f>
      </c>
      <c r="I2036">
        <f>-44803089/10^6</f>
      </c>
      <c r="J2036">
        <f>0</f>
      </c>
    </row>
    <row r="2037">
      <c r="A2037" t="s">
        <v>2046</v>
      </c>
      <c r="B2037" t="s">
        <v>11</v>
      </c>
      <c r="C2037">
        <f>114802539063/10^6</f>
      </c>
      <c r="D2037">
        <f>0</f>
      </c>
      <c r="E2037">
        <f>770111267/10^6</f>
      </c>
      <c r="F2037">
        <f>0</f>
      </c>
      <c r="G2037">
        <f>259873993/10^6</f>
      </c>
      <c r="H2037">
        <f>0</f>
      </c>
      <c r="I2037">
        <f>-43105885/10^6</f>
      </c>
      <c r="J2037">
        <f>0</f>
      </c>
    </row>
    <row r="2038">
      <c r="A2038" t="s">
        <v>2047</v>
      </c>
      <c r="B2038" t="s">
        <v>11</v>
      </c>
      <c r="C2038">
        <f>114539109375/10^6</f>
      </c>
      <c r="D2038">
        <f>0</f>
      </c>
      <c r="E2038">
        <f>773517639/10^6</f>
      </c>
      <c r="F2038">
        <f>0</f>
      </c>
      <c r="G2038">
        <f>259467194/10^6</f>
      </c>
      <c r="H2038">
        <f>0</f>
      </c>
      <c r="I2038">
        <f>-42112782/10^6</f>
      </c>
      <c r="J2038">
        <f>0</f>
      </c>
    </row>
    <row r="2039">
      <c r="A2039" t="s">
        <v>2048</v>
      </c>
      <c r="B2039" t="s">
        <v>11</v>
      </c>
      <c r="C2039">
        <f>114368289063/10^6</f>
      </c>
      <c r="D2039">
        <f>0</f>
      </c>
      <c r="E2039">
        <f>77431366/10^5</f>
      </c>
      <c r="F2039">
        <f>0</f>
      </c>
      <c r="G2039">
        <f>259826141/10^6</f>
      </c>
      <c r="H2039">
        <f>0</f>
      </c>
      <c r="I2039">
        <f>-42449646/10^6</f>
      </c>
      <c r="J2039">
        <f>0</f>
      </c>
    </row>
    <row r="2040">
      <c r="A2040" t="s">
        <v>2049</v>
      </c>
      <c r="B2040" t="s">
        <v>11</v>
      </c>
      <c r="C2040">
        <f>114247382813/10^6</f>
      </c>
      <c r="D2040">
        <f>0</f>
      </c>
      <c r="E2040">
        <f>775221008/10^6</f>
      </c>
      <c r="F2040">
        <f>0</f>
      </c>
      <c r="G2040">
        <f>260242157/10^6</f>
      </c>
      <c r="H2040">
        <f>0</f>
      </c>
      <c r="I2040">
        <f>-42843296/10^6</f>
      </c>
      <c r="J2040">
        <f>0</f>
      </c>
    </row>
    <row r="2041">
      <c r="A2041" t="s">
        <v>2050</v>
      </c>
      <c r="B2041" t="s">
        <v>11</v>
      </c>
      <c r="C2041">
        <f>114114164063/10^6</f>
      </c>
      <c r="D2041">
        <f>0</f>
      </c>
      <c r="E2041">
        <f>776935059/10^6</f>
      </c>
      <c r="F2041">
        <f>0</f>
      </c>
      <c r="G2041">
        <f>260296295/10^6</f>
      </c>
      <c r="H2041">
        <f>0</f>
      </c>
      <c r="I2041">
        <f>-4252219/10^5</f>
      </c>
      <c r="J2041">
        <f>0</f>
      </c>
    </row>
    <row r="2042">
      <c r="A2042" t="s">
        <v>2051</v>
      </c>
      <c r="B2042" t="s">
        <v>11</v>
      </c>
      <c r="C2042">
        <f>114036351563/10^6</f>
      </c>
      <c r="D2042">
        <f>0</f>
      </c>
      <c r="E2042">
        <f>7770177/10^4</f>
      </c>
      <c r="F2042">
        <f>0</f>
      </c>
      <c r="G2042">
        <f>260429749/10^6</f>
      </c>
      <c r="H2042">
        <f>0</f>
      </c>
      <c r="I2042">
        <f>-42151451/10^6</f>
      </c>
      <c r="J2042">
        <f>0</f>
      </c>
    </row>
    <row r="2043">
      <c r="A2043" t="s">
        <v>2052</v>
      </c>
      <c r="B2043" t="s">
        <v>11</v>
      </c>
      <c r="C2043">
        <f>114163148438/10^6</f>
      </c>
      <c r="D2043">
        <f>0</f>
      </c>
      <c r="E2043">
        <f>772879822/10^6</f>
      </c>
      <c r="F2043">
        <f>0</f>
      </c>
      <c r="G2043">
        <f>260547272/10^6</f>
      </c>
      <c r="H2043">
        <f>0</f>
      </c>
      <c r="I2043">
        <f>-41844425/10^6</f>
      </c>
      <c r="J2043">
        <f>0</f>
      </c>
    </row>
    <row r="2044">
      <c r="A2044" t="s">
        <v>2053</v>
      </c>
      <c r="B2044" t="s">
        <v>11</v>
      </c>
      <c r="C2044">
        <f>11438665625/10^5</f>
      </c>
      <c r="D2044">
        <f>0</f>
      </c>
      <c r="E2044">
        <f>768441467/10^6</f>
      </c>
      <c r="F2044">
        <f>0</f>
      </c>
      <c r="G2044">
        <f>259885406/10^6</f>
      </c>
      <c r="H2044">
        <f>0</f>
      </c>
      <c r="I2044">
        <f>-39990677/10^6</f>
      </c>
      <c r="J2044">
        <f>0</f>
      </c>
    </row>
    <row r="2045">
      <c r="A2045" t="s">
        <v>2054</v>
      </c>
      <c r="B2045" t="s">
        <v>11</v>
      </c>
      <c r="C2045">
        <f>11449290625/10^5</f>
      </c>
      <c r="D2045">
        <f>0</f>
      </c>
      <c r="E2045">
        <f>768387451/10^6</f>
      </c>
      <c r="F2045">
        <f>0</f>
      </c>
      <c r="G2045">
        <f>258920349/10^6</f>
      </c>
      <c r="H2045">
        <f>0</f>
      </c>
      <c r="I2045">
        <f>-37545315/10^6</f>
      </c>
      <c r="J2045">
        <f>0</f>
      </c>
    </row>
    <row r="2046">
      <c r="A2046" t="s">
        <v>2055</v>
      </c>
      <c r="B2046" t="s">
        <v>11</v>
      </c>
      <c r="C2046">
        <f>114576757813/10^6</f>
      </c>
      <c r="D2046">
        <f>0</f>
      </c>
      <c r="E2046">
        <f>770601013/10^6</f>
      </c>
      <c r="F2046">
        <f>0</f>
      </c>
      <c r="G2046">
        <f>259117218/10^6</f>
      </c>
      <c r="H2046">
        <f>0</f>
      </c>
      <c r="I2046">
        <f>-3720615/10^5</f>
      </c>
      <c r="J2046">
        <f>0</f>
      </c>
    </row>
    <row r="2047">
      <c r="A2047" t="s">
        <v>2056</v>
      </c>
      <c r="B2047" t="s">
        <v>11</v>
      </c>
      <c r="C2047">
        <f>114798164063/10^6</f>
      </c>
      <c r="D2047">
        <f>0</f>
      </c>
      <c r="E2047">
        <f>771718872/10^6</f>
      </c>
      <c r="F2047">
        <f>0</f>
      </c>
      <c r="G2047">
        <f>260115112/10^6</f>
      </c>
      <c r="H2047">
        <f>0</f>
      </c>
      <c r="I2047">
        <f>-3808839/10^5</f>
      </c>
      <c r="J2047">
        <f>0</f>
      </c>
    </row>
    <row r="2048">
      <c r="A2048" t="s">
        <v>2057</v>
      </c>
      <c r="B2048" t="s">
        <v>11</v>
      </c>
      <c r="C2048">
        <f>115126945313/10^6</f>
      </c>
      <c r="D2048">
        <f>0</f>
      </c>
      <c r="E2048">
        <f>771523254/10^6</f>
      </c>
      <c r="F2048">
        <f>0</f>
      </c>
      <c r="G2048">
        <f>260706696/10^6</f>
      </c>
      <c r="H2048">
        <f>0</f>
      </c>
      <c r="I2048">
        <f>-38359921/10^6</f>
      </c>
      <c r="J2048">
        <f>0</f>
      </c>
    </row>
    <row r="2049">
      <c r="A2049" t="s">
        <v>2058</v>
      </c>
      <c r="B2049" t="s">
        <v>11</v>
      </c>
      <c r="C2049">
        <f>115506125/10^3</f>
      </c>
      <c r="D2049">
        <f>0</f>
      </c>
      <c r="E2049">
        <f>77055249/10^5</f>
      </c>
      <c r="F2049">
        <f>0</f>
      </c>
      <c r="G2049">
        <f>261294067/10^6</f>
      </c>
      <c r="H2049">
        <f>0</f>
      </c>
      <c r="I2049">
        <f>-38358063/10^6</f>
      </c>
      <c r="J2049">
        <f>0</f>
      </c>
    </row>
    <row r="2050">
      <c r="A2050" t="s">
        <v>2059</v>
      </c>
      <c r="B2050" t="s">
        <v>11</v>
      </c>
      <c r="C2050">
        <f>115941757813/10^6</f>
      </c>
      <c r="D2050">
        <f>0</f>
      </c>
      <c r="E2050">
        <f>769003723/10^6</f>
      </c>
      <c r="F2050">
        <f>0</f>
      </c>
      <c r="G2050">
        <f>262020905/10^6</f>
      </c>
      <c r="H2050">
        <f>0</f>
      </c>
      <c r="I2050">
        <f>-38498821/10^6</f>
      </c>
      <c r="J2050">
        <f>0</f>
      </c>
    </row>
    <row r="2051">
      <c r="A2051" t="s">
        <v>2060</v>
      </c>
      <c r="B2051" t="s">
        <v>11</v>
      </c>
      <c r="C2051">
        <f>11644453125/10^5</f>
      </c>
      <c r="D2051">
        <f>0</f>
      </c>
      <c r="E2051">
        <f>767138245/10^6</f>
      </c>
      <c r="F2051">
        <f>0</f>
      </c>
      <c r="G2051">
        <f>26251825/10^5</f>
      </c>
      <c r="H2051">
        <f>0</f>
      </c>
      <c r="I2051">
        <f>-38419464/10^6</f>
      </c>
      <c r="J2051">
        <f>0</f>
      </c>
    </row>
    <row r="2052">
      <c r="A2052" t="s">
        <v>2061</v>
      </c>
      <c r="B2052" t="s">
        <v>11</v>
      </c>
      <c r="C2052">
        <f>11703140625/10^5</f>
      </c>
      <c r="D2052">
        <f>0</f>
      </c>
      <c r="E2052">
        <f>764765991/10^6</f>
      </c>
      <c r="F2052">
        <f>0</f>
      </c>
      <c r="G2052">
        <f>263036865/10^6</f>
      </c>
      <c r="H2052">
        <f>0</f>
      </c>
      <c r="I2052">
        <f>-38226883/10^6</f>
      </c>
      <c r="J2052">
        <f>0</f>
      </c>
    </row>
    <row r="2053">
      <c r="A2053" t="s">
        <v>2062</v>
      </c>
      <c r="B2053" t="s">
        <v>11</v>
      </c>
      <c r="C2053">
        <f>117740789063/10^6</f>
      </c>
      <c r="D2053">
        <f>0</f>
      </c>
      <c r="E2053">
        <f>761280273/10^6</f>
      </c>
      <c r="F2053">
        <f>0</f>
      </c>
      <c r="G2053">
        <f>263507477/10^6</f>
      </c>
      <c r="H2053">
        <f>0</f>
      </c>
      <c r="I2053">
        <f>-38031311/10^6</f>
      </c>
      <c r="J2053">
        <f>0</f>
      </c>
    </row>
    <row r="2054">
      <c r="A2054" t="s">
        <v>2063</v>
      </c>
      <c r="B2054" t="s">
        <v>11</v>
      </c>
      <c r="C2054">
        <f>118570085938/10^6</f>
      </c>
      <c r="D2054">
        <f>0</f>
      </c>
      <c r="E2054">
        <f>757006897/10^6</f>
      </c>
      <c r="F2054">
        <f>0</f>
      </c>
      <c r="G2054">
        <f>264044678/10^6</f>
      </c>
      <c r="H2054">
        <f>0</f>
      </c>
      <c r="I2054">
        <f>-37420639/10^6</f>
      </c>
      <c r="J2054">
        <f>0</f>
      </c>
    </row>
    <row r="2055">
      <c r="A2055" t="s">
        <v>2064</v>
      </c>
      <c r="B2055" t="s">
        <v>11</v>
      </c>
      <c r="C2055">
        <f>11948178125/10^5</f>
      </c>
      <c r="D2055">
        <f>0</f>
      </c>
      <c r="E2055">
        <f>752501099/10^6</f>
      </c>
      <c r="F2055">
        <f>0</f>
      </c>
      <c r="G2055">
        <f>264628906/10^6</f>
      </c>
      <c r="H2055">
        <f>0</f>
      </c>
      <c r="I2055">
        <f>-36769287/10^6</f>
      </c>
      <c r="J2055">
        <f>0</f>
      </c>
    </row>
    <row r="2056">
      <c r="A2056" t="s">
        <v>2065</v>
      </c>
      <c r="B2056" t="s">
        <v>11</v>
      </c>
      <c r="C2056">
        <f>120467492188/10^6</f>
      </c>
      <c r="D2056">
        <f>0</f>
      </c>
      <c r="E2056">
        <f>747298767/10^6</f>
      </c>
      <c r="F2056">
        <f>0</f>
      </c>
      <c r="G2056">
        <f>265020844/10^6</f>
      </c>
      <c r="H2056">
        <f>0</f>
      </c>
      <c r="I2056">
        <f>-36173176/10^6</f>
      </c>
      <c r="J2056">
        <f>0</f>
      </c>
    </row>
    <row r="2057">
      <c r="A2057" t="s">
        <v>2066</v>
      </c>
      <c r="B2057" t="s">
        <v>11</v>
      </c>
      <c r="C2057">
        <f>121495835938/10^6</f>
      </c>
      <c r="D2057">
        <f>0</f>
      </c>
      <c r="E2057">
        <f>741379089/10^6</f>
      </c>
      <c r="F2057">
        <f>0</f>
      </c>
      <c r="G2057">
        <f>265554291/10^6</f>
      </c>
      <c r="H2057">
        <f>0</f>
      </c>
      <c r="I2057">
        <f>-35245289/10^6</f>
      </c>
      <c r="J2057">
        <f>0</f>
      </c>
    </row>
    <row r="2058">
      <c r="A2058" t="s">
        <v>2067</v>
      </c>
      <c r="B2058" t="s">
        <v>11</v>
      </c>
      <c r="C2058">
        <f>1224329375/10^4</f>
      </c>
      <c r="D2058">
        <f>0</f>
      </c>
      <c r="E2058">
        <f>735761841/10^6</f>
      </c>
      <c r="F2058">
        <f>0</f>
      </c>
      <c r="G2058">
        <f>265939209/10^6</f>
      </c>
      <c r="H2058">
        <f>0</f>
      </c>
      <c r="I2058">
        <f>-34551693/10^6</f>
      </c>
      <c r="J2058">
        <f>0</f>
      </c>
    </row>
    <row r="2059">
      <c r="A2059" t="s">
        <v>2068</v>
      </c>
      <c r="B2059" t="s">
        <v>11</v>
      </c>
      <c r="C2059">
        <f>123114210938/10^6</f>
      </c>
      <c r="D2059">
        <f>0</f>
      </c>
      <c r="E2059">
        <f>731263489/10^6</f>
      </c>
      <c r="F2059">
        <f>0</f>
      </c>
      <c r="G2059">
        <f>26589566/10^5</f>
      </c>
      <c r="H2059">
        <f>0</f>
      </c>
      <c r="I2059">
        <f>-33929333/10^6</f>
      </c>
      <c r="J2059">
        <f>0</f>
      </c>
    </row>
    <row r="2060">
      <c r="A2060" t="s">
        <v>2069</v>
      </c>
      <c r="B2060" t="s">
        <v>11</v>
      </c>
      <c r="C2060">
        <f>123506828125/10^6</f>
      </c>
      <c r="D2060">
        <f>0</f>
      </c>
      <c r="E2060">
        <f>728177673/10^6</f>
      </c>
      <c r="F2060">
        <f>0</f>
      </c>
      <c r="G2060">
        <f>265869812/10^6</f>
      </c>
      <c r="H2060">
        <f>0</f>
      </c>
      <c r="I2060">
        <f>-33126507/10^6</f>
      </c>
      <c r="J2060">
        <f>0</f>
      </c>
    </row>
    <row r="2061">
      <c r="A2061" t="s">
        <v>2070</v>
      </c>
      <c r="B2061" t="s">
        <v>11</v>
      </c>
      <c r="C2061">
        <f>123722398438/10^6</f>
      </c>
      <c r="D2061">
        <f>0</f>
      </c>
      <c r="E2061">
        <f>726288269/10^6</f>
      </c>
      <c r="F2061">
        <f>0</f>
      </c>
      <c r="G2061">
        <f>265769501/10^6</f>
      </c>
      <c r="H2061">
        <f>0</f>
      </c>
      <c r="I2061">
        <f>-32929028/10^6</f>
      </c>
      <c r="J2061">
        <f>0</f>
      </c>
    </row>
    <row r="2062">
      <c r="A2062" t="s">
        <v>2071</v>
      </c>
      <c r="B2062" t="s">
        <v>11</v>
      </c>
      <c r="C2062">
        <f>123866578125/10^6</f>
      </c>
      <c r="D2062">
        <f>0</f>
      </c>
      <c r="E2062">
        <f>725014465/10^6</f>
      </c>
      <c r="F2062">
        <f>0</f>
      </c>
      <c r="G2062">
        <f>265479797/10^6</f>
      </c>
      <c r="H2062">
        <f>0</f>
      </c>
      <c r="I2062">
        <f>-33137211/10^6</f>
      </c>
      <c r="J2062">
        <f>0</f>
      </c>
    </row>
    <row r="2063">
      <c r="A2063" t="s">
        <v>2072</v>
      </c>
      <c r="B2063" t="s">
        <v>11</v>
      </c>
      <c r="C2063">
        <f>123946046875/10^6</f>
      </c>
      <c r="D2063">
        <f>0</f>
      </c>
      <c r="E2063">
        <f>724035461/10^6</f>
      </c>
      <c r="F2063">
        <f>0</f>
      </c>
      <c r="G2063">
        <f>265267639/10^6</f>
      </c>
      <c r="H2063">
        <f>0</f>
      </c>
      <c r="I2063">
        <f>-33189369/10^6</f>
      </c>
      <c r="J2063">
        <f>0</f>
      </c>
    </row>
    <row r="2064">
      <c r="A2064" t="s">
        <v>2073</v>
      </c>
      <c r="B2064" t="s">
        <v>11</v>
      </c>
      <c r="C2064">
        <f>123939453125/10^6</f>
      </c>
      <c r="D2064">
        <f>0</f>
      </c>
      <c r="E2064">
        <f>723370422/10^6</f>
      </c>
      <c r="F2064">
        <f>0</f>
      </c>
      <c r="G2064">
        <f>265036469/10^6</f>
      </c>
      <c r="H2064">
        <f>0</f>
      </c>
      <c r="I2064">
        <f>-3320578/10^5</f>
      </c>
      <c r="J2064">
        <f>0</f>
      </c>
    </row>
    <row r="2065">
      <c r="A2065" t="s">
        <v>2074</v>
      </c>
      <c r="B2065" t="s">
        <v>11</v>
      </c>
      <c r="C2065">
        <f>12386628125/10^5</f>
      </c>
      <c r="D2065">
        <f>0</f>
      </c>
      <c r="E2065">
        <f>723049988/10^6</f>
      </c>
      <c r="F2065">
        <f>0</f>
      </c>
      <c r="G2065">
        <f>2647771/10^4</f>
      </c>
      <c r="H2065">
        <f>0</f>
      </c>
      <c r="I2065">
        <f>-33229507/10^6</f>
      </c>
      <c r="J2065">
        <f>0</f>
      </c>
    </row>
    <row r="2066">
      <c r="A2066" t="s">
        <v>2075</v>
      </c>
      <c r="B2066" t="s">
        <v>11</v>
      </c>
      <c r="C2066">
        <f>123747898438/10^6</f>
      </c>
      <c r="D2066">
        <f>0</f>
      </c>
      <c r="E2066">
        <f>723077942/10^6</f>
      </c>
      <c r="F2066">
        <f>0</f>
      </c>
      <c r="G2066">
        <f>264560272/10^6</f>
      </c>
      <c r="H2066">
        <f>0</f>
      </c>
      <c r="I2066">
        <f>-33383236/10^6</f>
      </c>
      <c r="J2066">
        <f>0</f>
      </c>
    </row>
    <row r="2067">
      <c r="A2067" t="s">
        <v>2076</v>
      </c>
      <c r="B2067" t="s">
        <v>11</v>
      </c>
      <c r="C2067">
        <f>123581257813/10^6</f>
      </c>
      <c r="D2067">
        <f>0</f>
      </c>
      <c r="E2067">
        <f>723402466/10^6</f>
      </c>
      <c r="F2067">
        <f>0</f>
      </c>
      <c r="G2067">
        <f>264274872/10^6</f>
      </c>
      <c r="H2067">
        <f>0</f>
      </c>
      <c r="I2067">
        <f>-33655384/10^6</f>
      </c>
      <c r="J2067">
        <f>0</f>
      </c>
    </row>
    <row r="2068">
      <c r="A2068" t="s">
        <v>2077</v>
      </c>
      <c r="B2068" t="s">
        <v>11</v>
      </c>
      <c r="C2068">
        <f>123362984375/10^6</f>
      </c>
      <c r="D2068">
        <f>0</f>
      </c>
      <c r="E2068">
        <f>724042847/10^6</f>
      </c>
      <c r="F2068">
        <f>0</f>
      </c>
      <c r="G2068">
        <f>264043304/10^6</f>
      </c>
      <c r="H2068">
        <f>0</f>
      </c>
      <c r="I2068">
        <f>-33881451/10^6</f>
      </c>
      <c r="J2068">
        <f>0</f>
      </c>
    </row>
    <row r="2069">
      <c r="A2069" t="s">
        <v>2078</v>
      </c>
      <c r="B2069" t="s">
        <v>11</v>
      </c>
      <c r="C2069">
        <f>123114460938/10^6</f>
      </c>
      <c r="D2069">
        <f>0</f>
      </c>
      <c r="E2069">
        <f>725137817/10^6</f>
      </c>
      <c r="F2069">
        <f>0</f>
      </c>
      <c r="G2069">
        <f>263834198/10^6</f>
      </c>
      <c r="H2069">
        <f>0</f>
      </c>
      <c r="I2069">
        <f>-34262497/10^6</f>
      </c>
      <c r="J2069">
        <f>0</f>
      </c>
    </row>
    <row r="2070">
      <c r="A2070" t="s">
        <v>2079</v>
      </c>
      <c r="B2070" t="s">
        <v>11</v>
      </c>
      <c r="C2070">
        <f>122847054688/10^6</f>
      </c>
      <c r="D2070">
        <f>0</f>
      </c>
      <c r="E2070">
        <f>726558716/10^6</f>
      </c>
      <c r="F2070">
        <f>0</f>
      </c>
      <c r="G2070">
        <f>26359433/10^5</f>
      </c>
      <c r="H2070">
        <f>0</f>
      </c>
      <c r="I2070">
        <f>-34680519/10^6</f>
      </c>
      <c r="J2070">
        <f>0</f>
      </c>
    </row>
    <row r="2071">
      <c r="A2071" t="s">
        <v>2080</v>
      </c>
      <c r="B2071" t="s">
        <v>11</v>
      </c>
      <c r="C2071">
        <f>122535835938/10^6</f>
      </c>
      <c r="D2071">
        <f>0</f>
      </c>
      <c r="E2071">
        <f>72815918/10^5</f>
      </c>
      <c r="F2071">
        <f>0</f>
      </c>
      <c r="G2071">
        <f>263436523/10^6</f>
      </c>
      <c r="H2071">
        <f>0</f>
      </c>
      <c r="I2071">
        <f>-35056736/10^6</f>
      </c>
      <c r="J2071">
        <f>0</f>
      </c>
    </row>
    <row r="2072">
      <c r="A2072" t="s">
        <v>2081</v>
      </c>
      <c r="B2072" t="s">
        <v>11</v>
      </c>
      <c r="C2072">
        <f>122173921875/10^6</f>
      </c>
      <c r="D2072">
        <f>0</f>
      </c>
      <c r="E2072">
        <f>730018311/10^6</f>
      </c>
      <c r="F2072">
        <f>0</f>
      </c>
      <c r="G2072">
        <f>263298004/10^6</f>
      </c>
      <c r="H2072">
        <f>0</f>
      </c>
      <c r="I2072">
        <f>-35539387/10^6</f>
      </c>
      <c r="J2072">
        <f>0</f>
      </c>
    </row>
    <row r="2073">
      <c r="A2073" t="s">
        <v>2082</v>
      </c>
      <c r="B2073" t="s">
        <v>11</v>
      </c>
      <c r="C2073">
        <f>121781140625/10^6</f>
      </c>
      <c r="D2073">
        <f>0</f>
      </c>
      <c r="E2073">
        <f>732121155/10^6</f>
      </c>
      <c r="F2073">
        <f>0</f>
      </c>
      <c r="G2073">
        <f>263165649/10^6</f>
      </c>
      <c r="H2073">
        <f>0</f>
      </c>
      <c r="I2073">
        <f>-35965931/10^6</f>
      </c>
      <c r="J2073">
        <f>0</f>
      </c>
    </row>
    <row r="2074">
      <c r="A2074" t="s">
        <v>2083</v>
      </c>
      <c r="B2074" t="s">
        <v>11</v>
      </c>
      <c r="C2074">
        <f>121349867188/10^6</f>
      </c>
      <c r="D2074">
        <f>0</f>
      </c>
      <c r="E2074">
        <f>734466919/10^6</f>
      </c>
      <c r="F2074">
        <f>0</f>
      </c>
      <c r="G2074">
        <f>262973389/10^6</f>
      </c>
      <c r="H2074">
        <f>0</f>
      </c>
      <c r="I2074">
        <f>-36562294/10^6</f>
      </c>
      <c r="J2074">
        <f>0</f>
      </c>
    </row>
    <row r="2075">
      <c r="A2075" t="s">
        <v>2084</v>
      </c>
      <c r="B2075" t="s">
        <v>11</v>
      </c>
      <c r="C2075">
        <f>120886796875/10^6</f>
      </c>
      <c r="D2075">
        <f>0</f>
      </c>
      <c r="E2075">
        <f>737004333/10^6</f>
      </c>
      <c r="F2075">
        <f>0</f>
      </c>
      <c r="G2075">
        <f>262742615/10^6</f>
      </c>
      <c r="H2075">
        <f>0</f>
      </c>
      <c r="I2075">
        <f>-37218197/10^6</f>
      </c>
      <c r="J2075">
        <f>0</f>
      </c>
    </row>
    <row r="2076">
      <c r="A2076" t="s">
        <v>2085</v>
      </c>
      <c r="B2076" t="s">
        <v>11</v>
      </c>
      <c r="C2076">
        <f>120453578125/10^6</f>
      </c>
      <c r="D2076">
        <f>0</f>
      </c>
      <c r="E2076">
        <f>739553345/10^6</f>
      </c>
      <c r="F2076">
        <f>0</f>
      </c>
      <c r="G2076">
        <f>26263443/10^5</f>
      </c>
      <c r="H2076">
        <f>0</f>
      </c>
      <c r="I2076">
        <f>-37738224/10^6</f>
      </c>
      <c r="J2076">
        <f>0</f>
      </c>
    </row>
    <row r="2077">
      <c r="A2077" t="s">
        <v>2086</v>
      </c>
      <c r="B2077" t="s">
        <v>11</v>
      </c>
      <c r="C2077">
        <f>120032273438/10^6</f>
      </c>
      <c r="D2077">
        <f>0</f>
      </c>
      <c r="E2077">
        <f>74215918/10^5</f>
      </c>
      <c r="F2077">
        <f>0</f>
      </c>
      <c r="G2077">
        <f>262613495/10^6</f>
      </c>
      <c r="H2077">
        <f>0</f>
      </c>
      <c r="I2077">
        <f>-3837365/10^5</f>
      </c>
      <c r="J2077">
        <f>0</f>
      </c>
    </row>
    <row r="2078">
      <c r="A2078" t="s">
        <v>2087</v>
      </c>
      <c r="B2078" t="s">
        <v>11</v>
      </c>
      <c r="C2078">
        <f>119530585938/10^6</f>
      </c>
      <c r="D2078">
        <f>0</f>
      </c>
      <c r="E2078">
        <f>744942261/10^6</f>
      </c>
      <c r="F2078">
        <f>0</f>
      </c>
      <c r="G2078">
        <f>262549194/10^6</f>
      </c>
      <c r="H2078">
        <f>0</f>
      </c>
      <c r="I2078">
        <f>-38931133/10^6</f>
      </c>
      <c r="J2078">
        <f>0</f>
      </c>
    </row>
    <row r="2079">
      <c r="A2079" t="s">
        <v>2088</v>
      </c>
      <c r="B2079" t="s">
        <v>11</v>
      </c>
      <c r="C2079">
        <f>118992453125/10^6</f>
      </c>
      <c r="D2079">
        <f>0</f>
      </c>
      <c r="E2079">
        <f>747860046/10^6</f>
      </c>
      <c r="F2079">
        <f>0</f>
      </c>
      <c r="G2079">
        <f>26229599/10^5</f>
      </c>
      <c r="H2079">
        <f>0</f>
      </c>
      <c r="I2079">
        <f>-39569279/10^6</f>
      </c>
      <c r="J2079">
        <f>0</f>
      </c>
    </row>
    <row r="2080">
      <c r="A2080" t="s">
        <v>2089</v>
      </c>
      <c r="B2080" t="s">
        <v>11</v>
      </c>
      <c r="C2080">
        <f>118519757813/10^6</f>
      </c>
      <c r="D2080">
        <f>0</f>
      </c>
      <c r="E2080">
        <f>750815918/10^6</f>
      </c>
      <c r="F2080">
        <f>0</f>
      </c>
      <c r="G2080">
        <f>261999969/10^6</f>
      </c>
      <c r="H2080">
        <f>0</f>
      </c>
      <c r="I2080">
        <f>-40253979/10^6</f>
      </c>
      <c r="J2080">
        <f>0</f>
      </c>
    </row>
    <row r="2081">
      <c r="A2081" t="s">
        <v>2090</v>
      </c>
      <c r="B2081" t="s">
        <v>11</v>
      </c>
      <c r="C2081">
        <f>118081492188/10^6</f>
      </c>
      <c r="D2081">
        <f>0</f>
      </c>
      <c r="E2081">
        <f>75368158/10^5</f>
      </c>
      <c r="F2081">
        <f>0</f>
      </c>
      <c r="G2081">
        <f>261861755/10^6</f>
      </c>
      <c r="H2081">
        <f>0</f>
      </c>
      <c r="I2081">
        <f>-40826591/10^6</f>
      </c>
      <c r="J2081">
        <f>0</f>
      </c>
    </row>
    <row r="2082">
      <c r="A2082" t="s">
        <v>2091</v>
      </c>
      <c r="B2082" t="s">
        <v>11</v>
      </c>
      <c r="C2082">
        <f>117626101563/10^6</f>
      </c>
      <c r="D2082">
        <f>0</f>
      </c>
      <c r="E2082">
        <f>756307556/10^6</f>
      </c>
      <c r="F2082">
        <f>0</f>
      </c>
      <c r="G2082">
        <f>261780579/10^6</f>
      </c>
      <c r="H2082">
        <f>0</f>
      </c>
      <c r="I2082">
        <f>-41597893/10^6</f>
      </c>
      <c r="J2082">
        <f>0</f>
      </c>
    </row>
    <row r="2083">
      <c r="A2083" t="s">
        <v>2092</v>
      </c>
      <c r="B2083" t="s">
        <v>11</v>
      </c>
      <c r="C2083">
        <f>11718553125/10^5</f>
      </c>
      <c r="D2083">
        <f>0</f>
      </c>
      <c r="E2083">
        <f>758692627/10^6</f>
      </c>
      <c r="F2083">
        <f>0</f>
      </c>
      <c r="G2083">
        <f>261670654/10^6</f>
      </c>
      <c r="H2083">
        <f>0</f>
      </c>
      <c r="I2083">
        <f>-42214348/10^6</f>
      </c>
      <c r="J2083">
        <f>0</f>
      </c>
    </row>
    <row r="2084">
      <c r="A2084" t="s">
        <v>2093</v>
      </c>
      <c r="B2084" t="s">
        <v>11</v>
      </c>
      <c r="C2084">
        <f>1167673125/10^4</f>
      </c>
      <c r="D2084">
        <f>0</f>
      </c>
      <c r="E2084">
        <f>761218994/10^6</f>
      </c>
      <c r="F2084">
        <f>0</f>
      </c>
      <c r="G2084">
        <f>261443695/10^6</f>
      </c>
      <c r="H2084">
        <f>0</f>
      </c>
      <c r="I2084">
        <f>-42693268/10^6</f>
      </c>
      <c r="J2084">
        <f>0</f>
      </c>
    </row>
    <row r="2085">
      <c r="A2085" t="s">
        <v>2094</v>
      </c>
      <c r="B2085" t="s">
        <v>11</v>
      </c>
      <c r="C2085">
        <f>116317492188/10^6</f>
      </c>
      <c r="D2085">
        <f>0</f>
      </c>
      <c r="E2085">
        <f>764117432/10^6</f>
      </c>
      <c r="F2085">
        <f>0</f>
      </c>
      <c r="G2085">
        <f>261191284/10^6</f>
      </c>
      <c r="H2085">
        <f>0</f>
      </c>
      <c r="I2085">
        <f>-43227966/10^6</f>
      </c>
      <c r="J2085">
        <f>0</f>
      </c>
    </row>
    <row r="2086">
      <c r="A2086" t="s">
        <v>2095</v>
      </c>
      <c r="B2086" t="s">
        <v>11</v>
      </c>
      <c r="C2086">
        <f>115832398438/10^6</f>
      </c>
      <c r="D2086">
        <f>0</f>
      </c>
      <c r="E2086">
        <f>766768494/10^6</f>
      </c>
      <c r="F2086">
        <f>0</f>
      </c>
      <c r="G2086">
        <f>261028564/10^6</f>
      </c>
      <c r="H2086">
        <f>0</f>
      </c>
      <c r="I2086">
        <f>-43579636/10^6</f>
      </c>
      <c r="J2086">
        <f>0</f>
      </c>
    </row>
    <row r="2087">
      <c r="A2087" t="s">
        <v>2096</v>
      </c>
      <c r="B2087" t="s">
        <v>11</v>
      </c>
      <c r="C2087">
        <f>11538103125/10^5</f>
      </c>
      <c r="D2087">
        <f>0</f>
      </c>
      <c r="E2087">
        <f>768869263/10^6</f>
      </c>
      <c r="F2087">
        <f>0</f>
      </c>
      <c r="G2087">
        <f>260862/10^3</f>
      </c>
      <c r="H2087">
        <f>0</f>
      </c>
      <c r="I2087">
        <f>-43999126/10^6</f>
      </c>
      <c r="J2087">
        <f>0</f>
      </c>
    </row>
    <row r="2088">
      <c r="A2088" t="s">
        <v>2097</v>
      </c>
      <c r="B2088" t="s">
        <v>11</v>
      </c>
      <c r="C2088">
        <f>115003390625/10^6</f>
      </c>
      <c r="D2088">
        <f>0</f>
      </c>
      <c r="E2088">
        <f>770889648/10^6</f>
      </c>
      <c r="F2088">
        <f>0</f>
      </c>
      <c r="G2088">
        <f>260719513/10^6</f>
      </c>
      <c r="H2088">
        <f>0</f>
      </c>
      <c r="I2088">
        <f>-4430629/10^5</f>
      </c>
      <c r="J2088">
        <f>0</f>
      </c>
    </row>
    <row r="2089">
      <c r="A2089" t="s">
        <v>2098</v>
      </c>
      <c r="B2089" t="s">
        <v>11</v>
      </c>
      <c r="C2089">
        <f>1146835625/10^4</f>
      </c>
      <c r="D2089">
        <f>0</f>
      </c>
      <c r="E2089">
        <f>772711487/10^6</f>
      </c>
      <c r="F2089">
        <f>0</f>
      </c>
      <c r="G2089">
        <f>260477478/10^6</f>
      </c>
      <c r="H2089">
        <f>0</f>
      </c>
      <c r="I2089">
        <f>-44267269/10^6</f>
      </c>
      <c r="J2089">
        <f>0</f>
      </c>
    </row>
    <row r="2090">
      <c r="A2090" t="s">
        <v>2099</v>
      </c>
      <c r="B2090" t="s">
        <v>11</v>
      </c>
      <c r="C2090">
        <f>1144495/10^1</f>
      </c>
      <c r="D2090">
        <f>0</f>
      </c>
      <c r="E2090">
        <f>774004028/10^6</f>
      </c>
      <c r="F2090">
        <f>0</f>
      </c>
      <c r="G2090">
        <f>260149017/10^6</f>
      </c>
      <c r="H2090">
        <f>0</f>
      </c>
      <c r="I2090">
        <f>-44255882/10^6</f>
      </c>
      <c r="J2090">
        <f>0</f>
      </c>
    </row>
    <row r="2091">
      <c r="A2091" t="s">
        <v>2100</v>
      </c>
      <c r="B2091" t="s">
        <v>11</v>
      </c>
      <c r="C2091">
        <f>114364023438/10^6</f>
      </c>
      <c r="D2091">
        <f>0</f>
      </c>
      <c r="E2091">
        <f>774785217/10^6</f>
      </c>
      <c r="F2091">
        <f>0</f>
      </c>
      <c r="G2091">
        <f>260133575/10^6</f>
      </c>
      <c r="H2091">
        <f>0</f>
      </c>
      <c r="I2091">
        <f>-44135235/10^6</f>
      </c>
      <c r="J2091">
        <f>0</f>
      </c>
    </row>
    <row r="2092">
      <c r="A2092" t="s">
        <v>2101</v>
      </c>
      <c r="B2092" t="s">
        <v>11</v>
      </c>
      <c r="C2092">
        <f>114370578125/10^6</f>
      </c>
      <c r="D2092">
        <f>0</f>
      </c>
      <c r="E2092">
        <f>775096741/10^6</f>
      </c>
      <c r="F2092">
        <f>0</f>
      </c>
      <c r="G2092">
        <f>260384338/10^6</f>
      </c>
      <c r="H2092">
        <f>0</f>
      </c>
      <c r="I2092">
        <f>-43770138/10^6</f>
      </c>
      <c r="J2092">
        <f>0</f>
      </c>
    </row>
    <row r="2093">
      <c r="A2093" t="s">
        <v>2102</v>
      </c>
      <c r="B2093" t="s">
        <v>11</v>
      </c>
      <c r="C2093">
        <f>114337734375/10^6</f>
      </c>
      <c r="D2093">
        <f>0</f>
      </c>
      <c r="E2093">
        <f>775403259/10^6</f>
      </c>
      <c r="F2093">
        <f>0</f>
      </c>
      <c r="G2093">
        <f>260486481/10^6</f>
      </c>
      <c r="H2093">
        <f>0</f>
      </c>
      <c r="I2093">
        <f>-43500923/10^6</f>
      </c>
      <c r="J2093">
        <f>0</f>
      </c>
    </row>
    <row r="2094">
      <c r="A2094" t="s">
        <v>2103</v>
      </c>
      <c r="B2094" t="s">
        <v>11</v>
      </c>
      <c r="C2094">
        <f>114237328125/10^6</f>
      </c>
      <c r="D2094">
        <f>0</f>
      </c>
      <c r="E2094">
        <f>77581488/10^5</f>
      </c>
      <c r="F2094">
        <f>0</f>
      </c>
      <c r="G2094">
        <f>260412598/10^6</f>
      </c>
      <c r="H2094">
        <f>0</f>
      </c>
      <c r="I2094">
        <f>-43407841/10^6</f>
      </c>
      <c r="J2094">
        <f>0</f>
      </c>
    </row>
    <row r="2095">
      <c r="A2095" t="s">
        <v>2104</v>
      </c>
      <c r="B2095" t="s">
        <v>11</v>
      </c>
      <c r="C2095">
        <f>114130757813/10^6</f>
      </c>
      <c r="D2095">
        <f>0</f>
      </c>
      <c r="E2095">
        <f>775559204/10^6</f>
      </c>
      <c r="F2095">
        <f>0</f>
      </c>
      <c r="G2095">
        <f>260378174/10^6</f>
      </c>
      <c r="H2095">
        <f>0</f>
      </c>
      <c r="I2095">
        <f>-43393032/10^6</f>
      </c>
      <c r="J2095">
        <f>0</f>
      </c>
    </row>
    <row r="2096">
      <c r="A2096" t="s">
        <v>2105</v>
      </c>
      <c r="B2096" t="s">
        <v>11</v>
      </c>
      <c r="C2096">
        <f>114075007813/10^6</f>
      </c>
      <c r="D2096">
        <f>0</f>
      </c>
      <c r="E2096">
        <f>774857788/10^6</f>
      </c>
      <c r="F2096">
        <f>0</f>
      </c>
      <c r="G2096">
        <f>260269623/10^6</f>
      </c>
      <c r="H2096">
        <f>0</f>
      </c>
      <c r="I2096">
        <f>-43036835/10^6</f>
      </c>
      <c r="J2096">
        <f>0</f>
      </c>
    </row>
    <row r="2097">
      <c r="A2097" t="s">
        <v>2106</v>
      </c>
      <c r="B2097" t="s">
        <v>11</v>
      </c>
      <c r="C2097">
        <f>114056445313/10^6</f>
      </c>
      <c r="D2097">
        <f>0</f>
      </c>
      <c r="E2097">
        <f>774817261/10^6</f>
      </c>
      <c r="F2097">
        <f>0</f>
      </c>
      <c r="G2097">
        <f>259983246/10^6</f>
      </c>
      <c r="H2097">
        <f>0</f>
      </c>
      <c r="I2097">
        <f>-42180313/10^6</f>
      </c>
      <c r="J2097">
        <f>0</f>
      </c>
    </row>
    <row r="2098">
      <c r="A2098" t="s">
        <v>2107</v>
      </c>
      <c r="B2098" t="s">
        <v>11</v>
      </c>
      <c r="C2098">
        <f>114018210938/10^6</f>
      </c>
      <c r="D2098">
        <f>0</f>
      </c>
      <c r="E2098">
        <f>77520575/10^5</f>
      </c>
      <c r="F2098">
        <f>0</f>
      </c>
      <c r="G2098">
        <f>259792389/10^6</f>
      </c>
      <c r="H2098">
        <f>0</f>
      </c>
      <c r="I2098">
        <f>-41632198/10^6</f>
      </c>
      <c r="J2098">
        <f>0</f>
      </c>
    </row>
    <row r="2099">
      <c r="A2099" t="s">
        <v>2108</v>
      </c>
      <c r="B2099" t="s">
        <v>11</v>
      </c>
      <c r="C2099">
        <f>113947304688/10^6</f>
      </c>
      <c r="D2099">
        <f>0</f>
      </c>
      <c r="E2099">
        <f>775343872/10^6</f>
      </c>
      <c r="F2099">
        <f>0</f>
      </c>
      <c r="G2099">
        <f>259769318/10^6</f>
      </c>
      <c r="H2099">
        <f>0</f>
      </c>
      <c r="I2099">
        <f>-41569366/10^6</f>
      </c>
      <c r="J2099">
        <f>0</f>
      </c>
    </row>
    <row r="2100">
      <c r="A2100" t="s">
        <v>2109</v>
      </c>
      <c r="B2100" t="s">
        <v>11</v>
      </c>
      <c r="C2100">
        <f>113851375/10^3</f>
      </c>
      <c r="D2100">
        <f>0</f>
      </c>
      <c r="E2100">
        <f>775430176/10^6</f>
      </c>
      <c r="F2100">
        <f>0</f>
      </c>
      <c r="G2100">
        <f>259760925/10^6</f>
      </c>
      <c r="H2100">
        <f>0</f>
      </c>
      <c r="I2100">
        <f>-41476841/10^6</f>
      </c>
      <c r="J2100">
        <f>0</f>
      </c>
    </row>
    <row r="2101">
      <c r="A2101" t="s">
        <v>2110</v>
      </c>
      <c r="B2101" t="s">
        <v>11</v>
      </c>
      <c r="C2101">
        <f>113770539063/10^6</f>
      </c>
      <c r="D2101">
        <f>0</f>
      </c>
      <c r="E2101">
        <f>775598206/10^6</f>
      </c>
      <c r="F2101">
        <f>0</f>
      </c>
      <c r="G2101">
        <f>259695526/10^6</f>
      </c>
      <c r="H2101">
        <f>0</f>
      </c>
      <c r="I2101">
        <f>-41354244/10^6</f>
      </c>
      <c r="J2101">
        <f>0</f>
      </c>
    </row>
    <row r="2102">
      <c r="A2102" t="s">
        <v>2111</v>
      </c>
      <c r="B2102" t="s">
        <v>11</v>
      </c>
      <c r="C2102">
        <f>11378978125/10^5</f>
      </c>
      <c r="D2102">
        <f>0</f>
      </c>
      <c r="E2102">
        <f>775674438/10^6</f>
      </c>
      <c r="F2102">
        <f>0</f>
      </c>
      <c r="G2102">
        <f>259490448/10^6</f>
      </c>
      <c r="H2102">
        <f>0</f>
      </c>
      <c r="I2102">
        <f>-41299301/10^6</f>
      </c>
      <c r="J2102">
        <f>0</f>
      </c>
    </row>
    <row r="2103">
      <c r="A2103" t="s">
        <v>2112</v>
      </c>
      <c r="B2103" t="s">
        <v>11</v>
      </c>
      <c r="C2103">
        <f>11392915625/10^5</f>
      </c>
      <c r="D2103">
        <f>0</f>
      </c>
      <c r="E2103">
        <f>775481201/10^6</f>
      </c>
      <c r="F2103">
        <f>0</f>
      </c>
      <c r="G2103">
        <f>259392792/10^6</f>
      </c>
      <c r="H2103">
        <f>0</f>
      </c>
      <c r="I2103">
        <f>-41220001/10^6</f>
      </c>
      <c r="J2103">
        <f>0</f>
      </c>
    </row>
    <row r="2104">
      <c r="A2104" t="s">
        <v>2113</v>
      </c>
      <c r="B2104" t="s">
        <v>11</v>
      </c>
      <c r="C2104">
        <f>114121/10^0</f>
      </c>
      <c r="D2104">
        <f>0</f>
      </c>
      <c r="E2104">
        <f>774802551/10^6</f>
      </c>
      <c r="F2104">
        <f>0</f>
      </c>
      <c r="G2104">
        <f>259693634/10^6</f>
      </c>
      <c r="H2104">
        <f>0</f>
      </c>
      <c r="I2104">
        <f>-41017002/10^6</f>
      </c>
      <c r="J2104">
        <f>0</f>
      </c>
    </row>
    <row r="2105">
      <c r="A2105" t="s">
        <v>2114</v>
      </c>
      <c r="B2105" t="s">
        <v>11</v>
      </c>
      <c r="C2105">
        <f>114310117188/10^6</f>
      </c>
      <c r="D2105">
        <f>0</f>
      </c>
      <c r="E2105">
        <f>773664978/10^6</f>
      </c>
      <c r="F2105">
        <f>0</f>
      </c>
      <c r="G2105">
        <f>260038513/10^6</f>
      </c>
      <c r="H2105">
        <f>0</f>
      </c>
      <c r="I2105">
        <f>-4081076/10^5</f>
      </c>
      <c r="J2105">
        <f>0</f>
      </c>
    </row>
    <row r="2106">
      <c r="A2106" t="s">
        <v>2115</v>
      </c>
      <c r="B2106" t="s">
        <v>11</v>
      </c>
      <c r="C2106">
        <f>11451615625/10^5</f>
      </c>
      <c r="D2106">
        <f>0</f>
      </c>
      <c r="E2106">
        <f>772372498/10^6</f>
      </c>
      <c r="F2106">
        <f>0</f>
      </c>
      <c r="G2106">
        <f>260208649/10^6</f>
      </c>
      <c r="H2106">
        <f>0</f>
      </c>
      <c r="I2106">
        <f>-40599781/10^6</f>
      </c>
      <c r="J2106">
        <f>0</f>
      </c>
    </row>
    <row r="2107">
      <c r="A2107" t="s">
        <v>2116</v>
      </c>
      <c r="B2107" t="s">
        <v>11</v>
      </c>
      <c r="C2107">
        <f>114780617188/10^6</f>
      </c>
      <c r="D2107">
        <f>0</f>
      </c>
      <c r="E2107">
        <f>771082703/10^6</f>
      </c>
      <c r="F2107">
        <f>0</f>
      </c>
      <c r="G2107">
        <f>260404205/10^6</f>
      </c>
      <c r="H2107">
        <f>0</f>
      </c>
      <c r="I2107">
        <f>-40275558/10^6</f>
      </c>
      <c r="J2107">
        <f>0</f>
      </c>
    </row>
    <row r="2108">
      <c r="A2108" t="s">
        <v>2117</v>
      </c>
      <c r="B2108" t="s">
        <v>11</v>
      </c>
      <c r="C2108">
        <f>115099898438/10^6</f>
      </c>
      <c r="D2108">
        <f>0</f>
      </c>
      <c r="E2108">
        <f>769595276/10^6</f>
      </c>
      <c r="F2108">
        <f>0</f>
      </c>
      <c r="G2108">
        <f>260581055/10^6</f>
      </c>
      <c r="H2108">
        <f>0</f>
      </c>
      <c r="I2108">
        <f>-40021095/10^6</f>
      </c>
      <c r="J2108">
        <f>0</f>
      </c>
    </row>
    <row r="2109">
      <c r="A2109" t="s">
        <v>2118</v>
      </c>
      <c r="B2109" t="s">
        <v>11</v>
      </c>
      <c r="C2109">
        <f>115413554688/10^6</f>
      </c>
      <c r="D2109">
        <f>0</f>
      </c>
      <c r="E2109">
        <f>767864502/10^6</f>
      </c>
      <c r="F2109">
        <f>0</f>
      </c>
      <c r="G2109">
        <f>260746246/10^6</f>
      </c>
      <c r="H2109">
        <f>0</f>
      </c>
      <c r="I2109">
        <f>-39755116/10^6</f>
      </c>
      <c r="J2109">
        <f>0</f>
      </c>
    </row>
    <row r="2110">
      <c r="A2110" t="s">
        <v>2119</v>
      </c>
      <c r="B2110" t="s">
        <v>11</v>
      </c>
      <c r="C2110">
        <f>115655703125/10^6</f>
      </c>
      <c r="D2110">
        <f>0</f>
      </c>
      <c r="E2110">
        <f>766340332/10^6</f>
      </c>
      <c r="F2110">
        <f>0</f>
      </c>
      <c r="G2110">
        <f>260940002/10^6</f>
      </c>
      <c r="H2110">
        <f>0</f>
      </c>
      <c r="I2110">
        <f>-39442913/10^6</f>
      </c>
      <c r="J2110">
        <f>0</f>
      </c>
    </row>
    <row r="2111">
      <c r="A2111" t="s">
        <v>2120</v>
      </c>
      <c r="B2111" t="s">
        <v>11</v>
      </c>
      <c r="C2111">
        <f>115845179688/10^6</f>
      </c>
      <c r="D2111">
        <f>0</f>
      </c>
      <c r="E2111">
        <f>765204285/10^6</f>
      </c>
      <c r="F2111">
        <f>0</f>
      </c>
      <c r="G2111">
        <f>261070435/10^6</f>
      </c>
      <c r="H2111">
        <f>0</f>
      </c>
      <c r="I2111">
        <f>-3926194/10^5</f>
      </c>
      <c r="J2111">
        <f>0</f>
      </c>
    </row>
    <row r="2112">
      <c r="A2112" t="s">
        <v>2121</v>
      </c>
      <c r="B2112" t="s">
        <v>11</v>
      </c>
      <c r="C2112">
        <f>116059960938/10^6</f>
      </c>
      <c r="D2112">
        <f>0</f>
      </c>
      <c r="E2112">
        <f>764194641/10^6</f>
      </c>
      <c r="F2112">
        <f>0</f>
      </c>
      <c r="G2112">
        <f>261105255/10^6</f>
      </c>
      <c r="H2112">
        <f>0</f>
      </c>
      <c r="I2112">
        <f>-39112366/10^6</f>
      </c>
      <c r="J2112">
        <f>0</f>
      </c>
    </row>
    <row r="2113">
      <c r="A2113" t="s">
        <v>2122</v>
      </c>
      <c r="B2113" t="s">
        <v>11</v>
      </c>
      <c r="C2113">
        <f>116350546875/10^6</f>
      </c>
      <c r="D2113">
        <f>0</f>
      </c>
      <c r="E2113">
        <f>763328308/10^6</f>
      </c>
      <c r="F2113">
        <f>0</f>
      </c>
      <c r="G2113">
        <f>26121051/10^5</f>
      </c>
      <c r="H2113">
        <f>0</f>
      </c>
      <c r="I2113">
        <f>-38956127/10^6</f>
      </c>
      <c r="J2113">
        <f>0</f>
      </c>
    </row>
    <row r="2114">
      <c r="A2114" t="s">
        <v>2123</v>
      </c>
      <c r="B2114" t="s">
        <v>11</v>
      </c>
      <c r="C2114">
        <f>116731398438/10^6</f>
      </c>
      <c r="D2114">
        <f>0</f>
      </c>
      <c r="E2114">
        <f>762454285/10^6</f>
      </c>
      <c r="F2114">
        <f>0</f>
      </c>
      <c r="G2114">
        <f>261653931/10^6</f>
      </c>
      <c r="H2114">
        <f>0</f>
      </c>
      <c r="I2114">
        <f>-38794765/10^6</f>
      </c>
      <c r="J2114">
        <f>0</f>
      </c>
    </row>
    <row r="2115">
      <c r="A2115" t="s">
        <v>2124</v>
      </c>
      <c r="B2115" t="s">
        <v>11</v>
      </c>
      <c r="C2115">
        <f>117174484375/10^6</f>
      </c>
      <c r="D2115">
        <f>0</f>
      </c>
      <c r="E2115">
        <f>761056335/10^6</f>
      </c>
      <c r="F2115">
        <f>0</f>
      </c>
      <c r="G2115">
        <f>262125183/10^6</f>
      </c>
      <c r="H2115">
        <f>0</f>
      </c>
      <c r="I2115">
        <f>-38639339/10^6</f>
      </c>
      <c r="J2115">
        <f>0</f>
      </c>
    </row>
    <row r="2116">
      <c r="A2116" t="s">
        <v>2125</v>
      </c>
      <c r="B2116" t="s">
        <v>11</v>
      </c>
      <c r="C2116">
        <f>117643453125/10^6</f>
      </c>
      <c r="D2116">
        <f>0</f>
      </c>
      <c r="E2116">
        <f>759236938/10^6</f>
      </c>
      <c r="F2116">
        <f>0</f>
      </c>
      <c r="G2116">
        <f>262512939/10^6</f>
      </c>
      <c r="H2116">
        <f>0</f>
      </c>
      <c r="I2116">
        <f>-38438389/10^6</f>
      </c>
      <c r="J2116">
        <f>0</f>
      </c>
    </row>
    <row r="2117">
      <c r="A2117" t="s">
        <v>2126</v>
      </c>
      <c r="B2117" t="s">
        <v>11</v>
      </c>
      <c r="C2117">
        <f>118161179688/10^6</f>
      </c>
      <c r="D2117">
        <f>0</f>
      </c>
      <c r="E2117">
        <f>757242126/10^6</f>
      </c>
      <c r="F2117">
        <f>0</f>
      </c>
      <c r="G2117">
        <f>263080353/10^6</f>
      </c>
      <c r="H2117">
        <f>0</f>
      </c>
      <c r="I2117">
        <f>-38160168/10^6</f>
      </c>
      <c r="J2117">
        <f>0</f>
      </c>
    </row>
    <row r="2118">
      <c r="A2118" t="s">
        <v>2127</v>
      </c>
      <c r="B2118" t="s">
        <v>11</v>
      </c>
      <c r="C2118">
        <f>118766148438/10^6</f>
      </c>
      <c r="D2118">
        <f>0</f>
      </c>
      <c r="E2118">
        <f>754629517/10^6</f>
      </c>
      <c r="F2118">
        <f>0</f>
      </c>
      <c r="G2118">
        <f>263529388/10^6</f>
      </c>
      <c r="H2118">
        <f>0</f>
      </c>
      <c r="I2118">
        <f>-3791296/10^5</f>
      </c>
      <c r="J2118">
        <f>0</f>
      </c>
    </row>
    <row r="2119">
      <c r="A2119" t="s">
        <v>2128</v>
      </c>
      <c r="B2119" t="s">
        <v>11</v>
      </c>
      <c r="C2119">
        <f>119429804688/10^6</f>
      </c>
      <c r="D2119">
        <f>0</f>
      </c>
      <c r="E2119">
        <f>751276001/10^6</f>
      </c>
      <c r="F2119">
        <f>0</f>
      </c>
      <c r="G2119">
        <f>263942749/10^6</f>
      </c>
      <c r="H2119">
        <f>0</f>
      </c>
      <c r="I2119">
        <f>-3754932/10^5</f>
      </c>
      <c r="J2119">
        <f>0</f>
      </c>
    </row>
    <row r="2120">
      <c r="A2120" t="s">
        <v>2129</v>
      </c>
      <c r="B2120" t="s">
        <v>11</v>
      </c>
      <c r="C2120">
        <f>120087164063/10^6</f>
      </c>
      <c r="D2120">
        <f>0</f>
      </c>
      <c r="E2120">
        <f>747592285/10^6</f>
      </c>
      <c r="F2120">
        <f>0</f>
      </c>
      <c r="G2120">
        <f>264427094/10^6</f>
      </c>
      <c r="H2120">
        <f>0</f>
      </c>
      <c r="I2120">
        <f>-37170589/10^6</f>
      </c>
      <c r="J2120">
        <f>0</f>
      </c>
    </row>
    <row r="2121">
      <c r="A2121" t="s">
        <v>2130</v>
      </c>
      <c r="B2121" t="s">
        <v>11</v>
      </c>
      <c r="C2121">
        <f>120716546875/10^6</f>
      </c>
      <c r="D2121">
        <f>0</f>
      </c>
      <c r="E2121">
        <f>743936707/10^6</f>
      </c>
      <c r="F2121">
        <f>0</f>
      </c>
      <c r="G2121">
        <f>264682556/10^6</f>
      </c>
      <c r="H2121">
        <f>0</f>
      </c>
      <c r="I2121">
        <f>-36790421/10^6</f>
      </c>
      <c r="J2121">
        <f>0</f>
      </c>
    </row>
    <row r="2122">
      <c r="A2122" t="s">
        <v>2131</v>
      </c>
      <c r="B2122" t="s">
        <v>11</v>
      </c>
      <c r="C2122">
        <f>121327453125/10^6</f>
      </c>
      <c r="D2122">
        <f>0</f>
      </c>
      <c r="E2122">
        <f>740584351/10^6</f>
      </c>
      <c r="F2122">
        <f>0</f>
      </c>
      <c r="G2122">
        <f>264896759/10^6</f>
      </c>
      <c r="H2122">
        <f>0</f>
      </c>
      <c r="I2122">
        <f>-362117/10^4</f>
      </c>
      <c r="J2122">
        <f>0</f>
      </c>
    </row>
    <row r="2123">
      <c r="A2123" t="s">
        <v>2132</v>
      </c>
      <c r="B2123" t="s">
        <v>11</v>
      </c>
      <c r="C2123">
        <f>12190309375/10^5</f>
      </c>
      <c r="D2123">
        <f>0</f>
      </c>
      <c r="E2123">
        <f>737306641/10^6</f>
      </c>
      <c r="F2123">
        <f>0</f>
      </c>
      <c r="G2123">
        <f>265081696/10^6</f>
      </c>
      <c r="H2123">
        <f>0</f>
      </c>
      <c r="I2123">
        <f>-35773102/10^6</f>
      </c>
      <c r="J2123">
        <f>0</f>
      </c>
    </row>
    <row r="2124">
      <c r="A2124" t="s">
        <v>2133</v>
      </c>
      <c r="B2124" t="s">
        <v>11</v>
      </c>
      <c r="C2124">
        <f>122384546875/10^6</f>
      </c>
      <c r="D2124">
        <f>0</f>
      </c>
      <c r="E2124">
        <f>734095886/10^6</f>
      </c>
      <c r="F2124">
        <f>0</f>
      </c>
      <c r="G2124">
        <f>265138336/10^6</f>
      </c>
      <c r="H2124">
        <f>0</f>
      </c>
      <c r="I2124">
        <f>-3536758/10^5</f>
      </c>
      <c r="J2124">
        <f>0</f>
      </c>
    </row>
    <row r="2125">
      <c r="A2125" t="s">
        <v>2134</v>
      </c>
      <c r="B2125" t="s">
        <v>11</v>
      </c>
      <c r="C2125">
        <f>122718875/10^3</f>
      </c>
      <c r="D2125">
        <f>0</f>
      </c>
      <c r="E2125">
        <f>731612061/10^6</f>
      </c>
      <c r="F2125">
        <f>0</f>
      </c>
      <c r="G2125">
        <f>265223297/10^6</f>
      </c>
      <c r="H2125">
        <f>0</f>
      </c>
      <c r="I2125">
        <f>-34870392/10^6</f>
      </c>
      <c r="J2125">
        <f>0</f>
      </c>
    </row>
    <row r="2126">
      <c r="A2126" t="s">
        <v>2135</v>
      </c>
      <c r="B2126" t="s">
        <v>11</v>
      </c>
      <c r="C2126">
        <f>122942421875/10^6</f>
      </c>
      <c r="D2126">
        <f>0</f>
      </c>
      <c r="E2126">
        <f>729923828/10^6</f>
      </c>
      <c r="F2126">
        <f>0</f>
      </c>
      <c r="G2126">
        <f>265162933/10^6</f>
      </c>
      <c r="H2126">
        <f>0</f>
      </c>
      <c r="I2126">
        <f>-3469775/10^5</f>
      </c>
      <c r="J2126">
        <f>0</f>
      </c>
    </row>
    <row r="2127">
      <c r="A2127" t="s">
        <v>2136</v>
      </c>
      <c r="B2127" t="s">
        <v>11</v>
      </c>
      <c r="C2127">
        <f>123090273438/10^6</f>
      </c>
      <c r="D2127">
        <f>0</f>
      </c>
      <c r="E2127">
        <f>728770569/10^6</f>
      </c>
      <c r="F2127">
        <f>0</f>
      </c>
      <c r="G2127">
        <f>264943085/10^6</f>
      </c>
      <c r="H2127">
        <f>0</f>
      </c>
      <c r="I2127">
        <f>-34632935/10^6</f>
      </c>
      <c r="J2127">
        <f>0</f>
      </c>
    </row>
    <row r="2128">
      <c r="A2128" t="s">
        <v>2137</v>
      </c>
      <c r="B2128" t="s">
        <v>11</v>
      </c>
      <c r="C2128">
        <f>123113695313/10^6</f>
      </c>
      <c r="D2128">
        <f>0</f>
      </c>
      <c r="E2128">
        <f>728242981/10^6</f>
      </c>
      <c r="F2128">
        <f>0</f>
      </c>
      <c r="G2128">
        <f>264794617/10^6</f>
      </c>
      <c r="H2128">
        <f>0</f>
      </c>
      <c r="I2128">
        <f>-34567223/10^6</f>
      </c>
      <c r="J2128">
        <f>0</f>
      </c>
    </row>
    <row r="2129">
      <c r="A2129" t="s">
        <v>2138</v>
      </c>
      <c r="B2129" t="s">
        <v>11</v>
      </c>
      <c r="C2129">
        <f>123027617188/10^6</f>
      </c>
      <c r="D2129">
        <f>0</f>
      </c>
      <c r="E2129">
        <f>728233948/10^6</f>
      </c>
      <c r="F2129">
        <f>0</f>
      </c>
      <c r="G2129">
        <f>264610107/10^6</f>
      </c>
      <c r="H2129">
        <f>0</f>
      </c>
      <c r="I2129">
        <f>-34789581/10^6</f>
      </c>
      <c r="J2129">
        <f>0</f>
      </c>
    </row>
    <row r="2130">
      <c r="A2130" t="s">
        <v>2139</v>
      </c>
      <c r="B2130" t="s">
        <v>11</v>
      </c>
      <c r="C2130">
        <f>12290175/10^2</f>
      </c>
      <c r="D2130">
        <f>0</f>
      </c>
      <c r="E2130">
        <f>728491699/10^6</f>
      </c>
      <c r="F2130">
        <f>0</f>
      </c>
      <c r="G2130">
        <f>264391357/10^6</f>
      </c>
      <c r="H2130">
        <f>0</f>
      </c>
      <c r="I2130">
        <f>-35043617/10^6</f>
      </c>
      <c r="J2130">
        <f>0</f>
      </c>
    </row>
    <row r="2131">
      <c r="A2131" t="s">
        <v>2140</v>
      </c>
      <c r="B2131" t="s">
        <v>11</v>
      </c>
      <c r="C2131">
        <f>122743914063/10^6</f>
      </c>
      <c r="D2131">
        <f>0</f>
      </c>
      <c r="E2131">
        <f>728990173/10^6</f>
      </c>
      <c r="F2131">
        <f>0</f>
      </c>
      <c r="G2131">
        <f>264244568/10^6</f>
      </c>
      <c r="H2131">
        <f>0</f>
      </c>
      <c r="I2131">
        <f>-35253414/10^6</f>
      </c>
      <c r="J2131">
        <f>0</f>
      </c>
    </row>
    <row r="2132">
      <c r="A2132" t="s">
        <v>2141</v>
      </c>
      <c r="B2132" t="s">
        <v>11</v>
      </c>
      <c r="C2132">
        <f>122555929688/10^6</f>
      </c>
      <c r="D2132">
        <f>0</f>
      </c>
      <c r="E2132">
        <f>729691711/10^6</f>
      </c>
      <c r="F2132">
        <f>0</f>
      </c>
      <c r="G2132">
        <f>264085175/10^6</f>
      </c>
      <c r="H2132">
        <f>0</f>
      </c>
      <c r="I2132">
        <f>-35572613/10^6</f>
      </c>
      <c r="J2132">
        <f>0</f>
      </c>
    </row>
    <row r="2133">
      <c r="A2133" t="s">
        <v>2142</v>
      </c>
      <c r="B2133" t="s">
        <v>11</v>
      </c>
      <c r="C2133">
        <f>122354765625/10^6</f>
      </c>
      <c r="D2133">
        <f>0</f>
      </c>
      <c r="E2133">
        <f>730475281/10^6</f>
      </c>
      <c r="F2133">
        <f>0</f>
      </c>
      <c r="G2133">
        <f>263942413/10^6</f>
      </c>
      <c r="H2133">
        <f>0</f>
      </c>
      <c r="I2133">
        <f>-35840267/10^6</f>
      </c>
      <c r="J2133">
        <f>0</f>
      </c>
    </row>
    <row r="2134">
      <c r="A2134" t="s">
        <v>2143</v>
      </c>
      <c r="B2134" t="s">
        <v>11</v>
      </c>
      <c r="C2134">
        <f>122139625/10^3</f>
      </c>
      <c r="D2134">
        <f>0</f>
      </c>
      <c r="E2134">
        <f>731426025/10^6</f>
      </c>
      <c r="F2134">
        <f>0</f>
      </c>
      <c r="G2134">
        <f>263793365/10^6</f>
      </c>
      <c r="H2134">
        <f>0</f>
      </c>
      <c r="I2134">
        <f>-36133518/10^6</f>
      </c>
      <c r="J2134">
        <f>0</f>
      </c>
    </row>
    <row r="2135">
      <c r="A2135" t="s">
        <v>2144</v>
      </c>
      <c r="B2135" t="s">
        <v>11</v>
      </c>
      <c r="C2135">
        <f>1219065/10^1</f>
      </c>
      <c r="D2135">
        <f>0</f>
      </c>
      <c r="E2135">
        <f>732713135/10^6</f>
      </c>
      <c r="F2135">
        <f>0</f>
      </c>
      <c r="G2135">
        <f>26363031/10^5</f>
      </c>
      <c r="H2135">
        <f>0</f>
      </c>
      <c r="I2135">
        <f>-36449604/10^6</f>
      </c>
      <c r="J2135">
        <f>0</f>
      </c>
    </row>
    <row r="2136">
      <c r="A2136" t="s">
        <v>2145</v>
      </c>
      <c r="B2136" t="s">
        <v>11</v>
      </c>
      <c r="C2136">
        <f>121638984375/10^6</f>
      </c>
      <c r="D2136">
        <f>0</f>
      </c>
      <c r="E2136">
        <f>734231018/10^6</f>
      </c>
      <c r="F2136">
        <f>0</f>
      </c>
      <c r="G2136">
        <f>263506775/10^6</f>
      </c>
      <c r="H2136">
        <f>0</f>
      </c>
      <c r="I2136">
        <f>-3674519/10^5</f>
      </c>
      <c r="J2136">
        <f>0</f>
      </c>
    </row>
    <row r="2137">
      <c r="A2137" t="s">
        <v>2146</v>
      </c>
      <c r="B2137" t="s">
        <v>11</v>
      </c>
      <c r="C2137">
        <f>121322445313/10^6</f>
      </c>
      <c r="D2137">
        <f>0</f>
      </c>
      <c r="E2137">
        <f>735839844/10^6</f>
      </c>
      <c r="F2137">
        <f>0</f>
      </c>
      <c r="G2137">
        <f>263369232/10^6</f>
      </c>
      <c r="H2137">
        <f>0</f>
      </c>
      <c r="I2137">
        <f>-37115337/10^6</f>
      </c>
      <c r="J2137">
        <f>0</f>
      </c>
    </row>
    <row r="2138">
      <c r="A2138" t="s">
        <v>2147</v>
      </c>
      <c r="B2138" t="s">
        <v>11</v>
      </c>
      <c r="C2138">
        <f>120962898438/10^6</f>
      </c>
      <c r="D2138">
        <f>0</f>
      </c>
      <c r="E2138">
        <f>737595093/10^6</f>
      </c>
      <c r="F2138">
        <f>0</f>
      </c>
      <c r="G2138">
        <f>263247253/10^6</f>
      </c>
      <c r="H2138">
        <f>0</f>
      </c>
      <c r="I2138">
        <f>-37447575/10^6</f>
      </c>
      <c r="J2138">
        <f>0</f>
      </c>
    </row>
    <row r="2139">
      <c r="A2139" t="s">
        <v>2148</v>
      </c>
      <c r="B2139" t="s">
        <v>11</v>
      </c>
      <c r="C2139">
        <f>120573992188/10^6</f>
      </c>
      <c r="D2139">
        <f>0</f>
      </c>
      <c r="E2139">
        <f>739692627/10^6</f>
      </c>
      <c r="F2139">
        <f>0</f>
      </c>
      <c r="G2139">
        <f>26310498/10^5</f>
      </c>
      <c r="H2139">
        <f>0</f>
      </c>
      <c r="I2139">
        <f>-37884556/10^6</f>
      </c>
      <c r="J2139">
        <f>0</f>
      </c>
    </row>
    <row r="2140">
      <c r="A2140" t="s">
        <v>2149</v>
      </c>
      <c r="B2140" t="s">
        <v>11</v>
      </c>
      <c r="C2140">
        <f>120190742188/10^6</f>
      </c>
      <c r="D2140">
        <f>0</f>
      </c>
      <c r="E2140">
        <f>742115906/10^6</f>
      </c>
      <c r="F2140">
        <f>0</f>
      </c>
      <c r="G2140">
        <f>26294574/10^5</f>
      </c>
      <c r="H2140">
        <f>0</f>
      </c>
      <c r="I2140">
        <f>-38339699/10^6</f>
      </c>
      <c r="J2140">
        <f>0</f>
      </c>
    </row>
    <row r="2141">
      <c r="A2141" t="s">
        <v>2150</v>
      </c>
      <c r="B2141" t="s">
        <v>11</v>
      </c>
      <c r="C2141">
        <f>11981396875/10^5</f>
      </c>
      <c r="D2141">
        <f>0</f>
      </c>
      <c r="E2141">
        <f>744439026/10^6</f>
      </c>
      <c r="F2141">
        <f>0</f>
      </c>
      <c r="G2141">
        <f>262833191/10^6</f>
      </c>
      <c r="H2141">
        <f>0</f>
      </c>
      <c r="I2141">
        <f>-38781494/10^6</f>
      </c>
      <c r="J2141">
        <f>0</f>
      </c>
    </row>
    <row r="2142">
      <c r="A2142" t="s">
        <v>2151</v>
      </c>
      <c r="B2142" t="s">
        <v>11</v>
      </c>
      <c r="C2142">
        <f>119409898438/10^6</f>
      </c>
      <c r="D2142">
        <f>0</f>
      </c>
      <c r="E2142">
        <f>746659119/10^6</f>
      </c>
      <c r="F2142">
        <f>0</f>
      </c>
      <c r="G2142">
        <f>262720581/10^6</f>
      </c>
      <c r="H2142">
        <f>0</f>
      </c>
      <c r="I2142">
        <f>-39435902/10^6</f>
      </c>
      <c r="J2142">
        <f>0</f>
      </c>
    </row>
    <row r="2143">
      <c r="A2143" t="s">
        <v>2152</v>
      </c>
      <c r="B2143" t="s">
        <v>11</v>
      </c>
      <c r="C2143">
        <f>119005046875/10^6</f>
      </c>
      <c r="D2143">
        <f>0</f>
      </c>
      <c r="E2143">
        <f>749127991/10^6</f>
      </c>
      <c r="F2143">
        <f>0</f>
      </c>
      <c r="G2143">
        <f>262610474/10^6</f>
      </c>
      <c r="H2143">
        <f>0</f>
      </c>
      <c r="I2143">
        <f>-39961586/10^6</f>
      </c>
      <c r="J2143">
        <f>0</f>
      </c>
    </row>
    <row r="2144">
      <c r="A2144" t="s">
        <v>2153</v>
      </c>
      <c r="B2144" t="s">
        <v>11</v>
      </c>
      <c r="C2144">
        <f>118598664063/10^6</f>
      </c>
      <c r="D2144">
        <f>0</f>
      </c>
      <c r="E2144">
        <f>751647705/10^6</f>
      </c>
      <c r="F2144">
        <f>0</f>
      </c>
      <c r="G2144">
        <f>262459747/10^6</f>
      </c>
      <c r="H2144">
        <f>0</f>
      </c>
      <c r="I2144">
        <f>-40373215/10^6</f>
      </c>
      <c r="J2144">
        <f>0</f>
      </c>
    </row>
    <row r="2145">
      <c r="A2145" t="s">
        <v>2154</v>
      </c>
      <c r="B2145" t="s">
        <v>11</v>
      </c>
      <c r="C2145">
        <f>11815603125/10^5</f>
      </c>
      <c r="D2145">
        <f>0</f>
      </c>
      <c r="E2145">
        <f>754082947/10^6</f>
      </c>
      <c r="F2145">
        <f>0</f>
      </c>
      <c r="G2145">
        <f>262301575/10^6</f>
      </c>
      <c r="H2145">
        <f>0</f>
      </c>
      <c r="I2145">
        <f>-40793739/10^6</f>
      </c>
      <c r="J2145">
        <f>0</f>
      </c>
    </row>
    <row r="2146">
      <c r="A2146" t="s">
        <v>2155</v>
      </c>
      <c r="B2146" t="s">
        <v>11</v>
      </c>
      <c r="C2146">
        <f>11772078125/10^5</f>
      </c>
      <c r="D2146">
        <f>0</f>
      </c>
      <c r="E2146">
        <f>756650024/10^6</f>
      </c>
      <c r="F2146">
        <f>0</f>
      </c>
      <c r="G2146">
        <f>262156464/10^6</f>
      </c>
      <c r="H2146">
        <f>0</f>
      </c>
      <c r="I2146">
        <f>-41264893/10^6</f>
      </c>
      <c r="J2146">
        <f>0</f>
      </c>
    </row>
    <row r="2147">
      <c r="A2147" t="s">
        <v>2156</v>
      </c>
      <c r="B2147" t="s">
        <v>11</v>
      </c>
      <c r="C2147">
        <f>117310257813/10^6</f>
      </c>
      <c r="D2147">
        <f>0</f>
      </c>
      <c r="E2147">
        <f>759203918/10^6</f>
      </c>
      <c r="F2147">
        <f>0</f>
      </c>
      <c r="G2147">
        <f>261959473/10^6</f>
      </c>
      <c r="H2147">
        <f>0</f>
      </c>
      <c r="I2147">
        <f>-41962292/10^6</f>
      </c>
      <c r="J2147">
        <f>0</f>
      </c>
    </row>
    <row r="2148">
      <c r="A2148" t="s">
        <v>2157</v>
      </c>
      <c r="B2148" t="s">
        <v>11</v>
      </c>
      <c r="C2148">
        <f>116876898438/10^6</f>
      </c>
      <c r="D2148">
        <f>0</f>
      </c>
      <c r="E2148">
        <f>761642639/10^6</f>
      </c>
      <c r="F2148">
        <f>0</f>
      </c>
      <c r="G2148">
        <f>261792816/10^6</f>
      </c>
      <c r="H2148">
        <f>0</f>
      </c>
      <c r="I2148">
        <f>-42506084/10^6</f>
      </c>
      <c r="J2148">
        <f>0</f>
      </c>
    </row>
    <row r="2149">
      <c r="A2149" t="s">
        <v>2158</v>
      </c>
      <c r="B2149" t="s">
        <v>11</v>
      </c>
      <c r="C2149">
        <f>116404765625/10^6</f>
      </c>
      <c r="D2149">
        <f>0</f>
      </c>
      <c r="E2149">
        <f>764203369/10^6</f>
      </c>
      <c r="F2149">
        <f>0</f>
      </c>
      <c r="G2149">
        <f>261619812/10^6</f>
      </c>
      <c r="H2149">
        <f>0</f>
      </c>
      <c r="I2149">
        <f>-42965511/10^6</f>
      </c>
      <c r="J2149">
        <f>0</f>
      </c>
    </row>
    <row r="2150">
      <c r="A2150" t="s">
        <v>2159</v>
      </c>
      <c r="B2150" t="s">
        <v>11</v>
      </c>
      <c r="C2150">
        <f>115915351563/10^6</f>
      </c>
      <c r="D2150">
        <f>0</f>
      </c>
      <c r="E2150">
        <f>767035339/10^6</f>
      </c>
      <c r="F2150">
        <f>0</f>
      </c>
      <c r="G2150">
        <f>26143335/10^5</f>
      </c>
      <c r="H2150">
        <f>0</f>
      </c>
      <c r="I2150">
        <f>-43455868/10^6</f>
      </c>
      <c r="J2150">
        <f>0</f>
      </c>
    </row>
    <row r="2151">
      <c r="A2151" t="s">
        <v>2160</v>
      </c>
      <c r="B2151" t="s">
        <v>11</v>
      </c>
      <c r="C2151">
        <f>115442078125/10^6</f>
      </c>
      <c r="D2151">
        <f>0</f>
      </c>
      <c r="E2151">
        <f>770200562/10^6</f>
      </c>
      <c r="F2151">
        <f>0</f>
      </c>
      <c r="G2151">
        <f>26124472/10^5</f>
      </c>
      <c r="H2151">
        <f>0</f>
      </c>
      <c r="I2151">
        <f>-43800003/10^6</f>
      </c>
      <c r="J2151">
        <f>0</f>
      </c>
    </row>
    <row r="2152">
      <c r="A2152" t="s">
        <v>2161</v>
      </c>
      <c r="B2152" t="s">
        <v>11</v>
      </c>
      <c r="C2152">
        <f>115035/10^0</f>
      </c>
      <c r="D2152">
        <f>0</f>
      </c>
      <c r="E2152">
        <f>772222717/10^6</f>
      </c>
      <c r="F2152">
        <f>0</f>
      </c>
      <c r="G2152">
        <f>261024811/10^6</f>
      </c>
      <c r="H2152">
        <f>0</f>
      </c>
      <c r="I2152">
        <f>-4441972/10^5</f>
      </c>
      <c r="J2152">
        <f>0</f>
      </c>
    </row>
    <row r="2153">
      <c r="A2153" t="s">
        <v>2162</v>
      </c>
      <c r="B2153" t="s">
        <v>11</v>
      </c>
      <c r="C2153">
        <f>114752625/10^3</f>
      </c>
      <c r="D2153">
        <f>0</f>
      </c>
      <c r="E2153">
        <f>771743225/10^6</f>
      </c>
      <c r="F2153">
        <f>0</f>
      </c>
      <c r="G2153">
        <f>260844055/10^6</f>
      </c>
      <c r="H2153">
        <f>0</f>
      </c>
      <c r="I2153">
        <f>-44824867/10^6</f>
      </c>
      <c r="J2153">
        <f>0</f>
      </c>
    </row>
    <row r="2154">
      <c r="A2154" t="s">
        <v>2163</v>
      </c>
      <c r="B2154" t="s">
        <v>11</v>
      </c>
      <c r="C2154">
        <f>114570320313/10^6</f>
      </c>
      <c r="D2154">
        <f>0</f>
      </c>
      <c r="E2154">
        <f>771522705/10^6</f>
      </c>
      <c r="F2154">
        <f>0</f>
      </c>
      <c r="G2154">
        <f>260425262/10^6</f>
      </c>
      <c r="H2154">
        <f>0</f>
      </c>
      <c r="I2154">
        <f>-44146442/10^6</f>
      </c>
      <c r="J2154">
        <f>0</f>
      </c>
    </row>
    <row r="2155">
      <c r="A2155" t="s">
        <v>2164</v>
      </c>
      <c r="B2155" t="s">
        <v>11</v>
      </c>
      <c r="C2155">
        <f>114370796875/10^6</f>
      </c>
      <c r="D2155">
        <f>0</f>
      </c>
      <c r="E2155">
        <f>773864624/10^6</f>
      </c>
      <c r="F2155">
        <f>0</f>
      </c>
      <c r="G2155">
        <f>259868439/10^6</f>
      </c>
      <c r="H2155">
        <f>0</f>
      </c>
      <c r="I2155">
        <f>-43237797/10^6</f>
      </c>
      <c r="J2155">
        <f>0</f>
      </c>
    </row>
    <row r="2156">
      <c r="A2156" t="s">
        <v>2165</v>
      </c>
      <c r="B2156" t="s">
        <v>11</v>
      </c>
      <c r="C2156">
        <f>11415765625/10^5</f>
      </c>
      <c r="D2156">
        <f>0</f>
      </c>
      <c r="E2156">
        <f>776582031/10^6</f>
      </c>
      <c r="F2156">
        <f>0</f>
      </c>
      <c r="G2156">
        <f>259817291/10^6</f>
      </c>
      <c r="H2156">
        <f>0</f>
      </c>
      <c r="I2156">
        <f>-43133202/10^6</f>
      </c>
      <c r="J2156">
        <f>0</f>
      </c>
    </row>
    <row r="2157">
      <c r="A2157" t="s">
        <v>2166</v>
      </c>
      <c r="B2157" t="s">
        <v>11</v>
      </c>
      <c r="C2157">
        <f>11407509375/10^5</f>
      </c>
      <c r="D2157">
        <f>0</f>
      </c>
      <c r="E2157">
        <f>777319336/10^6</f>
      </c>
      <c r="F2157">
        <f>0</f>
      </c>
      <c r="G2157">
        <f>260116516/10^6</f>
      </c>
      <c r="H2157">
        <f>0</f>
      </c>
      <c r="I2157">
        <f>-43604019/10^6</f>
      </c>
      <c r="J2157">
        <f>0</f>
      </c>
    </row>
    <row r="2158">
      <c r="A2158" t="s">
        <v>2167</v>
      </c>
      <c r="B2158" t="s">
        <v>11</v>
      </c>
      <c r="C2158">
        <f>114067390625/10^6</f>
      </c>
      <c r="D2158">
        <f>0</f>
      </c>
      <c r="E2158">
        <f>777340088/10^6</f>
      </c>
      <c r="F2158">
        <f>0</f>
      </c>
      <c r="G2158">
        <f>260192017/10^6</f>
      </c>
      <c r="H2158">
        <f>0</f>
      </c>
      <c r="I2158">
        <f>-43649727/10^6</f>
      </c>
      <c r="J2158">
        <f>0</f>
      </c>
    </row>
    <row r="2159">
      <c r="A2159" t="s">
        <v>2168</v>
      </c>
      <c r="B2159" t="s">
        <v>11</v>
      </c>
      <c r="C2159">
        <f>113959820313/10^6</f>
      </c>
      <c r="D2159">
        <f>0</f>
      </c>
      <c r="E2159">
        <f>777807678/10^6</f>
      </c>
      <c r="F2159">
        <f>0</f>
      </c>
      <c r="G2159">
        <f>260256256/10^6</f>
      </c>
      <c r="H2159">
        <f>0</f>
      </c>
      <c r="I2159">
        <f>-42927139/10^6</f>
      </c>
      <c r="J2159">
        <f>0</f>
      </c>
    </row>
    <row r="2160">
      <c r="A2160" t="s">
        <v>2169</v>
      </c>
      <c r="B2160" t="s">
        <v>11</v>
      </c>
      <c r="C2160">
        <f>113898320313/10^6</f>
      </c>
      <c r="D2160">
        <f>0</f>
      </c>
      <c r="E2160">
        <f>775262573/10^6</f>
      </c>
      <c r="F2160">
        <f>0</f>
      </c>
      <c r="G2160">
        <f>26055127/10^5</f>
      </c>
      <c r="H2160">
        <f>0</f>
      </c>
      <c r="I2160">
        <f>-42390751/10^6</f>
      </c>
      <c r="J2160">
        <f>0</f>
      </c>
    </row>
    <row r="2161">
      <c r="A2161" t="s">
        <v>2170</v>
      </c>
      <c r="B2161" t="s">
        <v>11</v>
      </c>
      <c r="C2161">
        <f>114032265625/10^6</f>
      </c>
      <c r="D2161">
        <f>0</f>
      </c>
      <c r="E2161">
        <f>769552979/10^6</f>
      </c>
      <c r="F2161">
        <f>0</f>
      </c>
      <c r="G2161">
        <f>260146729/10^6</f>
      </c>
      <c r="H2161">
        <f>0</f>
      </c>
      <c r="I2161">
        <f>-41381454/10^6</f>
      </c>
      <c r="J2161">
        <f>0</f>
      </c>
    </row>
    <row r="2162">
      <c r="A2162" t="s">
        <v>2171</v>
      </c>
      <c r="B2162" t="s">
        <v>11</v>
      </c>
      <c r="C2162">
        <f>114173070313/10^6</f>
      </c>
      <c r="D2162">
        <f>0</f>
      </c>
      <c r="E2162">
        <f>766160889/10^6</f>
      </c>
      <c r="F2162">
        <f>0</f>
      </c>
      <c r="G2162">
        <f>258728882/10^6</f>
      </c>
      <c r="H2162">
        <f>0</f>
      </c>
      <c r="I2162">
        <f>-38946709/10^6</f>
      </c>
      <c r="J2162">
        <f>0</f>
      </c>
    </row>
    <row r="2163">
      <c r="A2163" t="s">
        <v>2172</v>
      </c>
      <c r="B2163" t="s">
        <v>11</v>
      </c>
      <c r="C2163">
        <f>11425603125/10^5</f>
      </c>
      <c r="D2163">
        <f>0</f>
      </c>
      <c r="E2163">
        <f>766132019/10^6</f>
      </c>
      <c r="F2163">
        <f>0</f>
      </c>
      <c r="G2163">
        <f>257934937/10^6</f>
      </c>
      <c r="H2163">
        <f>0</f>
      </c>
      <c r="I2163">
        <f>-37403915/10^6</f>
      </c>
      <c r="J2163">
        <f>0</f>
      </c>
    </row>
    <row r="2164">
      <c r="A2164" t="s">
        <v>2173</v>
      </c>
      <c r="B2164" t="s">
        <v>11</v>
      </c>
      <c r="C2164">
        <f>114393445313/10^6</f>
      </c>
      <c r="D2164">
        <f>0</f>
      </c>
      <c r="E2164">
        <f>767276001/10^6</f>
      </c>
      <c r="F2164">
        <f>0</f>
      </c>
      <c r="G2164">
        <f>25827124/10^5</f>
      </c>
      <c r="H2164">
        <f>0</f>
      </c>
      <c r="I2164">
        <f>-37687943/10^6</f>
      </c>
      <c r="J2164">
        <f>0</f>
      </c>
    </row>
    <row r="2165">
      <c r="A2165" t="s">
        <v>2174</v>
      </c>
      <c r="B2165" t="s">
        <v>11</v>
      </c>
      <c r="C2165">
        <f>11455696875/10^5</f>
      </c>
      <c r="D2165">
        <f>0</f>
      </c>
      <c r="E2165">
        <f>768638794/10^6</f>
      </c>
      <c r="F2165">
        <f>0</f>
      </c>
      <c r="G2165">
        <f>258541718/10^6</f>
      </c>
      <c r="H2165">
        <f>0</f>
      </c>
      <c r="I2165">
        <f>-37935192/10^6</f>
      </c>
      <c r="J2165">
        <f>0</f>
      </c>
    </row>
    <row r="2166">
      <c r="A2166" t="s">
        <v>2175</v>
      </c>
      <c r="B2166" t="s">
        <v>11</v>
      </c>
      <c r="C2166">
        <f>114724929688/10^6</f>
      </c>
      <c r="D2166">
        <f>0</f>
      </c>
      <c r="E2166">
        <f>769360596/10^6</f>
      </c>
      <c r="F2166">
        <f>0</f>
      </c>
      <c r="G2166">
        <f>258880188/10^6</f>
      </c>
      <c r="H2166">
        <f>0</f>
      </c>
      <c r="I2166">
        <f>-37997578/10^6</f>
      </c>
      <c r="J2166">
        <f>0</f>
      </c>
    </row>
    <row r="2167">
      <c r="A2167" t="s">
        <v>2176</v>
      </c>
      <c r="B2167" t="s">
        <v>11</v>
      </c>
      <c r="C2167">
        <f>114963890625/10^6</f>
      </c>
      <c r="D2167">
        <f>0</f>
      </c>
      <c r="E2167">
        <f>769397766/10^6</f>
      </c>
      <c r="F2167">
        <f>0</f>
      </c>
      <c r="G2167">
        <f>259635132/10^6</f>
      </c>
      <c r="H2167">
        <f>0</f>
      </c>
      <c r="I2167">
        <f>-38459599/10^6</f>
      </c>
      <c r="J2167">
        <f>0</f>
      </c>
    </row>
    <row r="2168">
      <c r="A2168" t="s">
        <v>2177</v>
      </c>
      <c r="B2168" t="s">
        <v>11</v>
      </c>
      <c r="C2168">
        <f>11527353125/10^5</f>
      </c>
      <c r="D2168">
        <f>0</f>
      </c>
      <c r="E2168">
        <f>769110229/10^6</f>
      </c>
      <c r="F2168">
        <f>0</f>
      </c>
      <c r="G2168">
        <f>260207367/10^6</f>
      </c>
      <c r="H2168">
        <f>0</f>
      </c>
      <c r="I2168">
        <f>-3875045/10^5</f>
      </c>
      <c r="J2168">
        <f>0</f>
      </c>
    </row>
    <row r="2169">
      <c r="A2169" t="s">
        <v>2178</v>
      </c>
      <c r="B2169" t="s">
        <v>11</v>
      </c>
      <c r="C2169">
        <f>115587578125/10^6</f>
      </c>
      <c r="D2169">
        <f>0</f>
      </c>
      <c r="E2169">
        <f>768482056/10^6</f>
      </c>
      <c r="F2169">
        <f>0</f>
      </c>
      <c r="G2169">
        <f>260820374/10^6</f>
      </c>
      <c r="H2169">
        <f>0</f>
      </c>
      <c r="I2169">
        <f>-3857653/10^5</f>
      </c>
      <c r="J2169">
        <f>0</f>
      </c>
    </row>
    <row r="2170">
      <c r="A2170" t="s">
        <v>2179</v>
      </c>
      <c r="B2170" t="s">
        <v>11</v>
      </c>
      <c r="C2170">
        <f>115903992188/10^6</f>
      </c>
      <c r="D2170">
        <f>0</f>
      </c>
      <c r="E2170">
        <f>767792908/10^6</f>
      </c>
      <c r="F2170">
        <f>0</f>
      </c>
      <c r="G2170">
        <f>26152124/10^5</f>
      </c>
      <c r="H2170">
        <f>0</f>
      </c>
      <c r="I2170">
        <f>-38363262/10^6</f>
      </c>
      <c r="J2170">
        <f>0</f>
      </c>
    </row>
    <row r="2171">
      <c r="A2171" t="s">
        <v>2180</v>
      </c>
      <c r="B2171" t="s">
        <v>11</v>
      </c>
      <c r="C2171">
        <f>116286296875/10^6</f>
      </c>
      <c r="D2171">
        <f>0</f>
      </c>
      <c r="E2171">
        <f>76700293/10^5</f>
      </c>
      <c r="F2171">
        <f>0</f>
      </c>
      <c r="G2171">
        <f>262029327/10^6</f>
      </c>
      <c r="H2171">
        <f>0</f>
      </c>
      <c r="I2171">
        <f>-38320793/10^6</f>
      </c>
      <c r="J2171">
        <f>0</f>
      </c>
    </row>
    <row r="2172">
      <c r="A2172" t="s">
        <v>2181</v>
      </c>
      <c r="B2172" t="s">
        <v>11</v>
      </c>
      <c r="C2172">
        <f>116747507813/10^6</f>
      </c>
      <c r="D2172">
        <f>0</f>
      </c>
      <c r="E2172">
        <f>765507507/10^6</f>
      </c>
      <c r="F2172">
        <f>0</f>
      </c>
      <c r="G2172">
        <f>262613892/10^6</f>
      </c>
      <c r="H2172">
        <f>0</f>
      </c>
      <c r="I2172">
        <f>-38373894/10^6</f>
      </c>
      <c r="J2172">
        <f>0</f>
      </c>
    </row>
    <row r="2173">
      <c r="A2173" t="s">
        <v>2182</v>
      </c>
      <c r="B2173" t="s">
        <v>11</v>
      </c>
      <c r="C2173">
        <f>11727946875/10^5</f>
      </c>
      <c r="D2173">
        <f>0</f>
      </c>
      <c r="E2173">
        <f>763180542/10^6</f>
      </c>
      <c r="F2173">
        <f>0</f>
      </c>
      <c r="G2173">
        <f>263116302/10^6</f>
      </c>
      <c r="H2173">
        <f>0</f>
      </c>
      <c r="I2173">
        <f>-38332855/10^6</f>
      </c>
      <c r="J2173">
        <f>0</f>
      </c>
    </row>
    <row r="2174">
      <c r="A2174" t="s">
        <v>2183</v>
      </c>
      <c r="B2174" t="s">
        <v>11</v>
      </c>
      <c r="C2174">
        <f>117907242188/10^6</f>
      </c>
      <c r="D2174">
        <f>0</f>
      </c>
      <c r="E2174">
        <f>76032605/10^5</f>
      </c>
      <c r="F2174">
        <f>0</f>
      </c>
      <c r="G2174">
        <f>26359967/10^5</f>
      </c>
      <c r="H2174">
        <f>0</f>
      </c>
      <c r="I2174">
        <f>-38032097/10^6</f>
      </c>
      <c r="J2174">
        <f>0</f>
      </c>
    </row>
    <row r="2175">
      <c r="A2175" t="s">
        <v>2184</v>
      </c>
      <c r="B2175" t="s">
        <v>11</v>
      </c>
      <c r="C2175">
        <f>11861228125/10^5</f>
      </c>
      <c r="D2175">
        <f>0</f>
      </c>
      <c r="E2175">
        <f>75697821/10^5</f>
      </c>
      <c r="F2175">
        <f>0</f>
      </c>
      <c r="G2175">
        <f>26413559/10^5</f>
      </c>
      <c r="H2175">
        <f>0</f>
      </c>
      <c r="I2175">
        <f>-37747662/10^6</f>
      </c>
      <c r="J2175">
        <f>0</f>
      </c>
    </row>
    <row r="2176">
      <c r="A2176" t="s">
        <v>2185</v>
      </c>
      <c r="B2176" t="s">
        <v>11</v>
      </c>
      <c r="C2176">
        <f>119333773438/10^6</f>
      </c>
      <c r="D2176">
        <f>0</f>
      </c>
      <c r="E2176">
        <f>753160583/10^6</f>
      </c>
      <c r="F2176">
        <f>0</f>
      </c>
      <c r="G2176">
        <f>264497833/10^6</f>
      </c>
      <c r="H2176">
        <f>0</f>
      </c>
      <c r="I2176">
        <f>-37373432/10^6</f>
      </c>
      <c r="J2176">
        <f>0</f>
      </c>
    </row>
    <row r="2177">
      <c r="A2177" t="s">
        <v>2186</v>
      </c>
      <c r="B2177" t="s">
        <v>11</v>
      </c>
      <c r="C2177">
        <f>120062007813/10^6</f>
      </c>
      <c r="D2177">
        <f>0</f>
      </c>
      <c r="E2177">
        <f>749099182/10^6</f>
      </c>
      <c r="F2177">
        <f>0</f>
      </c>
      <c r="G2177">
        <f>264910248/10^6</f>
      </c>
      <c r="H2177">
        <f>0</f>
      </c>
      <c r="I2177">
        <f>-36744087/10^6</f>
      </c>
      <c r="J2177">
        <f>0</f>
      </c>
    </row>
    <row r="2178">
      <c r="A2178" t="s">
        <v>2187</v>
      </c>
      <c r="B2178" t="s">
        <v>11</v>
      </c>
      <c r="C2178">
        <f>1208135/10^1</f>
      </c>
      <c r="D2178">
        <f>0</f>
      </c>
      <c r="E2178">
        <f>744905029/10^6</f>
      </c>
      <c r="F2178">
        <f>0</f>
      </c>
      <c r="G2178">
        <f>265235321/10^6</f>
      </c>
      <c r="H2178">
        <f>0</f>
      </c>
      <c r="I2178">
        <f>-3625848/10^5</f>
      </c>
      <c r="J2178">
        <f>0</f>
      </c>
    </row>
    <row r="2179">
      <c r="A2179" t="s">
        <v>2188</v>
      </c>
      <c r="B2179" t="s">
        <v>11</v>
      </c>
      <c r="C2179">
        <f>121554125/10^3</f>
      </c>
      <c r="D2179">
        <f>0</f>
      </c>
      <c r="E2179">
        <f>740515625/10^6</f>
      </c>
      <c r="F2179">
        <f>0</f>
      </c>
      <c r="G2179">
        <f>265426331/10^6</f>
      </c>
      <c r="H2179">
        <f>0</f>
      </c>
      <c r="I2179">
        <f>-35668228/10^6</f>
      </c>
      <c r="J2179">
        <f>0</f>
      </c>
    </row>
    <row r="2180">
      <c r="A2180" t="s">
        <v>2189</v>
      </c>
      <c r="B2180" t="s">
        <v>11</v>
      </c>
      <c r="C2180">
        <f>122187421875/10^6</f>
      </c>
      <c r="D2180">
        <f>0</f>
      </c>
      <c r="E2180">
        <f>736262451/10^6</f>
      </c>
      <c r="F2180">
        <f>0</f>
      </c>
      <c r="G2180">
        <f>265686188/10^6</f>
      </c>
      <c r="H2180">
        <f>0</f>
      </c>
      <c r="I2180">
        <f>-34972084/10^6</f>
      </c>
      <c r="J2180">
        <f>0</f>
      </c>
    </row>
    <row r="2181">
      <c r="A2181" t="s">
        <v>2190</v>
      </c>
      <c r="B2181" t="s">
        <v>11</v>
      </c>
      <c r="C2181">
        <f>122617585938/10^6</f>
      </c>
      <c r="D2181">
        <f>0</f>
      </c>
      <c r="E2181">
        <f>73300769/10^5</f>
      </c>
      <c r="F2181">
        <f>0</f>
      </c>
      <c r="G2181">
        <f>265684967/10^6</f>
      </c>
      <c r="H2181">
        <f>0</f>
      </c>
      <c r="I2181">
        <f>-34621265/10^6</f>
      </c>
      <c r="J2181">
        <f>0</f>
      </c>
    </row>
    <row r="2182">
      <c r="A2182" t="s">
        <v>2191</v>
      </c>
      <c r="B2182" t="s">
        <v>11</v>
      </c>
      <c r="C2182">
        <f>122881554688/10^6</f>
      </c>
      <c r="D2182">
        <f>0</f>
      </c>
      <c r="E2182">
        <f>731062012/10^6</f>
      </c>
      <c r="F2182">
        <f>0</f>
      </c>
      <c r="G2182">
        <f>265433197/10^6</f>
      </c>
      <c r="H2182">
        <f>0</f>
      </c>
      <c r="I2182">
        <f>-34273338/10^6</f>
      </c>
      <c r="J2182">
        <f>0</f>
      </c>
    </row>
    <row r="2183">
      <c r="A2183" t="s">
        <v>2192</v>
      </c>
      <c r="B2183" t="s">
        <v>11</v>
      </c>
      <c r="C2183">
        <f>123090414063/10^6</f>
      </c>
      <c r="D2183">
        <f>0</f>
      </c>
      <c r="E2183">
        <f>729673096/10^6</f>
      </c>
      <c r="F2183">
        <f>0</f>
      </c>
      <c r="G2183">
        <f>265285217/10^6</f>
      </c>
      <c r="H2183">
        <f>0</f>
      </c>
      <c r="I2183">
        <f>-33992661/10^6</f>
      </c>
      <c r="J2183">
        <f>0</f>
      </c>
    </row>
    <row r="2184">
      <c r="A2184" t="s">
        <v>2193</v>
      </c>
      <c r="B2184" t="s">
        <v>11</v>
      </c>
      <c r="C2184">
        <f>1232424375/10^4</f>
      </c>
      <c r="D2184">
        <f>0</f>
      </c>
      <c r="E2184">
        <f>728356689/10^6</f>
      </c>
      <c r="F2184">
        <f>0</f>
      </c>
      <c r="G2184">
        <f>265220642/10^6</f>
      </c>
      <c r="H2184">
        <f>0</f>
      </c>
      <c r="I2184">
        <f>-3405545/10^5</f>
      </c>
      <c r="J2184">
        <f>0</f>
      </c>
    </row>
    <row r="2185">
      <c r="A2185" t="s">
        <v>2194</v>
      </c>
      <c r="B2185" t="s">
        <v>11</v>
      </c>
      <c r="C2185">
        <f>123276523438/10^6</f>
      </c>
      <c r="D2185">
        <f>0</f>
      </c>
      <c r="E2185">
        <f>727545349/10^6</f>
      </c>
      <c r="F2185">
        <f>0</f>
      </c>
      <c r="G2185">
        <f>265172455/10^6</f>
      </c>
      <c r="H2185">
        <f>0</f>
      </c>
      <c r="I2185">
        <f>-34119038/10^6</f>
      </c>
      <c r="J2185">
        <f>0</f>
      </c>
    </row>
    <row r="2186">
      <c r="A2186" t="s">
        <v>2195</v>
      </c>
      <c r="B2186" t="s">
        <v>11</v>
      </c>
      <c r="C2186">
        <f>123202296875/10^6</f>
      </c>
      <c r="D2186">
        <f>0</f>
      </c>
      <c r="E2186">
        <f>727455322/10^6</f>
      </c>
      <c r="F2186">
        <f>0</f>
      </c>
      <c r="G2186">
        <f>264986389/10^6</f>
      </c>
      <c r="H2186">
        <f>0</f>
      </c>
      <c r="I2186">
        <f>-34223164/10^6</f>
      </c>
      <c r="J2186">
        <f>0</f>
      </c>
    </row>
    <row r="2187">
      <c r="A2187" t="s">
        <v>2196</v>
      </c>
      <c r="B2187" t="s">
        <v>11</v>
      </c>
      <c r="C2187">
        <f>123085046875/10^6</f>
      </c>
      <c r="D2187">
        <f>0</f>
      </c>
      <c r="E2187">
        <f>727643921/10^6</f>
      </c>
      <c r="F2187">
        <f>0</f>
      </c>
      <c r="G2187">
        <f>264600708/10^6</f>
      </c>
      <c r="H2187">
        <f>0</f>
      </c>
      <c r="I2187">
        <f>-34476662/10^6</f>
      </c>
      <c r="J2187">
        <f>0</f>
      </c>
    </row>
    <row r="2188">
      <c r="A2188" t="s">
        <v>2197</v>
      </c>
      <c r="B2188" t="s">
        <v>11</v>
      </c>
      <c r="C2188">
        <f>12297003125/10^5</f>
      </c>
      <c r="D2188">
        <f>0</f>
      </c>
      <c r="E2188">
        <f>727732117/10^6</f>
      </c>
      <c r="F2188">
        <f>0</f>
      </c>
      <c r="G2188">
        <f>264337891/10^6</f>
      </c>
      <c r="H2188">
        <f>0</f>
      </c>
      <c r="I2188">
        <f>-3467416/10^5</f>
      </c>
      <c r="J2188">
        <f>0</f>
      </c>
    </row>
    <row r="2189">
      <c r="A2189" t="s">
        <v>2198</v>
      </c>
      <c r="B2189" t="s">
        <v>11</v>
      </c>
      <c r="C2189">
        <f>122846953125/10^6</f>
      </c>
      <c r="D2189">
        <f>0</f>
      </c>
      <c r="E2189">
        <f>72794812/10^5</f>
      </c>
      <c r="F2189">
        <f>0</f>
      </c>
      <c r="G2189">
        <f>264187225/10^6</f>
      </c>
      <c r="H2189">
        <f>0</f>
      </c>
      <c r="I2189">
        <f>-34868725/10^6</f>
      </c>
      <c r="J2189">
        <f>0</f>
      </c>
    </row>
    <row r="2190">
      <c r="A2190" t="s">
        <v>2199</v>
      </c>
      <c r="B2190" t="s">
        <v>11</v>
      </c>
      <c r="C2190">
        <f>122688140625/10^6</f>
      </c>
      <c r="D2190">
        <f>0</f>
      </c>
      <c r="E2190">
        <f>728645691/10^6</f>
      </c>
      <c r="F2190">
        <f>0</f>
      </c>
      <c r="G2190">
        <f>264001709/10^6</f>
      </c>
      <c r="H2190">
        <f>0</f>
      </c>
      <c r="I2190">
        <f>-35063244/10^6</f>
      </c>
      <c r="J2190">
        <f>0</f>
      </c>
    </row>
    <row r="2191">
      <c r="A2191" t="s">
        <v>2200</v>
      </c>
      <c r="B2191" t="s">
        <v>11</v>
      </c>
      <c r="C2191">
        <f>1224924375/10^4</f>
      </c>
      <c r="D2191">
        <f>0</f>
      </c>
      <c r="E2191">
        <f>7297099/10^4</f>
      </c>
      <c r="F2191">
        <f>0</f>
      </c>
      <c r="G2191">
        <f>263889038/10^6</f>
      </c>
      <c r="H2191">
        <f>0</f>
      </c>
      <c r="I2191">
        <f>-35330078/10^6</f>
      </c>
      <c r="J2191">
        <f>0</f>
      </c>
    </row>
    <row r="2192">
      <c r="A2192" t="s">
        <v>2201</v>
      </c>
      <c r="B2192" t="s">
        <v>11</v>
      </c>
      <c r="C2192">
        <f>122277828125/10^6</f>
      </c>
      <c r="D2192">
        <f>0</f>
      </c>
      <c r="E2192">
        <f>730971008/10^6</f>
      </c>
      <c r="F2192">
        <f>0</f>
      </c>
      <c r="G2192">
        <f>263811523/10^6</f>
      </c>
      <c r="H2192">
        <f>0</f>
      </c>
      <c r="I2192">
        <f>-35740501/10^6</f>
      </c>
      <c r="J2192">
        <f>0</f>
      </c>
    </row>
    <row r="2193">
      <c r="A2193" t="s">
        <v>2202</v>
      </c>
      <c r="B2193" t="s">
        <v>11</v>
      </c>
      <c r="C2193">
        <f>122054898438/10^6</f>
      </c>
      <c r="D2193">
        <f>0</f>
      </c>
      <c r="E2193">
        <f>732282715/10^6</f>
      </c>
      <c r="F2193">
        <f>0</f>
      </c>
      <c r="G2193">
        <f>263726135/10^6</f>
      </c>
      <c r="H2193">
        <f>0</f>
      </c>
      <c r="I2193">
        <f>-36071678/10^6</f>
      </c>
      <c r="J2193">
        <f>0</f>
      </c>
    </row>
    <row r="2194">
      <c r="A2194" t="s">
        <v>2203</v>
      </c>
      <c r="B2194" t="s">
        <v>11</v>
      </c>
      <c r="C2194">
        <f>121813296875/10^6</f>
      </c>
      <c r="D2194">
        <f>0</f>
      </c>
      <c r="E2194">
        <f>733521912/10^6</f>
      </c>
      <c r="F2194">
        <f>0</f>
      </c>
      <c r="G2194">
        <f>263647308/10^6</f>
      </c>
      <c r="H2194">
        <f>0</f>
      </c>
      <c r="I2194">
        <f>-36472565/10^6</f>
      </c>
      <c r="J2194">
        <f>0</f>
      </c>
    </row>
    <row r="2195">
      <c r="A2195" t="s">
        <v>2204</v>
      </c>
      <c r="B2195" t="s">
        <v>11</v>
      </c>
      <c r="C2195">
        <f>12152590625/10^5</f>
      </c>
      <c r="D2195">
        <f>0</f>
      </c>
      <c r="E2195">
        <f>734961792/10^6</f>
      </c>
      <c r="F2195">
        <f>0</f>
      </c>
      <c r="G2195">
        <f>263578461/10^6</f>
      </c>
      <c r="H2195">
        <f>0</f>
      </c>
      <c r="I2195">
        <f>-36921585/10^6</f>
      </c>
      <c r="J2195">
        <f>0</f>
      </c>
    </row>
    <row r="2196">
      <c r="A2196" t="s">
        <v>2205</v>
      </c>
      <c r="B2196" t="s">
        <v>11</v>
      </c>
      <c r="C2196">
        <f>121176585938/10^6</f>
      </c>
      <c r="D2196">
        <f>0</f>
      </c>
      <c r="E2196">
        <f>736834595/10^6</f>
      </c>
      <c r="F2196">
        <f>0</f>
      </c>
      <c r="G2196">
        <f>263462921/10^6</f>
      </c>
      <c r="H2196">
        <f>0</f>
      </c>
      <c r="I2196">
        <f>-3727956/10^5</f>
      </c>
      <c r="J2196">
        <f>0</f>
      </c>
    </row>
    <row r="2197">
      <c r="A2197" t="s">
        <v>2206</v>
      </c>
      <c r="B2197" t="s">
        <v>11</v>
      </c>
      <c r="C2197">
        <f>120784/10^0</f>
      </c>
      <c r="D2197">
        <f>0</f>
      </c>
      <c r="E2197">
        <f>738958557/10^6</f>
      </c>
      <c r="F2197">
        <f>0</f>
      </c>
      <c r="G2197">
        <f>263283844/10^6</f>
      </c>
      <c r="H2197">
        <f>0</f>
      </c>
      <c r="I2197">
        <f>-37686642/10^6</f>
      </c>
      <c r="J2197">
        <f>0</f>
      </c>
    </row>
    <row r="2198">
      <c r="A2198" t="s">
        <v>2207</v>
      </c>
      <c r="B2198" t="s">
        <v>11</v>
      </c>
      <c r="C2198">
        <f>12037996875/10^5</f>
      </c>
      <c r="D2198">
        <f>0</f>
      </c>
      <c r="E2198">
        <f>741130188/10^6</f>
      </c>
      <c r="F2198">
        <f>0</f>
      </c>
      <c r="G2198">
        <f>263142426/10^6</f>
      </c>
      <c r="H2198">
        <f>0</f>
      </c>
      <c r="I2198">
        <f>-38058495/10^6</f>
      </c>
      <c r="J2198">
        <f>0</f>
      </c>
    </row>
    <row r="2199">
      <c r="A2199" t="s">
        <v>2208</v>
      </c>
      <c r="B2199" t="s">
        <v>11</v>
      </c>
      <c r="C2199">
        <f>119988820313/10^6</f>
      </c>
      <c r="D2199">
        <f>0</f>
      </c>
      <c r="E2199">
        <f>743280151/10^6</f>
      </c>
      <c r="F2199">
        <f>0</f>
      </c>
      <c r="G2199">
        <f>262935577/10^6</f>
      </c>
      <c r="H2199">
        <f>0</f>
      </c>
      <c r="I2199">
        <f>-38574345/10^6</f>
      </c>
      <c r="J2199">
        <f>0</f>
      </c>
    </row>
    <row r="2200">
      <c r="A2200" t="s">
        <v>2209</v>
      </c>
      <c r="B2200" t="s">
        <v>11</v>
      </c>
      <c r="C2200">
        <f>119629/10^0</f>
      </c>
      <c r="D2200">
        <f>0</f>
      </c>
      <c r="E2200">
        <f>745403381/10^6</f>
      </c>
      <c r="F2200">
        <f>0</f>
      </c>
      <c r="G2200">
        <f>262686768/10^6</f>
      </c>
      <c r="H2200">
        <f>0</f>
      </c>
      <c r="I2200">
        <f>-39141033/10^6</f>
      </c>
      <c r="J2200">
        <f>0</f>
      </c>
    </row>
    <row r="2201">
      <c r="A2201" t="s">
        <v>2210</v>
      </c>
      <c r="B2201" t="s">
        <v>11</v>
      </c>
      <c r="C2201">
        <f>119281/10^0</f>
      </c>
      <c r="D2201">
        <f>0</f>
      </c>
      <c r="E2201">
        <f>747575928/10^6</f>
      </c>
      <c r="F2201">
        <f>0</f>
      </c>
      <c r="G2201">
        <f>262557526/10^6</f>
      </c>
      <c r="H2201">
        <f>0</f>
      </c>
      <c r="I2201">
        <f>-39578304/10^6</f>
      </c>
      <c r="J2201">
        <f>0</f>
      </c>
    </row>
    <row r="2202">
      <c r="A2202" t="s">
        <v>2211</v>
      </c>
      <c r="B2202" t="s">
        <v>11</v>
      </c>
      <c r="C2202">
        <f>118896117188/10^6</f>
      </c>
      <c r="D2202">
        <f>0</f>
      </c>
      <c r="E2202">
        <f>74984259/10^5</f>
      </c>
      <c r="F2202">
        <f>0</f>
      </c>
      <c r="G2202">
        <f>262474762/10^6</f>
      </c>
      <c r="H2202">
        <f>0</f>
      </c>
      <c r="I2202">
        <f>-40099937/10^6</f>
      </c>
      <c r="J2202">
        <f>0</f>
      </c>
    </row>
    <row r="2203">
      <c r="A2203" t="s">
        <v>2212</v>
      </c>
      <c r="B2203" t="s">
        <v>11</v>
      </c>
      <c r="C2203">
        <f>11846690625/10^5</f>
      </c>
      <c r="D2203">
        <f>0</f>
      </c>
      <c r="E2203">
        <f>752255981/10^6</f>
      </c>
      <c r="F2203">
        <f>0</f>
      </c>
      <c r="G2203">
        <f>262373291/10^6</f>
      </c>
      <c r="H2203">
        <f>0</f>
      </c>
      <c r="I2203">
        <f>-40564938/10^6</f>
      </c>
      <c r="J2203">
        <f>0</f>
      </c>
    </row>
    <row r="2204">
      <c r="A2204" t="s">
        <v>2213</v>
      </c>
      <c r="B2204" t="s">
        <v>11</v>
      </c>
      <c r="C2204">
        <f>118022875/10^3</f>
      </c>
      <c r="D2204">
        <f>0</f>
      </c>
      <c r="E2204">
        <f>754805969/10^6</f>
      </c>
      <c r="F2204">
        <f>0</f>
      </c>
      <c r="G2204">
        <f>262193115/10^6</f>
      </c>
      <c r="H2204">
        <f>0</f>
      </c>
      <c r="I2204">
        <f>-41088581/10^6</f>
      </c>
      <c r="J2204">
        <f>0</f>
      </c>
    </row>
    <row r="2205">
      <c r="A2205" t="s">
        <v>2214</v>
      </c>
      <c r="B2205" t="s">
        <v>11</v>
      </c>
      <c r="C2205">
        <f>117570875/10^3</f>
      </c>
      <c r="D2205">
        <f>0</f>
      </c>
      <c r="E2205">
        <f>757435669/10^6</f>
      </c>
      <c r="F2205">
        <f>0</f>
      </c>
      <c r="G2205">
        <f>261991608/10^6</f>
      </c>
      <c r="H2205">
        <f>0</f>
      </c>
      <c r="I2205">
        <f>-41640091/10^6</f>
      </c>
      <c r="J2205">
        <f>0</f>
      </c>
    </row>
    <row r="2206">
      <c r="A2206" t="s">
        <v>2215</v>
      </c>
      <c r="B2206" t="s">
        <v>11</v>
      </c>
      <c r="C2206">
        <f>11709153125/10^5</f>
      </c>
      <c r="D2206">
        <f>0</f>
      </c>
      <c r="E2206">
        <f>760266602/10^6</f>
      </c>
      <c r="F2206">
        <f>0</f>
      </c>
      <c r="G2206">
        <f>261847076/10^6</f>
      </c>
      <c r="H2206">
        <f>0</f>
      </c>
      <c r="I2206">
        <f>-42152935/10^6</f>
      </c>
      <c r="J2206">
        <f>0</f>
      </c>
    </row>
    <row r="2207">
      <c r="A2207" t="s">
        <v>2216</v>
      </c>
      <c r="B2207" t="s">
        <v>11</v>
      </c>
      <c r="C2207">
        <f>11656403125/10^5</f>
      </c>
      <c r="D2207">
        <f>0</f>
      </c>
      <c r="E2207">
        <f>763684082/10^6</f>
      </c>
      <c r="F2207">
        <f>0</f>
      </c>
      <c r="G2207">
        <f>261728638/10^6</f>
      </c>
      <c r="H2207">
        <f>0</f>
      </c>
      <c r="I2207">
        <f>-4286837/10^5</f>
      </c>
      <c r="J2207">
        <f>0</f>
      </c>
    </row>
    <row r="2208">
      <c r="A2208" t="s">
        <v>2217</v>
      </c>
      <c r="B2208" t="s">
        <v>11</v>
      </c>
      <c r="C2208">
        <f>116007078125/10^6</f>
      </c>
      <c r="D2208">
        <f>0</f>
      </c>
      <c r="E2208">
        <f>767065979/10^6</f>
      </c>
      <c r="F2208">
        <f>0</f>
      </c>
      <c r="G2208">
        <f>261594849/10^6</f>
      </c>
      <c r="H2208">
        <f>0</f>
      </c>
      <c r="I2208">
        <f>-43399742/10^6</f>
      </c>
      <c r="J2208">
        <f>0</f>
      </c>
    </row>
    <row r="2209">
      <c r="A2209" t="s">
        <v>2218</v>
      </c>
      <c r="B2209" t="s">
        <v>11</v>
      </c>
      <c r="C2209">
        <f>115511695313/10^6</f>
      </c>
      <c r="D2209">
        <f>0</f>
      </c>
      <c r="E2209">
        <f>768460815/10^6</f>
      </c>
      <c r="F2209">
        <f>0</f>
      </c>
      <c r="G2209">
        <f>261236206/10^6</f>
      </c>
      <c r="H2209">
        <f>0</f>
      </c>
      <c r="I2209">
        <f>-43980305/10^6</f>
      </c>
      <c r="J2209">
        <f>0</f>
      </c>
    </row>
    <row r="2210">
      <c r="A2210" t="s">
        <v>2219</v>
      </c>
      <c r="B2210" t="s">
        <v>11</v>
      </c>
      <c r="C2210">
        <f>115140226563/10^6</f>
      </c>
      <c r="D2210">
        <f>0</f>
      </c>
      <c r="E2210">
        <f>768760803/10^6</f>
      </c>
      <c r="F2210">
        <f>0</f>
      </c>
      <c r="G2210">
        <f>26082663/10^5</f>
      </c>
      <c r="H2210">
        <f>0</f>
      </c>
      <c r="I2210">
        <f>-44777031/10^6</f>
      </c>
      <c r="J2210">
        <f>0</f>
      </c>
    </row>
    <row r="2211">
      <c r="A2211" t="s">
        <v>2220</v>
      </c>
      <c r="B2211" t="s">
        <v>11</v>
      </c>
      <c r="C2211">
        <f>114827117188/10^6</f>
      </c>
      <c r="D2211">
        <f>0</f>
      </c>
      <c r="E2211">
        <f>770989075/10^6</f>
      </c>
      <c r="F2211">
        <f>0</f>
      </c>
      <c r="G2211">
        <f>260643829/10^6</f>
      </c>
      <c r="H2211">
        <f>0</f>
      </c>
      <c r="I2211">
        <f>-44774963/10^6</f>
      </c>
      <c r="J2211">
        <f>0</f>
      </c>
    </row>
    <row r="2212">
      <c r="A2212" t="s">
        <v>2221</v>
      </c>
      <c r="B2212" t="s">
        <v>11</v>
      </c>
      <c r="C2212">
        <f>11453525/10^2</f>
      </c>
      <c r="D2212">
        <f>0</f>
      </c>
      <c r="E2212">
        <f>774491394/10^6</f>
      </c>
      <c r="F2212">
        <f>0</f>
      </c>
      <c r="G2212">
        <f>260407288/10^6</f>
      </c>
      <c r="H2212">
        <f>0</f>
      </c>
      <c r="I2212">
        <f>-44186165/10^6</f>
      </c>
      <c r="J2212">
        <f>0</f>
      </c>
    </row>
    <row r="2213">
      <c r="A2213" t="s">
        <v>2222</v>
      </c>
      <c r="B2213" t="s">
        <v>11</v>
      </c>
      <c r="C2213">
        <f>1143311875/10^4</f>
      </c>
      <c r="D2213">
        <f>0</f>
      </c>
      <c r="E2213">
        <f>776726135/10^6</f>
      </c>
      <c r="F2213">
        <f>0</f>
      </c>
      <c r="G2213">
        <f>260207001/10^6</f>
      </c>
      <c r="H2213">
        <f>0</f>
      </c>
      <c r="I2213">
        <f>-43859604/10^6</f>
      </c>
      <c r="J2213">
        <f>0</f>
      </c>
    </row>
    <row r="2214">
      <c r="A2214" t="s">
        <v>2223</v>
      </c>
      <c r="B2214" t="s">
        <v>11</v>
      </c>
      <c r="C2214">
        <f>114183890625/10^6</f>
      </c>
      <c r="D2214">
        <f>0</f>
      </c>
      <c r="E2214">
        <f>777350647/10^6</f>
      </c>
      <c r="F2214">
        <f>0</f>
      </c>
      <c r="G2214">
        <f>260481659/10^6</f>
      </c>
      <c r="H2214">
        <f>0</f>
      </c>
      <c r="I2214">
        <f>-43455338/10^6</f>
      </c>
      <c r="J2214">
        <f>0</f>
      </c>
    </row>
    <row r="2215">
      <c r="A2215" t="s">
        <v>2224</v>
      </c>
      <c r="B2215" t="s">
        <v>11</v>
      </c>
      <c r="C2215">
        <f>113983078125/10^6</f>
      </c>
      <c r="D2215">
        <f>0</f>
      </c>
      <c r="E2215">
        <f>777495056/10^6</f>
      </c>
      <c r="F2215">
        <f>0</f>
      </c>
      <c r="G2215">
        <f>260930115/10^6</f>
      </c>
      <c r="H2215">
        <f>0</f>
      </c>
      <c r="I2215">
        <f>-42953094/10^6</f>
      </c>
      <c r="J2215">
        <f>0</f>
      </c>
    </row>
    <row r="2216">
      <c r="A2216" t="s">
        <v>2225</v>
      </c>
      <c r="B2216" t="s">
        <v>11</v>
      </c>
      <c r="C2216">
        <f>11373128125/10^5</f>
      </c>
      <c r="D2216">
        <f>0</f>
      </c>
      <c r="E2216">
        <f>777752686/10^6</f>
      </c>
      <c r="F2216">
        <f>0</f>
      </c>
      <c r="G2216">
        <f>260775757/10^6</f>
      </c>
      <c r="H2216">
        <f>0</f>
      </c>
      <c r="I2216">
        <f>-42619537/10^6</f>
      </c>
      <c r="J2216">
        <f>0</f>
      </c>
    </row>
    <row r="2217">
      <c r="A2217" t="s">
        <v>2226</v>
      </c>
      <c r="B2217" t="s">
        <v>11</v>
      </c>
      <c r="C2217">
        <f>113521867188/10^6</f>
      </c>
      <c r="D2217">
        <f>0</f>
      </c>
      <c r="E2217">
        <f>778078247/10^6</f>
      </c>
      <c r="F2217">
        <f>0</f>
      </c>
      <c r="G2217">
        <f>260038513/10^6</f>
      </c>
      <c r="H2217">
        <f>0</f>
      </c>
      <c r="I2217">
        <f>-42238396/10^6</f>
      </c>
      <c r="J2217">
        <f>0</f>
      </c>
    </row>
    <row r="2218">
      <c r="A2218" t="s">
        <v>2227</v>
      </c>
      <c r="B2218" t="s">
        <v>11</v>
      </c>
      <c r="C2218">
        <f>113474414063/10^6</f>
      </c>
      <c r="D2218">
        <f>0</f>
      </c>
      <c r="E2218">
        <f>7785849/10^4</f>
      </c>
      <c r="F2218">
        <f>0</f>
      </c>
      <c r="G2218">
        <f>259647552/10^6</f>
      </c>
      <c r="H2218">
        <f>0</f>
      </c>
      <c r="I2218">
        <f>-41909962/10^6</f>
      </c>
      <c r="J2218">
        <f>0</f>
      </c>
    </row>
    <row r="2219">
      <c r="A2219" t="s">
        <v>2228</v>
      </c>
      <c r="B2219" t="s">
        <v>11</v>
      </c>
      <c r="C2219">
        <f>1136179375/10^4</f>
      </c>
      <c r="D2219">
        <f>0</f>
      </c>
      <c r="E2219">
        <f>778630676/10^6</f>
      </c>
      <c r="F2219">
        <f>0</f>
      </c>
      <c r="G2219">
        <f>259875275/10^6</f>
      </c>
      <c r="H2219">
        <f>0</f>
      </c>
      <c r="I2219">
        <f>-41630352/10^6</f>
      </c>
      <c r="J2219">
        <f>0</f>
      </c>
    </row>
    <row r="2220">
      <c r="A2220" t="s">
        <v>2229</v>
      </c>
      <c r="B2220" t="s">
        <v>11</v>
      </c>
      <c r="C2220">
        <f>113805148438/10^6</f>
      </c>
      <c r="D2220">
        <f>0</f>
      </c>
      <c r="E2220">
        <f>77759375/10^5</f>
      </c>
      <c r="F2220">
        <f>0</f>
      </c>
      <c r="G2220">
        <f>260108856/10^6</f>
      </c>
      <c r="H2220">
        <f>0</f>
      </c>
      <c r="I2220">
        <f>-4132946/10^5</f>
      </c>
      <c r="J2220">
        <f>0</f>
      </c>
    </row>
    <row r="2221">
      <c r="A2221" t="s">
        <v>2230</v>
      </c>
      <c r="B2221" t="s">
        <v>11</v>
      </c>
      <c r="C2221">
        <f>113953085938/10^6</f>
      </c>
      <c r="D2221">
        <f>0</f>
      </c>
      <c r="E2221">
        <f>776382751/10^6</f>
      </c>
      <c r="F2221">
        <f>0</f>
      </c>
      <c r="G2221">
        <f>26018924/10^5</f>
      </c>
      <c r="H2221">
        <f>0</f>
      </c>
      <c r="I2221">
        <f>-41108925/10^6</f>
      </c>
      <c r="J2221">
        <f>0</f>
      </c>
    </row>
    <row r="2222">
      <c r="A2222" t="s">
        <v>2231</v>
      </c>
      <c r="B2222" t="s">
        <v>11</v>
      </c>
      <c r="C2222">
        <f>114126664063/10^6</f>
      </c>
      <c r="D2222">
        <f>0</f>
      </c>
      <c r="E2222">
        <f>775613525/10^6</f>
      </c>
      <c r="F2222">
        <f>0</f>
      </c>
      <c r="G2222">
        <f>260292145/10^6</f>
      </c>
      <c r="H2222">
        <f>0</f>
      </c>
      <c r="I2222">
        <f>-40826305/10^6</f>
      </c>
      <c r="J2222">
        <f>0</f>
      </c>
    </row>
    <row r="2223">
      <c r="A2223" t="s">
        <v>2232</v>
      </c>
      <c r="B2223" t="s">
        <v>11</v>
      </c>
      <c r="C2223">
        <f>114338125/10^3</f>
      </c>
      <c r="D2223">
        <f>0</f>
      </c>
      <c r="E2223">
        <f>774835205/10^6</f>
      </c>
      <c r="F2223">
        <f>0</f>
      </c>
      <c r="G2223">
        <f>260417816/10^6</f>
      </c>
      <c r="H2223">
        <f>0</f>
      </c>
      <c r="I2223">
        <f>-40590847/10^6</f>
      </c>
      <c r="J2223">
        <f>0</f>
      </c>
    </row>
    <row r="2224">
      <c r="A2224" t="s">
        <v>2233</v>
      </c>
      <c r="B2224" t="s">
        <v>11</v>
      </c>
      <c r="C2224">
        <f>114571914063/10^6</f>
      </c>
      <c r="D2224">
        <f>0</f>
      </c>
      <c r="E2224">
        <f>773739624/10^6</f>
      </c>
      <c r="F2224">
        <f>0</f>
      </c>
      <c r="G2224">
        <f>260580414/10^6</f>
      </c>
      <c r="H2224">
        <f>0</f>
      </c>
      <c r="I2224">
        <f>-4058577/10^5</f>
      </c>
      <c r="J2224">
        <f>0</f>
      </c>
    </row>
    <row r="2225">
      <c r="A2225" t="s">
        <v>2234</v>
      </c>
      <c r="B2225" t="s">
        <v>11</v>
      </c>
      <c r="C2225">
        <f>114880570313/10^6</f>
      </c>
      <c r="D2225">
        <f>0</f>
      </c>
      <c r="E2225">
        <f>772347229/10^6</f>
      </c>
      <c r="F2225">
        <f>0</f>
      </c>
      <c r="G2225">
        <f>260708679/10^6</f>
      </c>
      <c r="H2225">
        <f>0</f>
      </c>
      <c r="I2225">
        <f>-40648052/10^6</f>
      </c>
      <c r="J2225">
        <f>0</f>
      </c>
    </row>
    <row r="2226">
      <c r="A2226" t="s">
        <v>2235</v>
      </c>
      <c r="B2226" t="s">
        <v>11</v>
      </c>
      <c r="C2226">
        <f>115299640625/10^6</f>
      </c>
      <c r="D2226">
        <f>0</f>
      </c>
      <c r="E2226">
        <f>770682251/10^6</f>
      </c>
      <c r="F2226">
        <f>0</f>
      </c>
      <c r="G2226">
        <f>26101239/10^5</f>
      </c>
      <c r="H2226">
        <f>0</f>
      </c>
      <c r="I2226">
        <f>-40412373/10^6</f>
      </c>
      <c r="J2226">
        <f>0</f>
      </c>
    </row>
    <row r="2227">
      <c r="A2227" t="s">
        <v>2236</v>
      </c>
      <c r="B2227" t="s">
        <v>11</v>
      </c>
      <c r="C2227">
        <f>11579434375/10^5</f>
      </c>
      <c r="D2227">
        <f>0</f>
      </c>
      <c r="E2227">
        <f>768647888/10^6</f>
      </c>
      <c r="F2227">
        <f>0</f>
      </c>
      <c r="G2227">
        <f>261542389/10^6</f>
      </c>
      <c r="H2227">
        <f>0</f>
      </c>
      <c r="I2227">
        <f>-39931553/10^6</f>
      </c>
      <c r="J2227">
        <f>0</f>
      </c>
    </row>
    <row r="2228">
      <c r="A2228" t="s">
        <v>2237</v>
      </c>
      <c r="B2228" t="s">
        <v>11</v>
      </c>
      <c r="C2228">
        <f>1163588125/10^4</f>
      </c>
      <c r="D2228">
        <f>0</f>
      </c>
      <c r="E2228">
        <f>766169861/10^6</f>
      </c>
      <c r="F2228">
        <f>0</f>
      </c>
      <c r="G2228">
        <f>261970856/10^6</f>
      </c>
      <c r="H2228">
        <f>0</f>
      </c>
      <c r="I2228">
        <f>-39568424/10^6</f>
      </c>
      <c r="J2228">
        <f>0</f>
      </c>
    </row>
    <row r="2229">
      <c r="A2229" t="s">
        <v>2238</v>
      </c>
      <c r="B2229" t="s">
        <v>11</v>
      </c>
      <c r="C2229">
        <f>117028109375/10^6</f>
      </c>
      <c r="D2229">
        <f>0</f>
      </c>
      <c r="E2229">
        <f>763357239/10^6</f>
      </c>
      <c r="F2229">
        <f>0</f>
      </c>
      <c r="G2229">
        <f>26251358/10^5</f>
      </c>
      <c r="H2229">
        <f>0</f>
      </c>
      <c r="I2229">
        <f>-39138428/10^6</f>
      </c>
      <c r="J2229">
        <f>0</f>
      </c>
    </row>
    <row r="2230">
      <c r="A2230" t="s">
        <v>2239</v>
      </c>
      <c r="B2230" t="s">
        <v>11</v>
      </c>
      <c r="C2230">
        <f>117791171875/10^6</f>
      </c>
      <c r="D2230">
        <f>0</f>
      </c>
      <c r="E2230">
        <f>760293213/10^6</f>
      </c>
      <c r="F2230">
        <f>0</f>
      </c>
      <c r="G2230">
        <f>263080505/10^6</f>
      </c>
      <c r="H2230">
        <f>0</f>
      </c>
      <c r="I2230">
        <f>-38682816/10^6</f>
      </c>
      <c r="J2230">
        <f>0</f>
      </c>
    </row>
    <row r="2231">
      <c r="A2231" t="s">
        <v>2240</v>
      </c>
      <c r="B2231" t="s">
        <v>11</v>
      </c>
      <c r="C2231">
        <f>118618179688/10^6</f>
      </c>
      <c r="D2231">
        <f>0</f>
      </c>
      <c r="E2231">
        <f>756816101/10^6</f>
      </c>
      <c r="F2231">
        <f>0</f>
      </c>
      <c r="G2231">
        <f>263645691/10^6</f>
      </c>
      <c r="H2231">
        <f>0</f>
      </c>
      <c r="I2231">
        <f>-38198608/10^6</f>
      </c>
      <c r="J2231">
        <f>0</f>
      </c>
    </row>
    <row r="2232">
      <c r="A2232" t="s">
        <v>2241</v>
      </c>
      <c r="B2232" t="s">
        <v>11</v>
      </c>
      <c r="C2232">
        <f>119502820313/10^6</f>
      </c>
      <c r="D2232">
        <f>0</f>
      </c>
      <c r="E2232">
        <f>752663818/10^6</f>
      </c>
      <c r="F2232">
        <f>0</f>
      </c>
      <c r="G2232">
        <f>26455423/10^5</f>
      </c>
      <c r="H2232">
        <f>0</f>
      </c>
      <c r="I2232">
        <f>-37476192/10^6</f>
      </c>
      <c r="J2232">
        <f>0</f>
      </c>
    </row>
    <row r="2233">
      <c r="A2233" t="s">
        <v>2242</v>
      </c>
      <c r="B2233" t="s">
        <v>11</v>
      </c>
      <c r="C2233">
        <f>120415539063/10^6</f>
      </c>
      <c r="D2233">
        <f>0</f>
      </c>
      <c r="E2233">
        <f>747986267/10^6</f>
      </c>
      <c r="F2233">
        <f>0</f>
      </c>
      <c r="G2233">
        <f>265208588/10^6</f>
      </c>
      <c r="H2233">
        <f>0</f>
      </c>
      <c r="I2233">
        <f>-36907761/10^6</f>
      </c>
      <c r="J2233">
        <f>0</f>
      </c>
    </row>
    <row r="2234">
      <c r="A2234" t="s">
        <v>2243</v>
      </c>
      <c r="B2234" t="s">
        <v>11</v>
      </c>
      <c r="C2234">
        <f>1212889375/10^4</f>
      </c>
      <c r="D2234">
        <f>0</f>
      </c>
      <c r="E2234">
        <f>74337915/10^5</f>
      </c>
      <c r="F2234">
        <f>0</f>
      </c>
      <c r="G2234">
        <f>26558139/10^5</f>
      </c>
      <c r="H2234">
        <f>0</f>
      </c>
      <c r="I2234">
        <f>-36339775/10^6</f>
      </c>
      <c r="J2234">
        <f>0</f>
      </c>
    </row>
    <row r="2235">
      <c r="A2235" t="s">
        <v>2244</v>
      </c>
      <c r="B2235" t="s">
        <v>11</v>
      </c>
      <c r="C2235">
        <f>12204265625/10^5</f>
      </c>
      <c r="D2235">
        <f>0</f>
      </c>
      <c r="E2235">
        <f>739156128/10^6</f>
      </c>
      <c r="F2235">
        <f>0</f>
      </c>
      <c r="G2235">
        <f>266069611/10^6</f>
      </c>
      <c r="H2235">
        <f>0</f>
      </c>
      <c r="I2235">
        <f>-3569252/10^5</f>
      </c>
      <c r="J2235">
        <f>0</f>
      </c>
    </row>
    <row r="2236">
      <c r="A2236" t="s">
        <v>2245</v>
      </c>
      <c r="B2236" t="s">
        <v>11</v>
      </c>
      <c r="C2236">
        <f>122582039063/10^6</f>
      </c>
      <c r="D2236">
        <f>0</f>
      </c>
      <c r="E2236">
        <f>735517761/10^6</f>
      </c>
      <c r="F2236">
        <f>0</f>
      </c>
      <c r="G2236">
        <f>266169037/10^6</f>
      </c>
      <c r="H2236">
        <f>0</f>
      </c>
      <c r="I2236">
        <f>-35288521/10^6</f>
      </c>
      <c r="J2236">
        <f>0</f>
      </c>
    </row>
    <row r="2237">
      <c r="A2237" t="s">
        <v>2246</v>
      </c>
      <c r="B2237" t="s">
        <v>11</v>
      </c>
      <c r="C2237">
        <f>122877101563/10^6</f>
      </c>
      <c r="D2237">
        <f>0</f>
      </c>
      <c r="E2237">
        <f>732860901/10^6</f>
      </c>
      <c r="F2237">
        <f>0</f>
      </c>
      <c r="G2237">
        <f>265999786/10^6</f>
      </c>
      <c r="H2237">
        <f>0</f>
      </c>
      <c r="I2237">
        <f>-34815201/10^6</f>
      </c>
      <c r="J2237">
        <f>0</f>
      </c>
    </row>
    <row r="2238">
      <c r="A2238" t="s">
        <v>2247</v>
      </c>
      <c r="B2238" t="s">
        <v>11</v>
      </c>
      <c r="C2238">
        <f>12303034375/10^5</f>
      </c>
      <c r="D2238">
        <f>0</f>
      </c>
      <c r="E2238">
        <f>731083496/10^6</f>
      </c>
      <c r="F2238">
        <f>0</f>
      </c>
      <c r="G2238">
        <f>26591095/10^5</f>
      </c>
      <c r="H2238">
        <f>0</f>
      </c>
      <c r="I2238">
        <f>-34459583/10^6</f>
      </c>
      <c r="J2238">
        <f>0</f>
      </c>
    </row>
    <row r="2239">
      <c r="A2239" t="s">
        <v>2248</v>
      </c>
      <c r="B2239" t="s">
        <v>11</v>
      </c>
      <c r="C2239">
        <f>123116210938/10^6</f>
      </c>
      <c r="D2239">
        <f>0</f>
      </c>
      <c r="E2239">
        <f>729740906/10^6</f>
      </c>
      <c r="F2239">
        <f>0</f>
      </c>
      <c r="G2239">
        <f>265637451/10^6</f>
      </c>
      <c r="H2239">
        <f>0</f>
      </c>
      <c r="I2239">
        <f>-34409603/10^6</f>
      </c>
      <c r="J2239">
        <f>0</f>
      </c>
    </row>
    <row r="2240">
      <c r="A2240" t="s">
        <v>2249</v>
      </c>
      <c r="B2240" t="s">
        <v>11</v>
      </c>
      <c r="C2240">
        <f>123101234375/10^6</f>
      </c>
      <c r="D2240">
        <f>0</f>
      </c>
      <c r="E2240">
        <f>728911377/10^6</f>
      </c>
      <c r="F2240">
        <f>0</f>
      </c>
      <c r="G2240">
        <f>26533078/10^5</f>
      </c>
      <c r="H2240">
        <f>0</f>
      </c>
      <c r="I2240">
        <f>-34307068/10^6</f>
      </c>
      <c r="J2240">
        <f>0</f>
      </c>
    </row>
    <row r="2241">
      <c r="A2241" t="s">
        <v>2250</v>
      </c>
      <c r="B2241" t="s">
        <v>11</v>
      </c>
      <c r="C2241">
        <f>122983195313/10^6</f>
      </c>
      <c r="D2241">
        <f>0</f>
      </c>
      <c r="E2241">
        <f>728781738/10^6</f>
      </c>
      <c r="F2241">
        <f>0</f>
      </c>
      <c r="G2241">
        <f>265052673/10^6</f>
      </c>
      <c r="H2241">
        <f>0</f>
      </c>
      <c r="I2241">
        <f>-34444675/10^6</f>
      </c>
      <c r="J2241">
        <f>0</f>
      </c>
    </row>
    <row r="2242">
      <c r="A2242" t="s">
        <v>2251</v>
      </c>
      <c r="B2242" t="s">
        <v>11</v>
      </c>
      <c r="C2242">
        <f>122802828125/10^6</f>
      </c>
      <c r="D2242">
        <f>0</f>
      </c>
      <c r="E2242">
        <f>729104004/10^6</f>
      </c>
      <c r="F2242">
        <f>0</f>
      </c>
      <c r="G2242">
        <f>264595276/10^6</f>
      </c>
      <c r="H2242">
        <f>0</f>
      </c>
      <c r="I2242">
        <f>-34859867/10^6</f>
      </c>
      <c r="J2242">
        <f>0</f>
      </c>
    </row>
    <row r="2243">
      <c r="A2243" t="s">
        <v>2252</v>
      </c>
      <c r="B2243" t="s">
        <v>11</v>
      </c>
      <c r="C2243">
        <f>12256759375/10^5</f>
      </c>
      <c r="D2243">
        <f>0</f>
      </c>
      <c r="E2243">
        <f>729904236/10^6</f>
      </c>
      <c r="F2243">
        <f>0</f>
      </c>
      <c r="G2243">
        <f>264252502/10^6</f>
      </c>
      <c r="H2243">
        <f>0</f>
      </c>
      <c r="I2243">
        <f>-35160061/10^6</f>
      </c>
      <c r="J2243">
        <f>0</f>
      </c>
    </row>
    <row r="2244">
      <c r="A2244" t="s">
        <v>2253</v>
      </c>
      <c r="B2244" t="s">
        <v>11</v>
      </c>
      <c r="C2244">
        <f>122296296875/10^6</f>
      </c>
      <c r="D2244">
        <f>0</f>
      </c>
      <c r="E2244">
        <f>731180786/10^6</f>
      </c>
      <c r="F2244">
        <f>0</f>
      </c>
      <c r="G2244">
        <f>264063019/10^6</f>
      </c>
      <c r="H2244">
        <f>0</f>
      </c>
      <c r="I2244">
        <f>-3558223/10^5</f>
      </c>
      <c r="J2244">
        <f>0</f>
      </c>
    </row>
    <row r="2245">
      <c r="A2245" t="s">
        <v>2254</v>
      </c>
      <c r="B2245" t="s">
        <v>11</v>
      </c>
      <c r="C2245">
        <f>122024335938/10^6</f>
      </c>
      <c r="D2245">
        <f>0</f>
      </c>
      <c r="E2245">
        <f>732424072/10^6</f>
      </c>
      <c r="F2245">
        <f>0</f>
      </c>
      <c r="G2245">
        <f>263848785/10^6</f>
      </c>
      <c r="H2245">
        <f>0</f>
      </c>
      <c r="I2245">
        <f>-36071014/10^6</f>
      </c>
      <c r="J2245">
        <f>0</f>
      </c>
    </row>
    <row r="2246">
      <c r="A2246" t="s">
        <v>2255</v>
      </c>
      <c r="B2246" t="s">
        <v>11</v>
      </c>
      <c r="C2246">
        <f>121722820313/10^6</f>
      </c>
      <c r="D2246">
        <f>0</f>
      </c>
      <c r="E2246">
        <f>733802002/10^6</f>
      </c>
      <c r="F2246">
        <f>0</f>
      </c>
      <c r="G2246">
        <f>263674988/10^6</f>
      </c>
      <c r="H2246">
        <f>0</f>
      </c>
      <c r="I2246">
        <f>-36456215/10^6</f>
      </c>
      <c r="J2246">
        <f>0</f>
      </c>
    </row>
    <row r="2247">
      <c r="A2247" t="s">
        <v>2256</v>
      </c>
      <c r="B2247" t="s">
        <v>11</v>
      </c>
      <c r="C2247">
        <f>121344070313/10^6</f>
      </c>
      <c r="D2247">
        <f>0</f>
      </c>
      <c r="E2247">
        <f>735849121/10^6</f>
      </c>
      <c r="F2247">
        <f>0</f>
      </c>
      <c r="G2247">
        <f>263505127/10^6</f>
      </c>
      <c r="H2247">
        <f>0</f>
      </c>
      <c r="I2247">
        <f>-36867115/10^6</f>
      </c>
      <c r="J2247">
        <f>0</f>
      </c>
    </row>
    <row r="2248">
      <c r="A2248" t="s">
        <v>2257</v>
      </c>
      <c r="B2248" t="s">
        <v>11</v>
      </c>
      <c r="C2248">
        <f>12089275/10^2</f>
      </c>
      <c r="D2248">
        <f>0</f>
      </c>
      <c r="E2248">
        <f>73834845/10^5</f>
      </c>
      <c r="F2248">
        <f>0</f>
      </c>
      <c r="G2248">
        <f>263345581/10^6</f>
      </c>
      <c r="H2248">
        <f>0</f>
      </c>
      <c r="I2248">
        <f>-37271664/10^6</f>
      </c>
      <c r="J2248">
        <f>0</f>
      </c>
    </row>
    <row r="2249">
      <c r="A2249" t="s">
        <v>2258</v>
      </c>
      <c r="B2249" t="s">
        <v>11</v>
      </c>
      <c r="C2249">
        <f>120375929688/10^6</f>
      </c>
      <c r="D2249">
        <f>0</f>
      </c>
      <c r="E2249">
        <f>740989136/10^6</f>
      </c>
      <c r="F2249">
        <f>0</f>
      </c>
      <c r="G2249">
        <f>263167236/10^6</f>
      </c>
      <c r="H2249">
        <f>0</f>
      </c>
      <c r="I2249">
        <f>-37957645/10^6</f>
      </c>
      <c r="J2249">
        <f>0</f>
      </c>
    </row>
    <row r="2250">
      <c r="A2250" t="s">
        <v>2259</v>
      </c>
      <c r="B2250" t="s">
        <v>11</v>
      </c>
      <c r="C2250">
        <f>119826546875/10^6</f>
      </c>
      <c r="D2250">
        <f>0</f>
      </c>
      <c r="E2250">
        <f>74387439/10^5</f>
      </c>
      <c r="F2250">
        <f>0</f>
      </c>
      <c r="G2250">
        <f>262984406/10^6</f>
      </c>
      <c r="H2250">
        <f>0</f>
      </c>
      <c r="I2250">
        <f>-38700157/10^6</f>
      </c>
      <c r="J2250">
        <f>0</f>
      </c>
    </row>
    <row r="2251">
      <c r="A2251" t="s">
        <v>2260</v>
      </c>
      <c r="B2251" t="s">
        <v>11</v>
      </c>
      <c r="C2251">
        <f>119273789063/10^6</f>
      </c>
      <c r="D2251">
        <f>0</f>
      </c>
      <c r="E2251">
        <f>747149475/10^6</f>
      </c>
      <c r="F2251">
        <f>0</f>
      </c>
      <c r="G2251">
        <f>262783936/10^6</f>
      </c>
      <c r="H2251">
        <f>0</f>
      </c>
      <c r="I2251">
        <f>-39323097/10^6</f>
      </c>
      <c r="J2251">
        <f>0</f>
      </c>
    </row>
    <row r="2252">
      <c r="A2252" t="s">
        <v>2261</v>
      </c>
      <c r="B2252" t="s">
        <v>11</v>
      </c>
      <c r="C2252">
        <f>118648960938/10^6</f>
      </c>
      <c r="D2252">
        <f>0</f>
      </c>
      <c r="E2252">
        <f>750823303/10^6</f>
      </c>
      <c r="F2252">
        <f>0</f>
      </c>
      <c r="G2252">
        <f>262522797/10^6</f>
      </c>
      <c r="H2252">
        <f>0</f>
      </c>
      <c r="I2252">
        <f>-40114956/10^6</f>
      </c>
      <c r="J2252">
        <f>0</f>
      </c>
    </row>
    <row r="2253">
      <c r="A2253" t="s">
        <v>2262</v>
      </c>
      <c r="B2253" t="s">
        <v>11</v>
      </c>
      <c r="C2253">
        <f>117948117188/10^6</f>
      </c>
      <c r="D2253">
        <f>0</f>
      </c>
      <c r="E2253">
        <f>754715393/10^6</f>
      </c>
      <c r="F2253">
        <f>0</f>
      </c>
      <c r="G2253">
        <f>262293457/10^6</f>
      </c>
      <c r="H2253">
        <f>0</f>
      </c>
      <c r="I2253">
        <f>-40801529/10^6</f>
      </c>
      <c r="J2253">
        <f>0</f>
      </c>
    </row>
    <row r="2254">
      <c r="A2254" t="s">
        <v>2263</v>
      </c>
      <c r="B2254" t="s">
        <v>11</v>
      </c>
      <c r="C2254">
        <f>117256273438/10^6</f>
      </c>
      <c r="D2254">
        <f>0</f>
      </c>
      <c r="E2254">
        <f>758679504/10^6</f>
      </c>
      <c r="F2254">
        <f>0</f>
      </c>
      <c r="G2254">
        <f>261933502/10^6</f>
      </c>
      <c r="H2254">
        <f>0</f>
      </c>
      <c r="I2254">
        <f>-41682217/10^6</f>
      </c>
      <c r="J2254">
        <f>0</f>
      </c>
    </row>
    <row r="2255">
      <c r="A2255" t="s">
        <v>2264</v>
      </c>
      <c r="B2255" t="s">
        <v>11</v>
      </c>
      <c r="C2255">
        <f>116523414063/10^6</f>
      </c>
      <c r="D2255">
        <f>0</f>
      </c>
      <c r="E2255">
        <f>763072266/10^6</f>
      </c>
      <c r="F2255">
        <f>0</f>
      </c>
      <c r="G2255">
        <f>261527863/10^6</f>
      </c>
      <c r="H2255">
        <f>0</f>
      </c>
      <c r="I2255">
        <f>-42638271/10^6</f>
      </c>
      <c r="J2255">
        <f>0</f>
      </c>
    </row>
    <row r="2256">
      <c r="A2256" t="s">
        <v>2265</v>
      </c>
      <c r="B2256" t="s">
        <v>11</v>
      </c>
      <c r="C2256">
        <f>115718460938/10^6</f>
      </c>
      <c r="D2256">
        <f>0</f>
      </c>
      <c r="E2256">
        <f>767815674/10^6</f>
      </c>
      <c r="F2256">
        <f>0</f>
      </c>
      <c r="G2256">
        <f>261230133/10^6</f>
      </c>
      <c r="H2256">
        <f>0</f>
      </c>
      <c r="I2256">
        <f>-43269356/10^6</f>
      </c>
      <c r="J2256">
        <f>0</f>
      </c>
    </row>
    <row r="2257">
      <c r="A2257" t="s">
        <v>2266</v>
      </c>
      <c r="B2257" t="s">
        <v>11</v>
      </c>
      <c r="C2257">
        <f>114991757813/10^6</f>
      </c>
      <c r="D2257">
        <f>0</f>
      </c>
      <c r="E2257">
        <f>771744812/10^6</f>
      </c>
      <c r="F2257">
        <f>0</f>
      </c>
      <c r="G2257">
        <f>260905853/10^6</f>
      </c>
      <c r="H2257">
        <f>0</f>
      </c>
      <c r="I2257">
        <f>-44288532/10^6</f>
      </c>
      <c r="J2257">
        <f>0</f>
      </c>
    </row>
    <row r="2258">
      <c r="A2258" t="s">
        <v>2267</v>
      </c>
      <c r="B2258" t="s">
        <v>11</v>
      </c>
      <c r="C2258">
        <f>114427132813/10^6</f>
      </c>
      <c r="D2258">
        <f>0</f>
      </c>
      <c r="E2258">
        <f>773977356/10^6</f>
      </c>
      <c r="F2258">
        <f>0</f>
      </c>
      <c r="G2258">
        <f>260606689/10^6</f>
      </c>
      <c r="H2258">
        <f>0</f>
      </c>
      <c r="I2258">
        <f>-44941196/10^6</f>
      </c>
      <c r="J2258">
        <f>0</f>
      </c>
    </row>
    <row r="2259">
      <c r="A2259" t="s">
        <v>2268</v>
      </c>
      <c r="B2259" t="s">
        <v>11</v>
      </c>
      <c r="C2259">
        <f>114047390625/10^6</f>
      </c>
      <c r="D2259">
        <f>0</f>
      </c>
      <c r="E2259">
        <f>774154053/10^6</f>
      </c>
      <c r="F2259">
        <f>0</f>
      </c>
      <c r="G2259">
        <f>260160217/10^6</f>
      </c>
      <c r="H2259">
        <f>0</f>
      </c>
      <c r="I2259">
        <f>-44370831/10^6</f>
      </c>
      <c r="J2259">
        <f>0</f>
      </c>
    </row>
    <row r="2260">
      <c r="A2260" t="s">
        <v>2269</v>
      </c>
      <c r="B2260" t="s">
        <v>11</v>
      </c>
      <c r="C2260">
        <f>113878015625/10^6</f>
      </c>
      <c r="D2260">
        <f>0</f>
      </c>
      <c r="E2260">
        <f>773591919/10^6</f>
      </c>
      <c r="F2260">
        <f>0</f>
      </c>
      <c r="G2260">
        <f>259638214/10^6</f>
      </c>
      <c r="H2260">
        <f>0</f>
      </c>
      <c r="I2260">
        <f>-43786228/10^6</f>
      </c>
      <c r="J2260">
        <f>0</f>
      </c>
    </row>
    <row r="2261">
      <c r="A2261" t="s">
        <v>2270</v>
      </c>
      <c r="B2261" t="s">
        <v>11</v>
      </c>
      <c r="C2261"/>
      <c r="D2261">
        <f>2</f>
      </c>
      <c r="E2261"/>
      <c r="F2261">
        <f>2</f>
      </c>
      <c r="G2261"/>
      <c r="H2261">
        <f>2</f>
      </c>
      <c r="I2261"/>
      <c r="J2261">
        <f>2</f>
      </c>
    </row>
    <row r="2262">
      <c r="A2262" t="s">
        <v>2271</v>
      </c>
      <c r="B2262" t="s">
        <v>11</v>
      </c>
      <c r="C2262"/>
      <c r="D2262">
        <f>2</f>
      </c>
      <c r="E2262"/>
      <c r="F2262">
        <f>2</f>
      </c>
      <c r="G2262"/>
      <c r="H2262">
        <f>2</f>
      </c>
      <c r="I2262"/>
      <c r="J2262">
        <f>2</f>
      </c>
    </row>
    <row r="2263">
      <c r="A2263" t="s">
        <v>2272</v>
      </c>
      <c r="B2263" t="s">
        <v>11</v>
      </c>
      <c r="C2263"/>
      <c r="D2263">
        <f>2</f>
      </c>
      <c r="E2263"/>
      <c r="F2263">
        <f>2</f>
      </c>
      <c r="G2263"/>
      <c r="H2263">
        <f>2</f>
      </c>
      <c r="I2263"/>
      <c r="J2263">
        <f>2</f>
      </c>
    </row>
    <row r="2264">
      <c r="A2264" t="s">
        <v>2273</v>
      </c>
      <c r="B2264" t="s">
        <v>11</v>
      </c>
      <c r="C2264"/>
      <c r="D2264">
        <f>2</f>
      </c>
      <c r="E2264"/>
      <c r="F2264">
        <f>2</f>
      </c>
      <c r="G2264"/>
      <c r="H2264">
        <f>2</f>
      </c>
      <c r="I2264"/>
      <c r="J2264">
        <f>2</f>
      </c>
    </row>
    <row r="2265">
      <c r="A2265" t="s">
        <v>2274</v>
      </c>
      <c r="B2265" t="s">
        <v>11</v>
      </c>
      <c r="C2265"/>
      <c r="D2265">
        <f>2</f>
      </c>
      <c r="E2265"/>
      <c r="F2265">
        <f>2</f>
      </c>
      <c r="G2265"/>
      <c r="H2265">
        <f>2</f>
      </c>
      <c r="I2265"/>
      <c r="J2265">
        <f>2</f>
      </c>
    </row>
    <row r="2266">
      <c r="A2266" t="s">
        <v>2275</v>
      </c>
      <c r="B2266" t="s">
        <v>11</v>
      </c>
      <c r="C2266"/>
      <c r="D2266">
        <f>2</f>
      </c>
      <c r="E2266"/>
      <c r="F2266">
        <f>2</f>
      </c>
      <c r="G2266"/>
      <c r="H2266">
        <f>2</f>
      </c>
      <c r="I2266"/>
      <c r="J2266">
        <f>2</f>
      </c>
    </row>
    <row r="2267">
      <c r="A2267" t="s">
        <v>2276</v>
      </c>
      <c r="B2267" t="s">
        <v>11</v>
      </c>
      <c r="C2267"/>
      <c r="D2267">
        <f>2</f>
      </c>
      <c r="E2267"/>
      <c r="F2267">
        <f>2</f>
      </c>
      <c r="G2267"/>
      <c r="H2267">
        <f>2</f>
      </c>
      <c r="I2267"/>
      <c r="J2267">
        <f>2</f>
      </c>
    </row>
    <row r="2268">
      <c r="A2268" t="s">
        <v>2277</v>
      </c>
      <c r="B2268" t="s">
        <v>11</v>
      </c>
      <c r="C2268"/>
      <c r="D2268">
        <f>2</f>
      </c>
      <c r="E2268"/>
      <c r="F2268">
        <f>2</f>
      </c>
      <c r="G2268"/>
      <c r="H2268">
        <f>2</f>
      </c>
      <c r="I2268"/>
      <c r="J2268">
        <f>2</f>
      </c>
    </row>
    <row r="2269">
      <c r="A2269" t="s">
        <v>2278</v>
      </c>
      <c r="B2269" t="s">
        <v>11</v>
      </c>
      <c r="C2269"/>
      <c r="D2269">
        <f>2</f>
      </c>
      <c r="E2269"/>
      <c r="F2269">
        <f>2</f>
      </c>
      <c r="G2269"/>
      <c r="H2269">
        <f>2</f>
      </c>
      <c r="I2269"/>
      <c r="J2269">
        <f>2</f>
      </c>
    </row>
    <row r="2270">
      <c r="A2270" t="s">
        <v>2279</v>
      </c>
      <c r="B2270" t="s">
        <v>11</v>
      </c>
      <c r="C2270"/>
      <c r="D2270">
        <f>2</f>
      </c>
      <c r="E2270"/>
      <c r="F2270">
        <f>2</f>
      </c>
      <c r="G2270"/>
      <c r="H2270">
        <f>2</f>
      </c>
      <c r="I2270"/>
      <c r="J2270">
        <f>2</f>
      </c>
    </row>
    <row r="2271">
      <c r="A2271" t="s">
        <v>2280</v>
      </c>
      <c r="B2271" t="s">
        <v>11</v>
      </c>
      <c r="C2271"/>
      <c r="D2271">
        <f>2</f>
      </c>
      <c r="E2271"/>
      <c r="F2271">
        <f>2</f>
      </c>
      <c r="G2271"/>
      <c r="H2271">
        <f>2</f>
      </c>
      <c r="I2271"/>
      <c r="J2271">
        <f>2</f>
      </c>
    </row>
    <row r="2272">
      <c r="A2272" t="s">
        <v>2281</v>
      </c>
      <c r="B2272" t="s">
        <v>11</v>
      </c>
      <c r="C2272"/>
      <c r="D2272">
        <f>2</f>
      </c>
      <c r="E2272"/>
      <c r="F2272">
        <f>2</f>
      </c>
      <c r="G2272"/>
      <c r="H2272">
        <f>2</f>
      </c>
      <c r="I2272"/>
      <c r="J2272">
        <f>2</f>
      </c>
    </row>
    <row r="2273">
      <c r="A2273" t="s">
        <v>2282</v>
      </c>
      <c r="B2273" t="s">
        <v>11</v>
      </c>
      <c r="C2273"/>
      <c r="D2273">
        <f>2</f>
      </c>
      <c r="E2273"/>
      <c r="F2273">
        <f>2</f>
      </c>
      <c r="G2273"/>
      <c r="H2273">
        <f>2</f>
      </c>
      <c r="I2273"/>
      <c r="J2273">
        <f>2</f>
      </c>
    </row>
    <row r="2274">
      <c r="A2274" t="s">
        <v>2283</v>
      </c>
      <c r="B2274" t="s">
        <v>11</v>
      </c>
      <c r="C2274"/>
      <c r="D2274">
        <f>2</f>
      </c>
      <c r="E2274"/>
      <c r="F2274">
        <f>2</f>
      </c>
      <c r="G2274"/>
      <c r="H2274">
        <f>2</f>
      </c>
      <c r="I2274"/>
      <c r="J2274">
        <f>2</f>
      </c>
    </row>
    <row r="2275">
      <c r="A2275" t="s">
        <v>2284</v>
      </c>
      <c r="B2275" t="s">
        <v>11</v>
      </c>
      <c r="C2275"/>
      <c r="D2275">
        <f>2</f>
      </c>
      <c r="E2275"/>
      <c r="F2275">
        <f>2</f>
      </c>
      <c r="G2275"/>
      <c r="H2275">
        <f>2</f>
      </c>
      <c r="I2275"/>
      <c r="J2275">
        <f>2</f>
      </c>
    </row>
    <row r="2276">
      <c r="A2276" t="s">
        <v>2285</v>
      </c>
      <c r="B2276" t="s">
        <v>11</v>
      </c>
      <c r="C2276"/>
      <c r="D2276">
        <f>2</f>
      </c>
      <c r="E2276"/>
      <c r="F2276">
        <f>2</f>
      </c>
      <c r="G2276"/>
      <c r="H2276">
        <f>2</f>
      </c>
      <c r="I2276"/>
      <c r="J2276">
        <f>2</f>
      </c>
    </row>
    <row r="2277">
      <c r="A2277" t="s">
        <v>2286</v>
      </c>
      <c r="B2277" t="s">
        <v>11</v>
      </c>
      <c r="C2277"/>
      <c r="D2277">
        <f>2</f>
      </c>
      <c r="E2277"/>
      <c r="F2277">
        <f>2</f>
      </c>
      <c r="G2277"/>
      <c r="H2277">
        <f>2</f>
      </c>
      <c r="I2277"/>
      <c r="J2277">
        <f>2</f>
      </c>
    </row>
    <row r="2278">
      <c r="A2278" t="s">
        <v>2287</v>
      </c>
      <c r="B2278" t="s">
        <v>11</v>
      </c>
      <c r="C2278"/>
      <c r="D2278">
        <f>2</f>
      </c>
      <c r="E2278"/>
      <c r="F2278">
        <f>2</f>
      </c>
      <c r="G2278"/>
      <c r="H2278">
        <f>2</f>
      </c>
      <c r="I2278"/>
      <c r="J2278">
        <f>2</f>
      </c>
    </row>
    <row r="2279">
      <c r="A2279" t="s">
        <v>2288</v>
      </c>
      <c r="B2279" t="s">
        <v>11</v>
      </c>
      <c r="C2279"/>
      <c r="D2279">
        <f>2</f>
      </c>
      <c r="E2279"/>
      <c r="F2279">
        <f>2</f>
      </c>
      <c r="G2279"/>
      <c r="H2279">
        <f>2</f>
      </c>
      <c r="I2279"/>
      <c r="J2279">
        <f>2</f>
      </c>
    </row>
    <row r="2280">
      <c r="A2280" t="s">
        <v>2289</v>
      </c>
      <c r="B2280" t="s">
        <v>11</v>
      </c>
      <c r="C2280"/>
      <c r="D2280">
        <f>2</f>
      </c>
      <c r="E2280"/>
      <c r="F2280">
        <f>2</f>
      </c>
      <c r="G2280"/>
      <c r="H2280">
        <f>2</f>
      </c>
      <c r="I2280"/>
      <c r="J2280">
        <f>2</f>
      </c>
    </row>
    <row r="2281">
      <c r="A2281" t="s">
        <v>2290</v>
      </c>
      <c r="B2281" t="s">
        <v>11</v>
      </c>
      <c r="C2281"/>
      <c r="D2281">
        <f>2</f>
      </c>
      <c r="E2281"/>
      <c r="F2281">
        <f>2</f>
      </c>
      <c r="G2281"/>
      <c r="H2281">
        <f>2</f>
      </c>
      <c r="I2281"/>
      <c r="J2281">
        <f>2</f>
      </c>
    </row>
    <row r="2282">
      <c r="A2282" t="s">
        <v>2291</v>
      </c>
      <c r="B2282" t="s">
        <v>11</v>
      </c>
      <c r="C2282"/>
      <c r="D2282">
        <f>2</f>
      </c>
      <c r="E2282"/>
      <c r="F2282">
        <f>2</f>
      </c>
      <c r="G2282"/>
      <c r="H2282">
        <f>2</f>
      </c>
      <c r="I2282"/>
      <c r="J2282">
        <f>2</f>
      </c>
    </row>
    <row r="2283">
      <c r="A2283" t="s">
        <v>2292</v>
      </c>
      <c r="B2283" t="s">
        <v>11</v>
      </c>
      <c r="C2283"/>
      <c r="D2283">
        <f>2</f>
      </c>
      <c r="E2283"/>
      <c r="F2283">
        <f>2</f>
      </c>
      <c r="G2283"/>
      <c r="H2283">
        <f>2</f>
      </c>
      <c r="I2283"/>
      <c r="J2283">
        <f>2</f>
      </c>
    </row>
    <row r="2284">
      <c r="A2284" t="s">
        <v>2293</v>
      </c>
      <c r="B2284" t="s">
        <v>11</v>
      </c>
      <c r="C2284"/>
      <c r="D2284">
        <f>2</f>
      </c>
      <c r="E2284"/>
      <c r="F2284">
        <f>2</f>
      </c>
      <c r="G2284"/>
      <c r="H2284">
        <f>2</f>
      </c>
      <c r="I2284"/>
      <c r="J2284">
        <f>2</f>
      </c>
    </row>
    <row r="2285">
      <c r="A2285" t="s">
        <v>2294</v>
      </c>
      <c r="B2285" t="s">
        <v>11</v>
      </c>
      <c r="C2285"/>
      <c r="D2285">
        <f>2</f>
      </c>
      <c r="E2285"/>
      <c r="F2285">
        <f>2</f>
      </c>
      <c r="G2285"/>
      <c r="H2285">
        <f>2</f>
      </c>
      <c r="I2285"/>
      <c r="J2285">
        <f>2</f>
      </c>
    </row>
    <row r="2286">
      <c r="A2286" t="s">
        <v>2295</v>
      </c>
      <c r="B2286" t="s">
        <v>11</v>
      </c>
      <c r="C2286"/>
      <c r="D2286">
        <f>2</f>
      </c>
      <c r="E2286"/>
      <c r="F2286">
        <f>2</f>
      </c>
      <c r="G2286"/>
      <c r="H2286">
        <f>2</f>
      </c>
      <c r="I2286"/>
      <c r="J2286">
        <f>2</f>
      </c>
    </row>
    <row r="2287">
      <c r="A2287" t="s">
        <v>2296</v>
      </c>
      <c r="B2287" t="s">
        <v>11</v>
      </c>
      <c r="C2287"/>
      <c r="D2287">
        <f>2</f>
      </c>
      <c r="E2287"/>
      <c r="F2287">
        <f>2</f>
      </c>
      <c r="G2287"/>
      <c r="H2287">
        <f>2</f>
      </c>
      <c r="I2287"/>
      <c r="J2287">
        <f>2</f>
      </c>
    </row>
    <row r="2288">
      <c r="A2288" t="s">
        <v>2297</v>
      </c>
      <c r="B2288" t="s">
        <v>11</v>
      </c>
      <c r="C2288"/>
      <c r="D2288">
        <f>2</f>
      </c>
      <c r="E2288"/>
      <c r="F2288">
        <f>2</f>
      </c>
      <c r="G2288"/>
      <c r="H2288">
        <f>2</f>
      </c>
      <c r="I2288"/>
      <c r="J2288">
        <f>2</f>
      </c>
    </row>
    <row r="2289">
      <c r="A2289" t="s">
        <v>2298</v>
      </c>
      <c r="B2289" t="s">
        <v>11</v>
      </c>
      <c r="C2289"/>
      <c r="D2289">
        <f>2</f>
      </c>
      <c r="E2289"/>
      <c r="F2289">
        <f>2</f>
      </c>
      <c r="G2289"/>
      <c r="H2289">
        <f>2</f>
      </c>
      <c r="I2289"/>
      <c r="J2289">
        <f>2</f>
      </c>
    </row>
    <row r="2290">
      <c r="A2290" t="s">
        <v>2299</v>
      </c>
      <c r="B2290" t="s">
        <v>11</v>
      </c>
      <c r="C2290"/>
      <c r="D2290">
        <f>2</f>
      </c>
      <c r="E2290"/>
      <c r="F2290">
        <f>2</f>
      </c>
      <c r="G2290"/>
      <c r="H2290">
        <f>2</f>
      </c>
      <c r="I2290"/>
      <c r="J2290">
        <f>2</f>
      </c>
    </row>
    <row r="2291">
      <c r="A2291" t="s">
        <v>2300</v>
      </c>
      <c r="B2291" t="s">
        <v>11</v>
      </c>
      <c r="C2291"/>
      <c r="D2291">
        <f>2</f>
      </c>
      <c r="E2291"/>
      <c r="F2291">
        <f>2</f>
      </c>
      <c r="G2291"/>
      <c r="H2291">
        <f>2</f>
      </c>
      <c r="I2291"/>
      <c r="J2291">
        <f>2</f>
      </c>
    </row>
    <row r="2292">
      <c r="A2292" t="s">
        <v>2301</v>
      </c>
      <c r="B2292" t="s">
        <v>11</v>
      </c>
      <c r="C2292"/>
      <c r="D2292">
        <f>2</f>
      </c>
      <c r="E2292"/>
      <c r="F2292">
        <f>2</f>
      </c>
      <c r="G2292"/>
      <c r="H2292">
        <f>2</f>
      </c>
      <c r="I2292"/>
      <c r="J2292">
        <f>2</f>
      </c>
    </row>
    <row r="2293">
      <c r="A2293" t="s">
        <v>2302</v>
      </c>
      <c r="B2293" t="s">
        <v>11</v>
      </c>
      <c r="C2293"/>
      <c r="D2293">
        <f>2</f>
      </c>
      <c r="E2293"/>
      <c r="F2293">
        <f>2</f>
      </c>
      <c r="G2293"/>
      <c r="H2293">
        <f>2</f>
      </c>
      <c r="I2293"/>
      <c r="J2293">
        <f>2</f>
      </c>
    </row>
    <row r="2294">
      <c r="A2294" t="s">
        <v>2303</v>
      </c>
      <c r="B2294" t="s">
        <v>11</v>
      </c>
      <c r="C2294"/>
      <c r="D2294">
        <f>2</f>
      </c>
      <c r="E2294"/>
      <c r="F2294">
        <f>2</f>
      </c>
      <c r="G2294"/>
      <c r="H2294">
        <f>2</f>
      </c>
      <c r="I2294"/>
      <c r="J2294">
        <f>2</f>
      </c>
    </row>
    <row r="2295">
      <c r="A2295" t="s">
        <v>2304</v>
      </c>
      <c r="B2295" t="s">
        <v>11</v>
      </c>
      <c r="C2295"/>
      <c r="D2295">
        <f>2</f>
      </c>
      <c r="E2295"/>
      <c r="F2295">
        <f>2</f>
      </c>
      <c r="G2295"/>
      <c r="H2295">
        <f>2</f>
      </c>
      <c r="I2295"/>
      <c r="J2295">
        <f>2</f>
      </c>
    </row>
    <row r="2296">
      <c r="A2296" t="s">
        <v>2305</v>
      </c>
      <c r="B2296" t="s">
        <v>11</v>
      </c>
      <c r="C2296"/>
      <c r="D2296">
        <f>2</f>
      </c>
      <c r="E2296"/>
      <c r="F2296">
        <f>2</f>
      </c>
      <c r="G2296"/>
      <c r="H2296">
        <f>2</f>
      </c>
      <c r="I2296"/>
      <c r="J2296">
        <f>2</f>
      </c>
    </row>
    <row r="2297">
      <c r="A2297" t="s">
        <v>2306</v>
      </c>
      <c r="B2297" t="s">
        <v>11</v>
      </c>
      <c r="C2297"/>
      <c r="D2297">
        <f>2</f>
      </c>
      <c r="E2297"/>
      <c r="F2297">
        <f>2</f>
      </c>
      <c r="G2297"/>
      <c r="H2297">
        <f>2</f>
      </c>
      <c r="I2297"/>
      <c r="J2297">
        <f>2</f>
      </c>
    </row>
    <row r="2298">
      <c r="A2298" t="s">
        <v>2307</v>
      </c>
      <c r="B2298" t="s">
        <v>11</v>
      </c>
      <c r="C2298"/>
      <c r="D2298">
        <f>2</f>
      </c>
      <c r="E2298"/>
      <c r="F2298">
        <f>2</f>
      </c>
      <c r="G2298"/>
      <c r="H2298">
        <f>2</f>
      </c>
      <c r="I2298"/>
      <c r="J2298">
        <f>2</f>
      </c>
    </row>
    <row r="2299">
      <c r="A2299" t="s">
        <v>2308</v>
      </c>
      <c r="B2299" t="s">
        <v>11</v>
      </c>
      <c r="C2299"/>
      <c r="D2299">
        <f>2</f>
      </c>
      <c r="E2299"/>
      <c r="F2299">
        <f>2</f>
      </c>
      <c r="G2299"/>
      <c r="H2299">
        <f>2</f>
      </c>
      <c r="I2299"/>
      <c r="J2299">
        <f>2</f>
      </c>
    </row>
    <row r="2300">
      <c r="A2300" t="s">
        <v>2309</v>
      </c>
      <c r="B2300" t="s">
        <v>11</v>
      </c>
      <c r="C2300"/>
      <c r="D2300">
        <f>2</f>
      </c>
      <c r="E2300"/>
      <c r="F2300">
        <f>2</f>
      </c>
      <c r="G2300"/>
      <c r="H2300">
        <f>2</f>
      </c>
      <c r="I2300"/>
      <c r="J2300">
        <f>2</f>
      </c>
    </row>
    <row r="2301">
      <c r="A2301" t="s">
        <v>2310</v>
      </c>
      <c r="B2301" t="s">
        <v>11</v>
      </c>
      <c r="C2301"/>
      <c r="D2301">
        <f>2</f>
      </c>
      <c r="E2301"/>
      <c r="F2301">
        <f>2</f>
      </c>
      <c r="G2301"/>
      <c r="H2301">
        <f>2</f>
      </c>
      <c r="I2301"/>
      <c r="J2301">
        <f>2</f>
      </c>
    </row>
    <row r="2302">
      <c r="A2302" t="s">
        <v>2311</v>
      </c>
      <c r="B2302" t="s">
        <v>11</v>
      </c>
      <c r="C2302">
        <f>118725664063/10^6</f>
      </c>
      <c r="D2302">
        <f>0</f>
      </c>
      <c r="E2302">
        <f>751788879/10^6</f>
      </c>
      <c r="F2302">
        <f>0</f>
      </c>
      <c r="G2302">
        <f>262782013/10^6</f>
      </c>
      <c r="H2302">
        <f>0</f>
      </c>
      <c r="I2302">
        <f>-40173687/10^6</f>
      </c>
      <c r="J2302">
        <f>0</f>
      </c>
    </row>
    <row r="2303">
      <c r="A2303" t="s">
        <v>2312</v>
      </c>
      <c r="B2303" t="s">
        <v>11</v>
      </c>
      <c r="C2303">
        <f>118379757813/10^6</f>
      </c>
      <c r="D2303">
        <f>0</f>
      </c>
      <c r="E2303">
        <f>753905029/10^6</f>
      </c>
      <c r="F2303">
        <f>0</f>
      </c>
      <c r="G2303">
        <f>262667114/10^6</f>
      </c>
      <c r="H2303">
        <f>0</f>
      </c>
      <c r="I2303">
        <f>-40544853/10^6</f>
      </c>
      <c r="J2303">
        <f>0</f>
      </c>
    </row>
    <row r="2304">
      <c r="A2304" t="s">
        <v>2313</v>
      </c>
      <c r="B2304" t="s">
        <v>11</v>
      </c>
      <c r="C2304">
        <f>11801021875/10^5</f>
      </c>
      <c r="D2304">
        <f>0</f>
      </c>
      <c r="E2304">
        <f>7559552/10^4</f>
      </c>
      <c r="F2304">
        <f>0</f>
      </c>
      <c r="G2304">
        <f>262484467/10^6</f>
      </c>
      <c r="H2304">
        <f>0</f>
      </c>
      <c r="I2304">
        <f>-410839/10^4</f>
      </c>
      <c r="J2304">
        <f>0</f>
      </c>
    </row>
    <row r="2305">
      <c r="A2305" t="s">
        <v>2314</v>
      </c>
      <c r="B2305" t="s">
        <v>11</v>
      </c>
      <c r="C2305">
        <f>117627375/10^3</f>
      </c>
      <c r="D2305">
        <f>0</f>
      </c>
      <c r="E2305">
        <f>758023682/10^6</f>
      </c>
      <c r="F2305">
        <f>0</f>
      </c>
      <c r="G2305">
        <f>262271301/10^6</f>
      </c>
      <c r="H2305">
        <f>0</f>
      </c>
      <c r="I2305">
        <f>-41684677/10^6</f>
      </c>
      <c r="J2305">
        <f>0</f>
      </c>
    </row>
    <row r="2306">
      <c r="A2306" t="s">
        <v>2315</v>
      </c>
      <c r="B2306" t="s">
        <v>11</v>
      </c>
      <c r="C2306">
        <f>117240179688/10^6</f>
      </c>
      <c r="D2306">
        <f>0</f>
      </c>
      <c r="E2306">
        <f>760357483/10^6</f>
      </c>
      <c r="F2306">
        <f>0</f>
      </c>
      <c r="G2306">
        <f>262155609/10^6</f>
      </c>
      <c r="H2306">
        <f>0</f>
      </c>
      <c r="I2306">
        <f>-42109386/10^6</f>
      </c>
      <c r="J2306">
        <f>0</f>
      </c>
    </row>
    <row r="2307">
      <c r="A2307" t="s">
        <v>2316</v>
      </c>
      <c r="B2307" t="s">
        <v>11</v>
      </c>
      <c r="C2307">
        <f>116854078125/10^6</f>
      </c>
      <c r="D2307">
        <f>0</f>
      </c>
      <c r="E2307">
        <f>762882019/10^6</f>
      </c>
      <c r="F2307">
        <f>0</f>
      </c>
      <c r="G2307">
        <f>262058716/10^6</f>
      </c>
      <c r="H2307">
        <f>0</f>
      </c>
      <c r="I2307">
        <f>-42603382/10^6</f>
      </c>
      <c r="J2307">
        <f>0</f>
      </c>
    </row>
    <row r="2308">
      <c r="A2308" t="s">
        <v>2317</v>
      </c>
      <c r="B2308" t="s">
        <v>11</v>
      </c>
      <c r="C2308">
        <f>116479742188/10^6</f>
      </c>
      <c r="D2308">
        <f>0</f>
      </c>
      <c r="E2308">
        <f>765139709/10^6</f>
      </c>
      <c r="F2308">
        <f>0</f>
      </c>
      <c r="G2308">
        <f>261954529/10^6</f>
      </c>
      <c r="H2308">
        <f>0</f>
      </c>
      <c r="I2308">
        <f>-430354/10^4</f>
      </c>
      <c r="J2308">
        <f>0</f>
      </c>
    </row>
    <row r="2309">
      <c r="A2309" t="s">
        <v>2318</v>
      </c>
      <c r="B2309" t="s">
        <v>11</v>
      </c>
      <c r="C2309">
        <f>116094171875/10^6</f>
      </c>
      <c r="D2309">
        <f>0</f>
      </c>
      <c r="E2309">
        <f>76716687/10^5</f>
      </c>
      <c r="F2309">
        <f>0</f>
      </c>
      <c r="G2309">
        <f>261847656/10^6</f>
      </c>
      <c r="H2309">
        <f>0</f>
      </c>
      <c r="I2309">
        <f>-43476185/10^6</f>
      </c>
      <c r="J2309">
        <f>0</f>
      </c>
    </row>
    <row r="2310">
      <c r="A2310" t="s">
        <v>2319</v>
      </c>
      <c r="B2310" t="s">
        <v>11</v>
      </c>
      <c r="C2310">
        <f>115654820313/10^6</f>
      </c>
      <c r="D2310">
        <f>0</f>
      </c>
      <c r="E2310">
        <f>769667908/10^6</f>
      </c>
      <c r="F2310">
        <f>0</f>
      </c>
      <c r="G2310">
        <f>261745758/10^6</f>
      </c>
      <c r="H2310">
        <f>0</f>
      </c>
      <c r="I2310">
        <f>-43937443/10^6</f>
      </c>
      <c r="J2310">
        <f>0</f>
      </c>
    </row>
    <row r="2311">
      <c r="A2311" t="s">
        <v>2320</v>
      </c>
      <c r="B2311" t="s">
        <v>11</v>
      </c>
      <c r="C2311">
        <f>115212648438/10^6</f>
      </c>
      <c r="D2311">
        <f>0</f>
      </c>
      <c r="E2311">
        <f>77231311/10^5</f>
      </c>
      <c r="F2311">
        <f>0</f>
      </c>
      <c r="G2311">
        <f>261587921/10^6</f>
      </c>
      <c r="H2311">
        <f>0</f>
      </c>
      <c r="I2311">
        <f>-44250412/10^6</f>
      </c>
      <c r="J2311">
        <f>0</f>
      </c>
    </row>
    <row r="2312">
      <c r="A2312" t="s">
        <v>2321</v>
      </c>
      <c r="B2312" t="s">
        <v>11</v>
      </c>
      <c r="C2312">
        <f>1148908125/10^4</f>
      </c>
      <c r="D2312">
        <f>0</f>
      </c>
      <c r="E2312">
        <f>773240967/10^6</f>
      </c>
      <c r="F2312">
        <f>0</f>
      </c>
      <c r="G2312">
        <f>261387451/10^6</f>
      </c>
      <c r="H2312">
        <f>0</f>
      </c>
      <c r="I2312">
        <f>-44830502/10^6</f>
      </c>
      <c r="J2312">
        <f>0</f>
      </c>
    </row>
    <row r="2313">
      <c r="A2313" t="s">
        <v>2322</v>
      </c>
      <c r="B2313" t="s">
        <v>11</v>
      </c>
      <c r="C2313">
        <f>114705914063/10^6</f>
      </c>
      <c r="D2313">
        <f>0</f>
      </c>
      <c r="E2313">
        <f>772672852/10^6</f>
      </c>
      <c r="F2313">
        <f>0</f>
      </c>
      <c r="G2313">
        <f>2612164/10^4</f>
      </c>
      <c r="H2313">
        <f>0</f>
      </c>
      <c r="I2313">
        <f>-45193451/10^6</f>
      </c>
      <c r="J2313">
        <f>0</f>
      </c>
    </row>
    <row r="2314">
      <c r="A2314" t="s">
        <v>2323</v>
      </c>
      <c r="B2314" t="s">
        <v>11</v>
      </c>
      <c r="C2314">
        <f>114557984375/10^6</f>
      </c>
      <c r="D2314">
        <f>0</f>
      </c>
      <c r="E2314">
        <f>772914917/10^6</f>
      </c>
      <c r="F2314">
        <f>0</f>
      </c>
      <c r="G2314">
        <f>260766388/10^6</f>
      </c>
      <c r="H2314">
        <f>0</f>
      </c>
      <c r="I2314">
        <f>-44557892/10^6</f>
      </c>
      <c r="J2314">
        <f>0</f>
      </c>
    </row>
    <row r="2315">
      <c r="A2315" t="s">
        <v>2324</v>
      </c>
      <c r="B2315" t="s">
        <v>11</v>
      </c>
      <c r="C2315">
        <f>114417335938/10^6</f>
      </c>
      <c r="D2315">
        <f>0</f>
      </c>
      <c r="E2315">
        <f>774007507/10^6</f>
      </c>
      <c r="F2315">
        <f>0</f>
      </c>
      <c r="G2315">
        <f>260197968/10^6</f>
      </c>
      <c r="H2315">
        <f>0</f>
      </c>
      <c r="I2315">
        <f>-43755413/10^6</f>
      </c>
      <c r="J2315">
        <f>0</f>
      </c>
    </row>
    <row r="2316">
      <c r="A2316" t="s">
        <v>2325</v>
      </c>
      <c r="B2316" t="s">
        <v>11</v>
      </c>
      <c r="C2316">
        <f>114292976563/10^6</f>
      </c>
      <c r="D2316">
        <f>0</f>
      </c>
      <c r="E2316">
        <f>774743042/10^6</f>
      </c>
      <c r="F2316">
        <f>0</f>
      </c>
      <c r="G2316">
        <f>260053223/10^6</f>
      </c>
      <c r="H2316">
        <f>0</f>
      </c>
      <c r="I2316">
        <f>-4351136/10^5</f>
      </c>
      <c r="J2316">
        <f>0</f>
      </c>
    </row>
    <row r="2317">
      <c r="A2317" t="s">
        <v>2326</v>
      </c>
      <c r="B2317" t="s">
        <v>11</v>
      </c>
      <c r="C2317">
        <f>114154414063/10^6</f>
      </c>
      <c r="D2317">
        <f>0</f>
      </c>
      <c r="E2317">
        <f>775196045/10^6</f>
      </c>
      <c r="F2317">
        <f>0</f>
      </c>
      <c r="G2317">
        <f>260109131/10^6</f>
      </c>
      <c r="H2317">
        <f>0</f>
      </c>
      <c r="I2317">
        <f>-43556313/10^6</f>
      </c>
      <c r="J2317">
        <f>0</f>
      </c>
    </row>
    <row r="2318">
      <c r="A2318" t="s">
        <v>2327</v>
      </c>
      <c r="B2318" t="s">
        <v>11</v>
      </c>
      <c r="C2318">
        <f>114051609375/10^6</f>
      </c>
      <c r="D2318">
        <f>0</f>
      </c>
      <c r="E2318">
        <f>775595276/10^6</f>
      </c>
      <c r="F2318">
        <f>0</f>
      </c>
      <c r="G2318">
        <f>26006604/10^5</f>
      </c>
      <c r="H2318">
        <f>0</f>
      </c>
      <c r="I2318">
        <f>-43426872/10^6</f>
      </c>
      <c r="J2318">
        <f>0</f>
      </c>
    </row>
    <row r="2319">
      <c r="A2319" t="s">
        <v>2328</v>
      </c>
      <c r="B2319" t="s">
        <v>11</v>
      </c>
      <c r="C2319">
        <f>114009367188/10^6</f>
      </c>
      <c r="D2319">
        <f>0</f>
      </c>
      <c r="E2319">
        <f>775861633/10^6</f>
      </c>
      <c r="F2319">
        <f>0</f>
      </c>
      <c r="G2319">
        <f>260074707/10^6</f>
      </c>
      <c r="H2319">
        <f>0</f>
      </c>
      <c r="I2319">
        <f>-42558289/10^6</f>
      </c>
      <c r="J2319">
        <f>0</f>
      </c>
    </row>
    <row r="2320">
      <c r="A2320" t="s">
        <v>2329</v>
      </c>
      <c r="B2320" t="s">
        <v>11</v>
      </c>
      <c r="C2320">
        <f>113954367188/10^6</f>
      </c>
      <c r="D2320">
        <f>0</f>
      </c>
      <c r="E2320">
        <f>775695679/10^6</f>
      </c>
      <c r="F2320">
        <f>0</f>
      </c>
      <c r="G2320">
        <f>260158051/10^6</f>
      </c>
      <c r="H2320">
        <f>0</f>
      </c>
      <c r="I2320">
        <f>-415177/10^4</f>
      </c>
      <c r="J2320">
        <f>0</f>
      </c>
    </row>
    <row r="2321">
      <c r="A2321" t="s">
        <v>2330</v>
      </c>
      <c r="B2321" t="s">
        <v>11</v>
      </c>
      <c r="C2321">
        <f>11388825/10^2</f>
      </c>
      <c r="D2321">
        <f>0</f>
      </c>
      <c r="E2321">
        <f>774934814/10^6</f>
      </c>
      <c r="F2321">
        <f>0</f>
      </c>
      <c r="G2321">
        <f>260028748/10^6</f>
      </c>
      <c r="H2321">
        <f>0</f>
      </c>
      <c r="I2321">
        <f>-41189228/10^6</f>
      </c>
      <c r="J2321">
        <f>0</f>
      </c>
    </row>
    <row r="2322">
      <c r="A2322" t="s">
        <v>2331</v>
      </c>
      <c r="B2322" t="s">
        <v>11</v>
      </c>
      <c r="C2322">
        <f>11383896875/10^5</f>
      </c>
      <c r="D2322">
        <f>0</f>
      </c>
      <c r="E2322">
        <f>774448792/10^6</f>
      </c>
      <c r="F2322">
        <f>0</f>
      </c>
      <c r="G2322">
        <f>259650269/10^6</f>
      </c>
      <c r="H2322">
        <f>0</f>
      </c>
      <c r="I2322">
        <f>-41099697/10^6</f>
      </c>
      <c r="J2322">
        <f>0</f>
      </c>
    </row>
    <row r="2323">
      <c r="A2323" t="s">
        <v>2332</v>
      </c>
      <c r="B2323" t="s">
        <v>11</v>
      </c>
      <c r="C2323">
        <f>113774039063/10^6</f>
      </c>
      <c r="D2323">
        <f>0</f>
      </c>
      <c r="E2323">
        <f>774741638/10^6</f>
      </c>
      <c r="F2323">
        <f>0</f>
      </c>
      <c r="G2323">
        <f>259435699/10^6</f>
      </c>
      <c r="H2323">
        <f>0</f>
      </c>
      <c r="I2323">
        <f>-40917305/10^6</f>
      </c>
      <c r="J2323">
        <f>0</f>
      </c>
    </row>
    <row r="2324">
      <c r="A2324" t="s">
        <v>2333</v>
      </c>
      <c r="B2324" t="s">
        <v>11</v>
      </c>
      <c r="C2324">
        <f>113703609375/10^6</f>
      </c>
      <c r="D2324">
        <f>0</f>
      </c>
      <c r="E2324">
        <f>775156738/10^6</f>
      </c>
      <c r="F2324">
        <f>0</f>
      </c>
      <c r="G2324">
        <f>259363342/10^6</f>
      </c>
      <c r="H2324">
        <f>0</f>
      </c>
      <c r="I2324">
        <f>-40807835/10^6</f>
      </c>
      <c r="J2324">
        <f>0</f>
      </c>
    </row>
    <row r="2325">
      <c r="A2325" t="s">
        <v>2334</v>
      </c>
      <c r="B2325" t="s">
        <v>11</v>
      </c>
      <c r="C2325">
        <f>11371965625/10^5</f>
      </c>
      <c r="D2325">
        <f>0</f>
      </c>
      <c r="E2325">
        <f>775346924/10^6</f>
      </c>
      <c r="F2325">
        <f>0</f>
      </c>
      <c r="G2325">
        <f>259198883/10^6</f>
      </c>
      <c r="H2325">
        <f>0</f>
      </c>
      <c r="I2325">
        <f>-40710136/10^6</f>
      </c>
      <c r="J2325">
        <f>0</f>
      </c>
    </row>
    <row r="2326">
      <c r="A2326" t="s">
        <v>2335</v>
      </c>
      <c r="B2326" t="s">
        <v>11</v>
      </c>
      <c r="C2326">
        <f>113868460938/10^6</f>
      </c>
      <c r="D2326">
        <f>0</f>
      </c>
      <c r="E2326">
        <f>775261597/10^6</f>
      </c>
      <c r="F2326">
        <f>0</f>
      </c>
      <c r="G2326">
        <f>259321564/10^6</f>
      </c>
      <c r="H2326">
        <f>0</f>
      </c>
      <c r="I2326">
        <f>-40626488/10^6</f>
      </c>
      <c r="J2326">
        <f>0</f>
      </c>
    </row>
    <row r="2327">
      <c r="A2327" t="s">
        <v>2336</v>
      </c>
      <c r="B2327" t="s">
        <v>11</v>
      </c>
      <c r="C2327">
        <f>114078078125/10^6</f>
      </c>
      <c r="D2327">
        <f>0</f>
      </c>
      <c r="E2327">
        <f>774630737/10^6</f>
      </c>
      <c r="F2327">
        <f>0</f>
      </c>
      <c r="G2327">
        <f>259781616/10^6</f>
      </c>
      <c r="H2327">
        <f>0</f>
      </c>
      <c r="I2327">
        <f>-40618832/10^6</f>
      </c>
      <c r="J2327">
        <f>0</f>
      </c>
    </row>
    <row r="2328">
      <c r="A2328" t="s">
        <v>2337</v>
      </c>
      <c r="B2328" t="s">
        <v>11</v>
      </c>
      <c r="C2328">
        <f>1142978125/10^4</f>
      </c>
      <c r="D2328">
        <f>0</f>
      </c>
      <c r="E2328">
        <f>773391296/10^6</f>
      </c>
      <c r="F2328">
        <f>0</f>
      </c>
      <c r="G2328">
        <f>260092926/10^6</f>
      </c>
      <c r="H2328">
        <f>0</f>
      </c>
      <c r="I2328">
        <f>-40557938/10^6</f>
      </c>
      <c r="J2328">
        <f>0</f>
      </c>
    </row>
    <row r="2329">
      <c r="A2329" t="s">
        <v>2338</v>
      </c>
      <c r="B2329" t="s">
        <v>11</v>
      </c>
      <c r="C2329">
        <f>114592773438/10^6</f>
      </c>
      <c r="D2329">
        <f>0</f>
      </c>
      <c r="E2329">
        <f>771729309/10^6</f>
      </c>
      <c r="F2329">
        <f>0</f>
      </c>
      <c r="G2329">
        <f>260200348/10^6</f>
      </c>
      <c r="H2329">
        <f>0</f>
      </c>
      <c r="I2329">
        <f>-40230923/10^6</f>
      </c>
      <c r="J2329">
        <f>0</f>
      </c>
    </row>
    <row r="2330">
      <c r="A2330" t="s">
        <v>2339</v>
      </c>
      <c r="B2330" t="s">
        <v>11</v>
      </c>
      <c r="C2330">
        <f>115011085938/10^6</f>
      </c>
      <c r="D2330">
        <f>0</f>
      </c>
      <c r="E2330">
        <f>770010742/10^6</f>
      </c>
      <c r="F2330">
        <f>0</f>
      </c>
      <c r="G2330">
        <f>260256042/10^6</f>
      </c>
      <c r="H2330">
        <f>0</f>
      </c>
      <c r="I2330">
        <f>-39879585/10^6</f>
      </c>
      <c r="J2330">
        <f>0</f>
      </c>
    </row>
    <row r="2331">
      <c r="A2331" t="s">
        <v>2340</v>
      </c>
      <c r="B2331" t="s">
        <v>11</v>
      </c>
      <c r="C2331">
        <f>115496554688/10^6</f>
      </c>
      <c r="D2331">
        <f>0</f>
      </c>
      <c r="E2331">
        <f>768631958/10^6</f>
      </c>
      <c r="F2331">
        <f>0</f>
      </c>
      <c r="G2331">
        <f>260645874/10^6</f>
      </c>
      <c r="H2331">
        <f>0</f>
      </c>
      <c r="I2331">
        <f>-39615551/10^6</f>
      </c>
      <c r="J2331">
        <f>0</f>
      </c>
    </row>
    <row r="2332">
      <c r="A2332" t="s">
        <v>2341</v>
      </c>
      <c r="B2332" t="s">
        <v>11</v>
      </c>
      <c r="C2332">
        <f>115995117188/10^6</f>
      </c>
      <c r="D2332">
        <f>0</f>
      </c>
      <c r="E2332">
        <f>767354919/10^6</f>
      </c>
      <c r="F2332">
        <f>0</f>
      </c>
      <c r="G2332">
        <f>261391022/10^6</f>
      </c>
      <c r="H2332">
        <f>0</f>
      </c>
      <c r="I2332">
        <f>-39224747/10^6</f>
      </c>
      <c r="J2332">
        <f>0</f>
      </c>
    </row>
    <row r="2333">
      <c r="A2333" t="s">
        <v>2342</v>
      </c>
      <c r="B2333" t="s">
        <v>11</v>
      </c>
      <c r="C2333">
        <f>116505585938/10^6</f>
      </c>
      <c r="D2333">
        <f>0</f>
      </c>
      <c r="E2333">
        <f>765697449/10^6</f>
      </c>
      <c r="F2333">
        <f>0</f>
      </c>
      <c r="G2333">
        <f>261943481/10^6</f>
      </c>
      <c r="H2333">
        <f>0</f>
      </c>
      <c r="I2333">
        <f>-38911304/10^6</f>
      </c>
      <c r="J2333">
        <f>0</f>
      </c>
    </row>
    <row r="2334">
      <c r="A2334" t="s">
        <v>2343</v>
      </c>
      <c r="B2334" t="s">
        <v>11</v>
      </c>
      <c r="C2334">
        <f>117037578125/10^6</f>
      </c>
      <c r="D2334">
        <f>0</f>
      </c>
      <c r="E2334">
        <f>763718506/10^6</f>
      </c>
      <c r="F2334">
        <f>0</f>
      </c>
      <c r="G2334">
        <f>262561432/10^6</f>
      </c>
      <c r="H2334">
        <f>0</f>
      </c>
      <c r="I2334">
        <f>-38728168/10^6</f>
      </c>
      <c r="J2334">
        <f>0</f>
      </c>
    </row>
    <row r="2335">
      <c r="A2335" t="s">
        <v>2344</v>
      </c>
      <c r="B2335" t="s">
        <v>11</v>
      </c>
      <c r="C2335">
        <f>11762290625/10^5</f>
      </c>
      <c r="D2335">
        <f>0</f>
      </c>
      <c r="E2335">
        <f>761466675/10^6</f>
      </c>
      <c r="F2335">
        <f>0</f>
      </c>
      <c r="G2335">
        <f>263261688/10^6</f>
      </c>
      <c r="H2335">
        <f>0</f>
      </c>
      <c r="I2335">
        <f>-38539944/10^6</f>
      </c>
      <c r="J2335">
        <f>0</f>
      </c>
    </row>
    <row r="2336">
      <c r="A2336" t="s">
        <v>2345</v>
      </c>
      <c r="B2336" t="s">
        <v>11</v>
      </c>
      <c r="C2336">
        <f>118285132813/10^6</f>
      </c>
      <c r="D2336">
        <f>0</f>
      </c>
      <c r="E2336">
        <f>758788757/10^6</f>
      </c>
      <c r="F2336">
        <f>0</f>
      </c>
      <c r="G2336">
        <f>263783569/10^6</f>
      </c>
      <c r="H2336">
        <f>0</f>
      </c>
      <c r="I2336">
        <f>-38288799/10^6</f>
      </c>
      <c r="J2336">
        <f>0</f>
      </c>
    </row>
    <row r="2337">
      <c r="A2337" t="s">
        <v>2346</v>
      </c>
      <c r="B2337" t="s">
        <v>11</v>
      </c>
      <c r="C2337">
        <f>119009453125/10^6</f>
      </c>
      <c r="D2337">
        <f>0</f>
      </c>
      <c r="E2337">
        <f>755545898/10^6</f>
      </c>
      <c r="F2337">
        <f>0</f>
      </c>
      <c r="G2337">
        <f>264448608/10^6</f>
      </c>
      <c r="H2337">
        <f>0</f>
      </c>
      <c r="I2337">
        <f>-38008228/10^6</f>
      </c>
      <c r="J2337">
        <f>0</f>
      </c>
    </row>
    <row r="2338">
      <c r="A2338" t="s">
        <v>2347</v>
      </c>
      <c r="B2338" t="s">
        <v>11</v>
      </c>
      <c r="C2338">
        <f>119790609375/10^6</f>
      </c>
      <c r="D2338">
        <f>0</f>
      </c>
      <c r="E2338">
        <f>751453979/10^6</f>
      </c>
      <c r="F2338">
        <f>0</f>
      </c>
      <c r="G2338">
        <f>26497348/10^5</f>
      </c>
      <c r="H2338">
        <f>0</f>
      </c>
      <c r="I2338">
        <f>-37727783/10^6</f>
      </c>
      <c r="J2338">
        <f>0</f>
      </c>
    </row>
    <row r="2339">
      <c r="A2339" t="s">
        <v>2348</v>
      </c>
      <c r="B2339" t="s">
        <v>11</v>
      </c>
      <c r="C2339">
        <f>120617117188/10^6</f>
      </c>
      <c r="D2339">
        <f>0</f>
      </c>
      <c r="E2339">
        <f>746692444/10^6</f>
      </c>
      <c r="F2339">
        <f>0</f>
      </c>
      <c r="G2339">
        <f>26533725/10^5</f>
      </c>
      <c r="H2339">
        <f>0</f>
      </c>
      <c r="I2339">
        <f>-37125946/10^6</f>
      </c>
      <c r="J2339">
        <f>0</f>
      </c>
    </row>
    <row r="2340">
      <c r="A2340" t="s">
        <v>2349</v>
      </c>
      <c r="B2340" t="s">
        <v>11</v>
      </c>
      <c r="C2340">
        <f>121431890625/10^6</f>
      </c>
      <c r="D2340">
        <f>0</f>
      </c>
      <c r="E2340">
        <f>742106812/10^6</f>
      </c>
      <c r="F2340">
        <f>0</f>
      </c>
      <c r="G2340">
        <f>265777527/10^6</f>
      </c>
      <c r="H2340">
        <f>0</f>
      </c>
      <c r="I2340">
        <f>-36487625/10^6</f>
      </c>
      <c r="J2340">
        <f>0</f>
      </c>
    </row>
    <row r="2341">
      <c r="A2341" t="s">
        <v>2350</v>
      </c>
      <c r="B2341" t="s">
        <v>11</v>
      </c>
      <c r="C2341">
        <f>122148320313/10^6</f>
      </c>
      <c r="D2341">
        <f>0</f>
      </c>
      <c r="E2341">
        <f>737997681/10^6</f>
      </c>
      <c r="F2341">
        <f>0</f>
      </c>
      <c r="G2341">
        <f>265930878/10^6</f>
      </c>
      <c r="H2341">
        <f>0</f>
      </c>
      <c r="I2341">
        <f>-35979137/10^6</f>
      </c>
      <c r="J2341">
        <f>0</f>
      </c>
    </row>
    <row r="2342">
      <c r="A2342" t="s">
        <v>2351</v>
      </c>
      <c r="B2342" t="s">
        <v>11</v>
      </c>
      <c r="C2342">
        <f>122667359375/10^6</f>
      </c>
      <c r="D2342">
        <f>0</f>
      </c>
      <c r="E2342">
        <f>734390625/10^6</f>
      </c>
      <c r="F2342">
        <f>0</f>
      </c>
      <c r="G2342">
        <f>265950775/10^6</f>
      </c>
      <c r="H2342">
        <f>0</f>
      </c>
      <c r="I2342">
        <f>-35132622/10^6</f>
      </c>
      <c r="J2342">
        <f>0</f>
      </c>
    </row>
    <row r="2343">
      <c r="A2343" t="s">
        <v>2352</v>
      </c>
      <c r="B2343" t="s">
        <v>11</v>
      </c>
      <c r="C2343">
        <f>122959546875/10^6</f>
      </c>
      <c r="D2343">
        <f>0</f>
      </c>
      <c r="E2343">
        <f>73188678/10^5</f>
      </c>
      <c r="F2343">
        <f>0</f>
      </c>
      <c r="G2343">
        <f>26598175/10^5</f>
      </c>
      <c r="H2343">
        <f>0</f>
      </c>
      <c r="I2343">
        <f>-34539894/10^6</f>
      </c>
      <c r="J2343">
        <f>0</f>
      </c>
    </row>
    <row r="2344">
      <c r="A2344" t="s">
        <v>2353</v>
      </c>
      <c r="B2344" t="s">
        <v>11</v>
      </c>
      <c r="C2344">
        <f>123104695313/10^6</f>
      </c>
      <c r="D2344">
        <f>0</f>
      </c>
      <c r="E2344">
        <f>73046875/10^5</f>
      </c>
      <c r="F2344">
        <f>0</f>
      </c>
      <c r="G2344">
        <f>265791656/10^6</f>
      </c>
      <c r="H2344">
        <f>0</f>
      </c>
      <c r="I2344">
        <f>-3452961/10^5</f>
      </c>
      <c r="J2344">
        <f>0</f>
      </c>
    </row>
    <row r="2345">
      <c r="A2345" t="s">
        <v>2354</v>
      </c>
      <c r="B2345" t="s">
        <v>11</v>
      </c>
      <c r="C2345">
        <f>123167382813/10^6</f>
      </c>
      <c r="D2345">
        <f>0</f>
      </c>
      <c r="E2345">
        <f>729521057/10^6</f>
      </c>
      <c r="F2345">
        <f>0</f>
      </c>
      <c r="G2345">
        <f>265594116/10^6</f>
      </c>
      <c r="H2345">
        <f>0</f>
      </c>
      <c r="I2345">
        <f>-3449382/10^5</f>
      </c>
      <c r="J2345">
        <f>0</f>
      </c>
    </row>
    <row r="2346">
      <c r="A2346" t="s">
        <v>2355</v>
      </c>
      <c r="B2346" t="s">
        <v>11</v>
      </c>
      <c r="C2346">
        <f>123145117188/10^6</f>
      </c>
      <c r="D2346">
        <f>0</f>
      </c>
      <c r="E2346">
        <f>728955505/10^6</f>
      </c>
      <c r="F2346">
        <f>0</f>
      </c>
      <c r="G2346">
        <f>265364288/10^6</f>
      </c>
      <c r="H2346">
        <f>0</f>
      </c>
      <c r="I2346">
        <f>-34526253/10^6</f>
      </c>
      <c r="J2346">
        <f>0</f>
      </c>
    </row>
    <row r="2347">
      <c r="A2347" t="s">
        <v>2356</v>
      </c>
      <c r="B2347" t="s">
        <v>11</v>
      </c>
      <c r="C2347">
        <f>123038117188/10^6</f>
      </c>
      <c r="D2347">
        <f>0</f>
      </c>
      <c r="E2347">
        <f>728818848/10^6</f>
      </c>
      <c r="F2347">
        <f>0</f>
      </c>
      <c r="G2347">
        <f>26492392/10^5</f>
      </c>
      <c r="H2347">
        <f>0</f>
      </c>
      <c r="I2347">
        <f>-34717854/10^6</f>
      </c>
      <c r="J2347">
        <f>0</f>
      </c>
    </row>
    <row r="2348">
      <c r="A2348" t="s">
        <v>2357</v>
      </c>
      <c r="B2348" t="s">
        <v>11</v>
      </c>
      <c r="C2348">
        <f>1228701875/10^4</f>
      </c>
      <c r="D2348">
        <f>0</f>
      </c>
      <c r="E2348">
        <f>729144836/10^6</f>
      </c>
      <c r="F2348">
        <f>0</f>
      </c>
      <c r="G2348">
        <f>264604431/10^6</f>
      </c>
      <c r="H2348">
        <f>0</f>
      </c>
      <c r="I2348">
        <f>-34870457/10^6</f>
      </c>
      <c r="J2348">
        <f>0</f>
      </c>
    </row>
    <row r="2349">
      <c r="A2349" t="s">
        <v>2358</v>
      </c>
      <c r="B2349" t="s">
        <v>11</v>
      </c>
      <c r="C2349">
        <f>122666664063/10^6</f>
      </c>
      <c r="D2349">
        <f>0</f>
      </c>
      <c r="E2349">
        <f>729796265/10^6</f>
      </c>
      <c r="F2349">
        <f>0</f>
      </c>
      <c r="G2349">
        <f>264433655/10^6</f>
      </c>
      <c r="H2349">
        <f>0</f>
      </c>
      <c r="I2349">
        <f>-35142807/10^6</f>
      </c>
      <c r="J2349">
        <f>0</f>
      </c>
    </row>
    <row r="2350">
      <c r="A2350" t="s">
        <v>2359</v>
      </c>
      <c r="B2350" t="s">
        <v>11</v>
      </c>
      <c r="C2350">
        <f>1224505/10^1</f>
      </c>
      <c r="D2350">
        <f>0</f>
      </c>
      <c r="E2350">
        <f>730492004/10^6</f>
      </c>
      <c r="F2350">
        <f>0</f>
      </c>
      <c r="G2350">
        <f>264242737/10^6</f>
      </c>
      <c r="H2350">
        <f>0</f>
      </c>
      <c r="I2350">
        <f>-35437752/10^6</f>
      </c>
      <c r="J2350">
        <f>0</f>
      </c>
    </row>
    <row r="2351">
      <c r="A2351" t="s">
        <v>2360</v>
      </c>
      <c r="B2351" t="s">
        <v>11</v>
      </c>
      <c r="C2351">
        <f>122213046875/10^6</f>
      </c>
      <c r="D2351">
        <f>0</f>
      </c>
      <c r="E2351">
        <f>731537415/10^6</f>
      </c>
      <c r="F2351">
        <f>0</f>
      </c>
      <c r="G2351">
        <f>264063354/10^6</f>
      </c>
      <c r="H2351">
        <f>0</f>
      </c>
      <c r="I2351">
        <f>-35735394/10^6</f>
      </c>
      <c r="J2351">
        <f>0</f>
      </c>
    </row>
    <row r="2352">
      <c r="A2352" t="s">
        <v>2361</v>
      </c>
      <c r="B2352" t="s">
        <v>11</v>
      </c>
      <c r="C2352">
        <f>12191059375/10^5</f>
      </c>
      <c r="D2352">
        <f>0</f>
      </c>
      <c r="E2352">
        <f>733099121/10^6</f>
      </c>
      <c r="F2352">
        <f>0</f>
      </c>
      <c r="G2352">
        <f>263859009/10^6</f>
      </c>
      <c r="H2352">
        <f>0</f>
      </c>
      <c r="I2352">
        <f>-36141857/10^6</f>
      </c>
      <c r="J2352">
        <f>0</f>
      </c>
    </row>
    <row r="2353">
      <c r="A2353" t="s">
        <v>2362</v>
      </c>
      <c r="B2353" t="s">
        <v>11</v>
      </c>
      <c r="C2353">
        <f>121551523438/10^6</f>
      </c>
      <c r="D2353">
        <f>0</f>
      </c>
      <c r="E2353">
        <f>734940491/10^6</f>
      </c>
      <c r="F2353">
        <f>0</f>
      </c>
      <c r="G2353">
        <f>263686676/10^6</f>
      </c>
      <c r="H2353">
        <f>0</f>
      </c>
      <c r="I2353">
        <f>-36501678/10^6</f>
      </c>
      <c r="J2353">
        <f>0</f>
      </c>
    </row>
    <row r="2354">
      <c r="A2354" t="s">
        <v>2363</v>
      </c>
      <c r="B2354" t="s">
        <v>11</v>
      </c>
      <c r="C2354">
        <f>1211721875/10^4</f>
      </c>
      <c r="D2354">
        <f>0</f>
      </c>
      <c r="E2354">
        <f>736933044/10^6</f>
      </c>
      <c r="F2354">
        <f>0</f>
      </c>
      <c r="G2354">
        <f>263483917/10^6</f>
      </c>
      <c r="H2354">
        <f>0</f>
      </c>
      <c r="I2354">
        <f>-36993965/10^6</f>
      </c>
      <c r="J2354">
        <f>0</f>
      </c>
    </row>
    <row r="2355">
      <c r="A2355" t="s">
        <v>2364</v>
      </c>
      <c r="B2355" t="s">
        <v>11</v>
      </c>
      <c r="C2355">
        <f>120772195313/10^6</f>
      </c>
      <c r="D2355">
        <f>0</f>
      </c>
      <c r="E2355">
        <f>739046448/10^6</f>
      </c>
      <c r="F2355">
        <f>0</f>
      </c>
      <c r="G2355">
        <f>263246246/10^6</f>
      </c>
      <c r="H2355">
        <f>0</f>
      </c>
      <c r="I2355">
        <f>-37511635/10^6</f>
      </c>
      <c r="J2355">
        <f>0</f>
      </c>
    </row>
    <row r="2356">
      <c r="A2356" t="s">
        <v>2365</v>
      </c>
      <c r="B2356" t="s">
        <v>11</v>
      </c>
      <c r="C2356">
        <f>120344617188/10^6</f>
      </c>
      <c r="D2356">
        <f>0</f>
      </c>
      <c r="E2356">
        <f>741537903/10^6</f>
      </c>
      <c r="F2356">
        <f>0</f>
      </c>
      <c r="G2356">
        <f>263110504/10^6</f>
      </c>
      <c r="H2356">
        <f>0</f>
      </c>
      <c r="I2356">
        <f>-3801812/10^5</f>
      </c>
      <c r="J2356">
        <f>0</f>
      </c>
    </row>
    <row r="2357">
      <c r="A2357" t="s">
        <v>2366</v>
      </c>
      <c r="B2357" t="s">
        <v>11</v>
      </c>
      <c r="C2357">
        <f>119871898438/10^6</f>
      </c>
      <c r="D2357">
        <f>0</f>
      </c>
      <c r="E2357">
        <f>744459473/10^6</f>
      </c>
      <c r="F2357">
        <f>0</f>
      </c>
      <c r="G2357">
        <f>263019531/10^6</f>
      </c>
      <c r="H2357">
        <f>0</f>
      </c>
      <c r="I2357">
        <f>-38740982/10^6</f>
      </c>
      <c r="J2357">
        <f>0</f>
      </c>
    </row>
    <row r="2358">
      <c r="A2358" t="s">
        <v>2367</v>
      </c>
      <c r="B2358" t="s">
        <v>11</v>
      </c>
      <c r="C2358">
        <f>119361632813/10^6</f>
      </c>
      <c r="D2358">
        <f>0</f>
      </c>
      <c r="E2358">
        <f>747370422/10^6</f>
      </c>
      <c r="F2358">
        <f>0</f>
      </c>
      <c r="G2358">
        <f>262908264/10^6</f>
      </c>
      <c r="H2358">
        <f>0</f>
      </c>
      <c r="I2358">
        <f>-39335575/10^6</f>
      </c>
      <c r="J2358">
        <f>0</f>
      </c>
    </row>
    <row r="2359">
      <c r="A2359" t="s">
        <v>2368</v>
      </c>
      <c r="B2359" t="s">
        <v>11</v>
      </c>
      <c r="C2359">
        <f>118845828125/10^6</f>
      </c>
      <c r="D2359">
        <f>0</f>
      </c>
      <c r="E2359">
        <f>750184021/10^6</f>
      </c>
      <c r="F2359">
        <f>0</f>
      </c>
      <c r="G2359">
        <f>262702667/10^6</f>
      </c>
      <c r="H2359">
        <f>0</f>
      </c>
      <c r="I2359">
        <f>-39938438/10^6</f>
      </c>
      <c r="J2359">
        <f>0</f>
      </c>
    </row>
    <row r="2360">
      <c r="A2360" t="s">
        <v>2369</v>
      </c>
      <c r="B2360" t="s">
        <v>11</v>
      </c>
      <c r="C2360">
        <f>118311164063/10^6</f>
      </c>
      <c r="D2360">
        <f>0</f>
      </c>
      <c r="E2360">
        <f>753264343/10^6</f>
      </c>
      <c r="F2360">
        <f>0</f>
      </c>
      <c r="G2360">
        <f>262483765/10^6</f>
      </c>
      <c r="H2360">
        <f>0</f>
      </c>
      <c r="I2360">
        <f>-40589195/10^6</f>
      </c>
      <c r="J2360">
        <f>0</f>
      </c>
    </row>
    <row r="2361">
      <c r="A2361" t="s">
        <v>2370</v>
      </c>
      <c r="B2361" t="s">
        <v>11</v>
      </c>
      <c r="C2361">
        <f>1177603125/10^4</f>
      </c>
      <c r="D2361">
        <f>0</f>
      </c>
      <c r="E2361">
        <f>756535095/10^6</f>
      </c>
      <c r="F2361">
        <f>0</f>
      </c>
      <c r="G2361">
        <f>262307526/10^6</f>
      </c>
      <c r="H2361">
        <f>0</f>
      </c>
      <c r="I2361">
        <f>-41174332/10^6</f>
      </c>
      <c r="J2361">
        <f>0</f>
      </c>
    </row>
    <row r="2362">
      <c r="A2362" t="s">
        <v>2371</v>
      </c>
      <c r="B2362" t="s">
        <v>11</v>
      </c>
      <c r="C2362">
        <f>11722053125/10^5</f>
      </c>
      <c r="D2362">
        <f>0</f>
      </c>
      <c r="E2362">
        <f>759649475/10^6</f>
      </c>
      <c r="F2362">
        <f>0</f>
      </c>
      <c r="G2362">
        <f>262077667/10^6</f>
      </c>
      <c r="H2362">
        <f>0</f>
      </c>
      <c r="I2362">
        <f>-41934864/10^6</f>
      </c>
      <c r="J2362">
        <f>0</f>
      </c>
    </row>
    <row r="2363">
      <c r="A2363" t="s">
        <v>2372</v>
      </c>
      <c r="B2363" t="s">
        <v>11</v>
      </c>
      <c r="C2363">
        <f>116660039063/10^6</f>
      </c>
      <c r="D2363">
        <f>0</f>
      </c>
      <c r="E2363">
        <f>762939575/10^6</f>
      </c>
      <c r="F2363">
        <f>0</f>
      </c>
      <c r="G2363">
        <f>261888153/10^6</f>
      </c>
      <c r="H2363">
        <f>0</f>
      </c>
      <c r="I2363">
        <f>-42550304/10^6</f>
      </c>
      <c r="J2363">
        <f>0</f>
      </c>
    </row>
    <row r="2364">
      <c r="A2364" t="s">
        <v>2373</v>
      </c>
      <c r="B2364" t="s">
        <v>11</v>
      </c>
      <c r="C2364">
        <f>116087140625/10^6</f>
      </c>
      <c r="D2364">
        <f>0</f>
      </c>
      <c r="E2364">
        <f>766310181/10^6</f>
      </c>
      <c r="F2364">
        <f>0</f>
      </c>
      <c r="G2364">
        <f>261677246/10^6</f>
      </c>
      <c r="H2364">
        <f>0</f>
      </c>
      <c r="I2364">
        <f>-43264462/10^6</f>
      </c>
      <c r="J2364">
        <f>0</f>
      </c>
    </row>
    <row r="2365">
      <c r="A2365" t="s">
        <v>2374</v>
      </c>
      <c r="B2365" t="s">
        <v>11</v>
      </c>
      <c r="C2365">
        <f>115580132813/10^6</f>
      </c>
      <c r="D2365">
        <f>0</f>
      </c>
      <c r="E2365">
        <f>769923218/10^6</f>
      </c>
      <c r="F2365">
        <f>0</f>
      </c>
      <c r="G2365">
        <f>261419464/10^6</f>
      </c>
      <c r="H2365">
        <f>0</f>
      </c>
      <c r="I2365">
        <f>-44092442/10^6</f>
      </c>
      <c r="J2365">
        <f>0</f>
      </c>
    </row>
    <row r="2366">
      <c r="A2366" t="s">
        <v>2375</v>
      </c>
      <c r="B2366" t="s">
        <v>11</v>
      </c>
      <c r="C2366">
        <f>1151603125/10^4</f>
      </c>
      <c r="D2366">
        <f>0</f>
      </c>
      <c r="E2366">
        <f>772791382/10^6</f>
      </c>
      <c r="F2366">
        <f>0</f>
      </c>
      <c r="G2366">
        <f>261277588/10^6</f>
      </c>
      <c r="H2366">
        <f>0</f>
      </c>
      <c r="I2366">
        <f>-44369991/10^6</f>
      </c>
      <c r="J2366">
        <f>0</f>
      </c>
    </row>
    <row r="2367">
      <c r="A2367" t="s">
        <v>2376</v>
      </c>
      <c r="B2367" t="s">
        <v>11</v>
      </c>
      <c r="C2367">
        <f>114923960938/10^6</f>
      </c>
      <c r="D2367">
        <f>0</f>
      </c>
      <c r="E2367">
        <f>770610657/10^6</f>
      </c>
      <c r="F2367">
        <f>0</f>
      </c>
      <c r="G2367">
        <f>261259613/10^6</f>
      </c>
      <c r="H2367">
        <f>0</f>
      </c>
      <c r="I2367">
        <f>-44784504/10^6</f>
      </c>
      <c r="J2367">
        <f>0</f>
      </c>
    </row>
    <row r="2368">
      <c r="A2368" t="s">
        <v>2377</v>
      </c>
      <c r="B2368" t="s">
        <v>11</v>
      </c>
      <c r="C2368">
        <f>114948929688/10^6</f>
      </c>
      <c r="D2368">
        <f>0</f>
      </c>
      <c r="E2368">
        <f>766066589/10^6</f>
      </c>
      <c r="F2368">
        <f>0</f>
      </c>
      <c r="G2368">
        <f>261160187/10^6</f>
      </c>
      <c r="H2368">
        <f>0</f>
      </c>
      <c r="I2368">
        <f>-44981247/10^6</f>
      </c>
      <c r="J2368">
        <f>0</f>
      </c>
    </row>
    <row r="2369">
      <c r="A2369" t="s">
        <v>2378</v>
      </c>
      <c r="B2369" t="s">
        <v>11</v>
      </c>
      <c r="C2369">
        <f>114930484375/10^6</f>
      </c>
      <c r="D2369">
        <f>0</f>
      </c>
      <c r="E2369">
        <f>768041992/10^6</f>
      </c>
      <c r="F2369">
        <f>0</f>
      </c>
      <c r="G2369">
        <f>260710205/10^6</f>
      </c>
      <c r="H2369">
        <f>0</f>
      </c>
      <c r="I2369">
        <f>-43536415/10^6</f>
      </c>
      <c r="J2369">
        <f>0</f>
      </c>
    </row>
    <row r="2370">
      <c r="A2370" t="s">
        <v>2379</v>
      </c>
      <c r="B2370" t="s">
        <v>11</v>
      </c>
      <c r="C2370">
        <f>114659921875/10^6</f>
      </c>
      <c r="D2370">
        <f>0</f>
      </c>
      <c r="E2370">
        <f>773548706/10^6</f>
      </c>
      <c r="F2370">
        <f>0</f>
      </c>
      <c r="G2370">
        <f>260238068/10^6</f>
      </c>
      <c r="H2370">
        <f>0</f>
      </c>
      <c r="I2370">
        <f>-41851807/10^6</f>
      </c>
      <c r="J2370">
        <f>0</f>
      </c>
    </row>
    <row r="2371">
      <c r="A2371" t="s">
        <v>2380</v>
      </c>
      <c r="B2371" t="s">
        <v>11</v>
      </c>
      <c r="C2371">
        <f>11446084375/10^5</f>
      </c>
      <c r="D2371">
        <f>0</f>
      </c>
      <c r="E2371">
        <f>772982117/10^6</f>
      </c>
      <c r="F2371">
        <f>0</f>
      </c>
      <c r="G2371">
        <f>259902588/10^6</f>
      </c>
      <c r="H2371">
        <f>0</f>
      </c>
      <c r="I2371">
        <f>-41028339/10^6</f>
      </c>
      <c r="J2371">
        <f>0</f>
      </c>
    </row>
    <row r="2372">
      <c r="A2372" t="s">
        <v>2381</v>
      </c>
      <c r="B2372" t="s">
        <v>11</v>
      </c>
      <c r="C2372">
        <f>114527484375/10^6</f>
      </c>
      <c r="D2372">
        <f>0</f>
      </c>
      <c r="E2372">
        <f>768244202/10^6</f>
      </c>
      <c r="F2372">
        <f>0</f>
      </c>
      <c r="G2372">
        <f>259295532/10^6</f>
      </c>
      <c r="H2372">
        <f>0</f>
      </c>
      <c r="I2372">
        <f>-39968559/10^6</f>
      </c>
      <c r="J2372">
        <f>0</f>
      </c>
    </row>
    <row r="2373">
      <c r="A2373" t="s">
        <v>2382</v>
      </c>
      <c r="B2373" t="s">
        <v>11</v>
      </c>
      <c r="C2373">
        <f>11465390625/10^5</f>
      </c>
      <c r="D2373">
        <f>0</f>
      </c>
      <c r="E2373">
        <f>766193665/10^6</f>
      </c>
      <c r="F2373">
        <f>0</f>
      </c>
      <c r="G2373">
        <f>258920441/10^6</f>
      </c>
      <c r="H2373">
        <f>0</f>
      </c>
      <c r="I2373">
        <f>-39125736/10^6</f>
      </c>
      <c r="J2373">
        <f>0</f>
      </c>
    </row>
    <row r="2374">
      <c r="A2374" t="s">
        <v>2383</v>
      </c>
      <c r="B2374" t="s">
        <v>11</v>
      </c>
      <c r="C2374">
        <f>114735125/10^3</f>
      </c>
      <c r="D2374">
        <f>0</f>
      </c>
      <c r="E2374">
        <f>767129456/10^6</f>
      </c>
      <c r="F2374">
        <f>0</f>
      </c>
      <c r="G2374">
        <f>259089111/10^6</f>
      </c>
      <c r="H2374">
        <f>0</f>
      </c>
      <c r="I2374">
        <f>-3897522/10^5</f>
      </c>
      <c r="J2374">
        <f>0</f>
      </c>
    </row>
    <row r="2375">
      <c r="A2375" t="s">
        <v>2384</v>
      </c>
      <c r="B2375" t="s">
        <v>11</v>
      </c>
      <c r="C2375">
        <f>114837320313/10^6</f>
      </c>
      <c r="D2375">
        <f>0</f>
      </c>
      <c r="E2375">
        <f>768911377/10^6</f>
      </c>
      <c r="F2375">
        <f>0</f>
      </c>
      <c r="G2375">
        <f>25916571/10^5</f>
      </c>
      <c r="H2375">
        <f>0</f>
      </c>
      <c r="I2375">
        <f>-38775238/10^6</f>
      </c>
      <c r="J2375">
        <f>0</f>
      </c>
    </row>
    <row r="2376">
      <c r="A2376" t="s">
        <v>2385</v>
      </c>
      <c r="B2376" t="s">
        <v>11</v>
      </c>
      <c r="C2376">
        <f>114967054688/10^6</f>
      </c>
      <c r="D2376">
        <f>0</f>
      </c>
      <c r="E2376">
        <f>770390747/10^6</f>
      </c>
      <c r="F2376">
        <f>0</f>
      </c>
      <c r="G2376">
        <f>259568604/10^6</f>
      </c>
      <c r="H2376">
        <f>0</f>
      </c>
      <c r="I2376">
        <f>-38758904/10^6</f>
      </c>
      <c r="J2376">
        <f>0</f>
      </c>
    </row>
    <row r="2377">
      <c r="A2377" t="s">
        <v>2386</v>
      </c>
      <c r="B2377" t="s">
        <v>11</v>
      </c>
      <c r="C2377">
        <f>115103023438/10^6</f>
      </c>
      <c r="D2377">
        <f>0</f>
      </c>
      <c r="E2377">
        <f>770825745/10^6</f>
      </c>
      <c r="F2377">
        <f>0</f>
      </c>
      <c r="G2377">
        <f>260600006/10^6</f>
      </c>
      <c r="H2377">
        <f>0</f>
      </c>
      <c r="I2377">
        <f>-39108147/10^6</f>
      </c>
      <c r="J2377">
        <f>0</f>
      </c>
    </row>
    <row r="2378">
      <c r="A2378" t="s">
        <v>2387</v>
      </c>
      <c r="B2378" t="s">
        <v>11</v>
      </c>
      <c r="C2378">
        <f>1152599375/10^4</f>
      </c>
      <c r="D2378">
        <f>0</f>
      </c>
      <c r="E2378">
        <f>770775818/10^6</f>
      </c>
      <c r="F2378">
        <f>0</f>
      </c>
      <c r="G2378">
        <f>261300873/10^6</f>
      </c>
      <c r="H2378">
        <f>0</f>
      </c>
      <c r="I2378">
        <f>-39298695/10^6</f>
      </c>
      <c r="J2378">
        <f>0</f>
      </c>
    </row>
    <row r="2379">
      <c r="A2379" t="s">
        <v>2388</v>
      </c>
      <c r="B2379" t="s">
        <v>11</v>
      </c>
      <c r="C2379">
        <f>115449554688/10^6</f>
      </c>
      <c r="D2379">
        <f>0</f>
      </c>
      <c r="E2379">
        <f>770910461/10^6</f>
      </c>
      <c r="F2379">
        <f>0</f>
      </c>
      <c r="G2379">
        <f>261639496/10^6</f>
      </c>
      <c r="H2379">
        <f>0</f>
      </c>
      <c r="I2379">
        <f>-39210648/10^6</f>
      </c>
      <c r="J2379">
        <f>0</f>
      </c>
    </row>
    <row r="2380">
      <c r="A2380" t="s">
        <v>2389</v>
      </c>
      <c r="B2380" t="s">
        <v>11</v>
      </c>
      <c r="C2380">
        <f>115678945313/10^6</f>
      </c>
      <c r="D2380">
        <f>0</f>
      </c>
      <c r="E2380">
        <f>770990723/10^6</f>
      </c>
      <c r="F2380">
        <f>0</f>
      </c>
      <c r="G2380">
        <f>262014893/10^6</f>
      </c>
      <c r="H2380">
        <f>0</f>
      </c>
      <c r="I2380">
        <f>-39092281/10^6</f>
      </c>
      <c r="J2380">
        <f>0</f>
      </c>
    </row>
    <row r="2381">
      <c r="A2381" t="s">
        <v>2390</v>
      </c>
      <c r="B2381" t="s">
        <v>11</v>
      </c>
      <c r="C2381">
        <f>1159435/10^1</f>
      </c>
      <c r="D2381">
        <f>0</f>
      </c>
      <c r="E2381">
        <f>770634094/10^6</f>
      </c>
      <c r="F2381">
        <f>0</f>
      </c>
      <c r="G2381">
        <f>26240271/10^5</f>
      </c>
      <c r="H2381">
        <f>0</f>
      </c>
      <c r="I2381">
        <f>-39152733/10^6</f>
      </c>
      <c r="J2381">
        <f>0</f>
      </c>
    </row>
    <row r="2382">
      <c r="A2382" t="s">
        <v>2391</v>
      </c>
      <c r="B2382" t="s">
        <v>11</v>
      </c>
      <c r="C2382">
        <f>116217421875/10^6</f>
      </c>
      <c r="D2382">
        <f>0</f>
      </c>
      <c r="E2382">
        <f>76975708/10^5</f>
      </c>
      <c r="F2382">
        <f>0</f>
      </c>
      <c r="G2382">
        <f>262959991/10^6</f>
      </c>
      <c r="H2382">
        <f>0</f>
      </c>
      <c r="I2382">
        <f>-39381874/10^6</f>
      </c>
      <c r="J2382">
        <f>0</f>
      </c>
    </row>
    <row r="2383">
      <c r="A2383" t="s">
        <v>2392</v>
      </c>
      <c r="B2383" t="s">
        <v>11</v>
      </c>
      <c r="C2383">
        <f>116463445313/10^6</f>
      </c>
      <c r="D2383">
        <f>0</f>
      </c>
      <c r="E2383">
        <f>768691101/10^6</f>
      </c>
      <c r="F2383">
        <f>0</f>
      </c>
      <c r="G2383">
        <f>263376984/10^6</f>
      </c>
      <c r="H2383">
        <f>0</f>
      </c>
      <c r="I2383">
        <f>-3949474/10^5</f>
      </c>
      <c r="J2383">
        <f>0</f>
      </c>
    </row>
    <row r="2384">
      <c r="A2384" t="s">
        <v>2393</v>
      </c>
      <c r="B2384" t="s">
        <v>11</v>
      </c>
      <c r="C2384">
        <f>116670898438/10^6</f>
      </c>
      <c r="D2384">
        <f>0</f>
      </c>
      <c r="E2384">
        <f>767591431/10^6</f>
      </c>
      <c r="F2384">
        <f>0</f>
      </c>
      <c r="G2384">
        <f>263487946/10^6</f>
      </c>
      <c r="H2384">
        <f>0</f>
      </c>
      <c r="I2384">
        <f>-39389065/10^6</f>
      </c>
      <c r="J2384">
        <f>0</f>
      </c>
    </row>
    <row r="2385">
      <c r="A2385" t="s">
        <v>2394</v>
      </c>
      <c r="B2385" t="s">
        <v>11</v>
      </c>
      <c r="C2385">
        <f>116912640625/10^6</f>
      </c>
      <c r="D2385">
        <f>0</f>
      </c>
      <c r="E2385">
        <f>766239624/10^6</f>
      </c>
      <c r="F2385">
        <f>0</f>
      </c>
      <c r="G2385">
        <f>263584808/10^6</f>
      </c>
      <c r="H2385">
        <f>0</f>
      </c>
      <c r="I2385">
        <f>-39297276/10^6</f>
      </c>
      <c r="J2385">
        <f>0</f>
      </c>
    </row>
    <row r="2386">
      <c r="A2386" t="s">
        <v>2395</v>
      </c>
      <c r="B2386" t="s">
        <v>11</v>
      </c>
      <c r="C2386">
        <f>117243695313/10^6</f>
      </c>
      <c r="D2386">
        <f>0</f>
      </c>
      <c r="E2386">
        <f>76454364/10^5</f>
      </c>
      <c r="F2386">
        <f>0</f>
      </c>
      <c r="G2386">
        <f>263787415/10^6</f>
      </c>
      <c r="H2386">
        <f>0</f>
      </c>
      <c r="I2386">
        <f>-39183636/10^6</f>
      </c>
      <c r="J2386">
        <f>0</f>
      </c>
    </row>
    <row r="2387">
      <c r="A2387" t="s">
        <v>2396</v>
      </c>
      <c r="B2387" t="s">
        <v>11</v>
      </c>
      <c r="C2387">
        <f>117630039063/10^6</f>
      </c>
      <c r="D2387">
        <f>0</f>
      </c>
      <c r="E2387">
        <f>762668945/10^6</f>
      </c>
      <c r="F2387">
        <f>0</f>
      </c>
      <c r="G2387">
        <f>264086334/10^6</f>
      </c>
      <c r="H2387">
        <f>0</f>
      </c>
      <c r="I2387">
        <f>-38958683/10^6</f>
      </c>
      <c r="J2387">
        <f>0</f>
      </c>
    </row>
    <row r="2388">
      <c r="A2388" t="s">
        <v>2397</v>
      </c>
      <c r="B2388" t="s">
        <v>11</v>
      </c>
      <c r="C2388">
        <f>118056304688/10^6</f>
      </c>
      <c r="D2388">
        <f>0</f>
      </c>
      <c r="E2388">
        <f>760570313/10^6</f>
      </c>
      <c r="F2388">
        <f>0</f>
      </c>
      <c r="G2388">
        <f>264312897/10^6</f>
      </c>
      <c r="H2388">
        <f>0</f>
      </c>
      <c r="I2388">
        <f>-38779297/10^6</f>
      </c>
      <c r="J2388">
        <f>0</f>
      </c>
    </row>
    <row r="2389">
      <c r="A2389" t="s">
        <v>2398</v>
      </c>
      <c r="B2389" t="s">
        <v>11</v>
      </c>
      <c r="C2389">
        <f>11851271875/10^5</f>
      </c>
      <c r="D2389">
        <f>0</f>
      </c>
      <c r="E2389">
        <f>758093567/10^6</f>
      </c>
      <c r="F2389">
        <f>0</f>
      </c>
      <c r="G2389">
        <f>264530609/10^6</f>
      </c>
      <c r="H2389">
        <f>0</f>
      </c>
      <c r="I2389">
        <f>-38632027/10^6</f>
      </c>
      <c r="J2389">
        <f>0</f>
      </c>
    </row>
    <row r="2390">
      <c r="A2390" t="s">
        <v>2399</v>
      </c>
      <c r="B2390" t="s">
        <v>11</v>
      </c>
      <c r="C2390">
        <f>118974203125/10^6</f>
      </c>
      <c r="D2390">
        <f>0</f>
      </c>
      <c r="E2390">
        <f>755545288/10^6</f>
      </c>
      <c r="F2390">
        <f>0</f>
      </c>
      <c r="G2390">
        <f>264780548/10^6</f>
      </c>
      <c r="H2390">
        <f>0</f>
      </c>
      <c r="I2390">
        <f>-38496857/10^6</f>
      </c>
      <c r="J2390">
        <f>0</f>
      </c>
    </row>
    <row r="2391">
      <c r="A2391" t="s">
        <v>2400</v>
      </c>
      <c r="B2391" t="s">
        <v>11</v>
      </c>
      <c r="C2391">
        <f>119434921875/10^6</f>
      </c>
      <c r="D2391">
        <f>0</f>
      </c>
      <c r="E2391">
        <f>753127319/10^6</f>
      </c>
      <c r="F2391">
        <f>0</f>
      </c>
      <c r="G2391">
        <f>264949554/10^6</f>
      </c>
      <c r="H2391">
        <f>0</f>
      </c>
      <c r="I2391">
        <f>-38268768/10^6</f>
      </c>
      <c r="J2391">
        <f>0</f>
      </c>
    </row>
    <row r="2392">
      <c r="A2392" t="s">
        <v>2401</v>
      </c>
      <c r="B2392" t="s">
        <v>11</v>
      </c>
      <c r="C2392">
        <f>119876132813/10^6</f>
      </c>
      <c r="D2392">
        <f>0</f>
      </c>
      <c r="E2392">
        <f>750668518/10^6</f>
      </c>
      <c r="F2392">
        <f>0</f>
      </c>
      <c r="G2392">
        <f>265132385/10^6</f>
      </c>
      <c r="H2392">
        <f>0</f>
      </c>
      <c r="I2392">
        <f>-37875195/10^6</f>
      </c>
      <c r="J2392">
        <f>0</f>
      </c>
    </row>
    <row r="2393">
      <c r="A2393" t="s">
        <v>2402</v>
      </c>
      <c r="B2393" t="s">
        <v>11</v>
      </c>
      <c r="C2393">
        <f>120308015625/10^6</f>
      </c>
      <c r="D2393">
        <f>0</f>
      </c>
      <c r="E2393">
        <f>74825708/10^5</f>
      </c>
      <c r="F2393">
        <f>0</f>
      </c>
      <c r="G2393">
        <f>265287415/10^6</f>
      </c>
      <c r="H2393">
        <f>0</f>
      </c>
      <c r="I2393">
        <f>-37583603/10^6</f>
      </c>
      <c r="J2393">
        <f>0</f>
      </c>
    </row>
    <row r="2394">
      <c r="A2394" t="s">
        <v>2403</v>
      </c>
      <c r="B2394" t="s">
        <v>11</v>
      </c>
      <c r="C2394">
        <f>120762179688/10^6</f>
      </c>
      <c r="D2394">
        <f>0</f>
      </c>
      <c r="E2394">
        <f>745815674/10^6</f>
      </c>
      <c r="F2394">
        <f>0</f>
      </c>
      <c r="G2394">
        <f>265415039/10^6</f>
      </c>
      <c r="H2394">
        <f>0</f>
      </c>
      <c r="I2394">
        <f>-37315678/10^6</f>
      </c>
      <c r="J2394">
        <f>0</f>
      </c>
    </row>
    <row r="2395">
      <c r="A2395" t="s">
        <v>2404</v>
      </c>
      <c r="B2395" t="s">
        <v>11</v>
      </c>
      <c r="C2395">
        <f>121210/10^0</f>
      </c>
      <c r="D2395">
        <f>0</f>
      </c>
      <c r="E2395">
        <f>743199585/10^6</f>
      </c>
      <c r="F2395">
        <f>0</f>
      </c>
      <c r="G2395">
        <f>265561066/10^6</f>
      </c>
      <c r="H2395">
        <f>0</f>
      </c>
      <c r="I2395">
        <f>-36999859/10^6</f>
      </c>
      <c r="J2395">
        <f>0</f>
      </c>
    </row>
    <row r="2396">
      <c r="A2396" t="s">
        <v>2405</v>
      </c>
      <c r="B2396" t="s">
        <v>11</v>
      </c>
      <c r="C2396">
        <f>121616773438/10^6</f>
      </c>
      <c r="D2396">
        <f>0</f>
      </c>
      <c r="E2396">
        <f>740858765/10^6</f>
      </c>
      <c r="F2396">
        <f>0</f>
      </c>
      <c r="G2396">
        <f>265623901/10^6</f>
      </c>
      <c r="H2396">
        <f>0</f>
      </c>
      <c r="I2396">
        <f>-36809139/10^6</f>
      </c>
      <c r="J2396">
        <f>0</f>
      </c>
    </row>
    <row r="2397">
      <c r="A2397" t="s">
        <v>2406</v>
      </c>
      <c r="B2397" t="s">
        <v>11</v>
      </c>
      <c r="C2397">
        <f>121958445313/10^6</f>
      </c>
      <c r="D2397">
        <f>0</f>
      </c>
      <c r="E2397">
        <f>738836243/10^6</f>
      </c>
      <c r="F2397">
        <f>0</f>
      </c>
      <c r="G2397">
        <f>265681274/10^6</f>
      </c>
      <c r="H2397">
        <f>0</f>
      </c>
      <c r="I2397">
        <f>-36633011/10^6</f>
      </c>
      <c r="J2397">
        <f>0</f>
      </c>
    </row>
    <row r="2398">
      <c r="A2398" t="s">
        <v>2407</v>
      </c>
      <c r="B2398" t="s">
        <v>11</v>
      </c>
      <c r="C2398">
        <f>122201351563/10^6</f>
      </c>
      <c r="D2398">
        <f>0</f>
      </c>
      <c r="E2398">
        <f>736838257/10^6</f>
      </c>
      <c r="F2398">
        <f>0</f>
      </c>
      <c r="G2398">
        <f>265722656/10^6</f>
      </c>
      <c r="H2398">
        <f>0</f>
      </c>
      <c r="I2398">
        <f>-36476807/10^6</f>
      </c>
      <c r="J2398">
        <f>0</f>
      </c>
    </row>
    <row r="2399">
      <c r="A2399" t="s">
        <v>2408</v>
      </c>
      <c r="B2399" t="s">
        <v>11</v>
      </c>
      <c r="C2399">
        <f>12236884375/10^5</f>
      </c>
      <c r="D2399">
        <f>0</f>
      </c>
      <c r="E2399">
        <f>735274353/10^6</f>
      </c>
      <c r="F2399">
        <f>0</f>
      </c>
      <c r="G2399">
        <f>265606812/10^6</f>
      </c>
      <c r="H2399">
        <f>0</f>
      </c>
      <c r="I2399">
        <f>-36339775/10^6</f>
      </c>
      <c r="J2399">
        <f>0</f>
      </c>
    </row>
    <row r="2400">
      <c r="A2400" t="s">
        <v>2409</v>
      </c>
      <c r="B2400" t="s">
        <v>11</v>
      </c>
      <c r="C2400">
        <f>122515109375/10^6</f>
      </c>
      <c r="D2400">
        <f>0</f>
      </c>
      <c r="E2400">
        <f>734273499/10^6</f>
      </c>
      <c r="F2400">
        <f>0</f>
      </c>
      <c r="G2400">
        <f>265461609/10^6</f>
      </c>
      <c r="H2400">
        <f>0</f>
      </c>
      <c r="I2400">
        <f>-361745/10^4</f>
      </c>
      <c r="J2400">
        <f>0</f>
      </c>
    </row>
    <row r="2401">
      <c r="A2401" t="s">
        <v>2410</v>
      </c>
      <c r="B2401" t="s">
        <v>11</v>
      </c>
      <c r="C2401">
        <f>122646585938/10^6</f>
      </c>
      <c r="D2401">
        <f>0</f>
      </c>
      <c r="E2401">
        <f>733410583/10^6</f>
      </c>
      <c r="F2401">
        <f>0</f>
      </c>
      <c r="G2401">
        <f>265394318/10^6</f>
      </c>
      <c r="H2401">
        <f>0</f>
      </c>
      <c r="I2401">
        <f>-3613372/10^5</f>
      </c>
      <c r="J2401">
        <f>0</f>
      </c>
    </row>
    <row r="2402">
      <c r="A2402" t="s">
        <v>2411</v>
      </c>
      <c r="B2402" t="s">
        <v>11</v>
      </c>
      <c r="C2402">
        <f>122721632813/10^6</f>
      </c>
      <c r="D2402">
        <f>0</f>
      </c>
      <c r="E2402">
        <f>732700073/10^6</f>
      </c>
      <c r="F2402">
        <f>0</f>
      </c>
      <c r="G2402">
        <f>265365204/10^6</f>
      </c>
      <c r="H2402">
        <f>0</f>
      </c>
      <c r="I2402">
        <f>-36152565/10^6</f>
      </c>
      <c r="J2402">
        <f>0</f>
      </c>
    </row>
    <row r="2403">
      <c r="A2403" t="s">
        <v>2412</v>
      </c>
      <c r="B2403" t="s">
        <v>11</v>
      </c>
      <c r="C2403">
        <f>122702976563/10^6</f>
      </c>
      <c r="D2403">
        <f>0</f>
      </c>
      <c r="E2403">
        <f>732278198/10^6</f>
      </c>
      <c r="F2403">
        <f>0</f>
      </c>
      <c r="G2403">
        <f>265308594/10^6</f>
      </c>
      <c r="H2403">
        <f>0</f>
      </c>
      <c r="I2403">
        <f>-36169815/10^6</f>
      </c>
      <c r="J2403">
        <f>0</f>
      </c>
    </row>
    <row r="2404">
      <c r="A2404" t="s">
        <v>2413</v>
      </c>
      <c r="B2404" t="s">
        <v>11</v>
      </c>
      <c r="C2404">
        <f>122604460938/10^6</f>
      </c>
      <c r="D2404">
        <f>0</f>
      </c>
      <c r="E2404">
        <f>732151794/10^6</f>
      </c>
      <c r="F2404">
        <f>0</f>
      </c>
      <c r="G2404">
        <f>265088043/10^6</f>
      </c>
      <c r="H2404">
        <f>0</f>
      </c>
      <c r="I2404">
        <f>-36255291/10^6</f>
      </c>
      <c r="J2404">
        <f>0</f>
      </c>
    </row>
    <row r="2405">
      <c r="A2405" t="s">
        <v>2414</v>
      </c>
      <c r="B2405" t="s">
        <v>11</v>
      </c>
      <c r="C2405">
        <f>122452921875/10^6</f>
      </c>
      <c r="D2405">
        <f>0</f>
      </c>
      <c r="E2405">
        <f>732588745/10^6</f>
      </c>
      <c r="F2405">
        <f>0</f>
      </c>
      <c r="G2405">
        <f>26483136/10^5</f>
      </c>
      <c r="H2405">
        <f>0</f>
      </c>
      <c r="I2405">
        <f>-36318378/10^6</f>
      </c>
      <c r="J2405">
        <f>0</f>
      </c>
    </row>
    <row r="2406">
      <c r="A2406" t="s">
        <v>2415</v>
      </c>
      <c r="B2406" t="s">
        <v>11</v>
      </c>
      <c r="C2406">
        <f>122266140625/10^6</f>
      </c>
      <c r="D2406">
        <f>0</f>
      </c>
      <c r="E2406">
        <f>733558594/10^6</f>
      </c>
      <c r="F2406">
        <f>0</f>
      </c>
      <c r="G2406">
        <f>264702148/10^6</f>
      </c>
      <c r="H2406">
        <f>0</f>
      </c>
      <c r="I2406">
        <f>-36521015/10^6</f>
      </c>
      <c r="J2406">
        <f>0</f>
      </c>
    </row>
    <row r="2407">
      <c r="A2407" t="s">
        <v>2416</v>
      </c>
      <c r="B2407" t="s">
        <v>11</v>
      </c>
      <c r="C2407">
        <f>122062257813/10^6</f>
      </c>
      <c r="D2407">
        <f>0</f>
      </c>
      <c r="E2407">
        <f>734542236/10^6</f>
      </c>
      <c r="F2407">
        <f>0</f>
      </c>
      <c r="G2407">
        <f>264598785/10^6</f>
      </c>
      <c r="H2407">
        <f>0</f>
      </c>
      <c r="I2407">
        <f>-36908897/10^6</f>
      </c>
      <c r="J2407">
        <f>0</f>
      </c>
    </row>
    <row r="2408">
      <c r="A2408" t="s">
        <v>2417</v>
      </c>
      <c r="B2408" t="s">
        <v>11</v>
      </c>
      <c r="C2408">
        <f>121839/10^0</f>
      </c>
      <c r="D2408">
        <f>0</f>
      </c>
      <c r="E2408">
        <f>735585327/10^6</f>
      </c>
      <c r="F2408">
        <f>0</f>
      </c>
      <c r="G2408">
        <f>264485168/10^6</f>
      </c>
      <c r="H2408">
        <f>0</f>
      </c>
      <c r="I2408">
        <f>-3720842/10^5</f>
      </c>
      <c r="J2408">
        <f>0</f>
      </c>
    </row>
    <row r="2409">
      <c r="A2409" t="s">
        <v>2418</v>
      </c>
      <c r="B2409" t="s">
        <v>11</v>
      </c>
      <c r="C2409">
        <f>12159346875/10^5</f>
      </c>
      <c r="D2409">
        <f>0</f>
      </c>
      <c r="E2409">
        <f>736867432/10^6</f>
      </c>
      <c r="F2409">
        <f>0</f>
      </c>
      <c r="G2409">
        <f>264318237/10^6</f>
      </c>
      <c r="H2409">
        <f>0</f>
      </c>
      <c r="I2409">
        <f>-375746/10^4</f>
      </c>
      <c r="J2409">
        <f>0</f>
      </c>
    </row>
    <row r="2410">
      <c r="A2410" t="s">
        <v>2419</v>
      </c>
      <c r="B2410" t="s">
        <v>11</v>
      </c>
      <c r="C2410">
        <f>121334875/10^3</f>
      </c>
      <c r="D2410">
        <f>0</f>
      </c>
      <c r="E2410">
        <f>738033325/10^6</f>
      </c>
      <c r="F2410">
        <f>0</f>
      </c>
      <c r="G2410">
        <f>26413562/10^5</f>
      </c>
      <c r="H2410">
        <f>0</f>
      </c>
      <c r="I2410">
        <f>-37980679/10^6</f>
      </c>
      <c r="J2410">
        <f>0</f>
      </c>
    </row>
    <row r="2411">
      <c r="A2411" t="s">
        <v>2420</v>
      </c>
      <c r="B2411" t="s">
        <v>11</v>
      </c>
      <c r="C2411">
        <f>121051945313/10^6</f>
      </c>
      <c r="D2411">
        <f>0</f>
      </c>
      <c r="E2411">
        <f>739330933/10^6</f>
      </c>
      <c r="F2411">
        <f>0</f>
      </c>
      <c r="G2411">
        <f>264000671/10^6</f>
      </c>
      <c r="H2411">
        <f>0</f>
      </c>
      <c r="I2411">
        <f>-3833007/10^5</f>
      </c>
      <c r="J2411">
        <f>0</f>
      </c>
    </row>
    <row r="2412">
      <c r="A2412" t="s">
        <v>2421</v>
      </c>
      <c r="B2412" t="s">
        <v>11</v>
      </c>
      <c r="C2412">
        <f>120742476563/10^6</f>
      </c>
      <c r="D2412">
        <f>0</f>
      </c>
      <c r="E2412">
        <f>741156494/10^6</f>
      </c>
      <c r="F2412">
        <f>0</f>
      </c>
      <c r="G2412">
        <f>263858063/10^6</f>
      </c>
      <c r="H2412">
        <f>0</f>
      </c>
      <c r="I2412">
        <f>-38771965/10^6</f>
      </c>
      <c r="J2412">
        <f>0</f>
      </c>
    </row>
    <row r="2413">
      <c r="A2413" t="s">
        <v>2422</v>
      </c>
      <c r="B2413" t="s">
        <v>11</v>
      </c>
      <c r="C2413">
        <f>120427648438/10^6</f>
      </c>
      <c r="D2413">
        <f>0</f>
      </c>
      <c r="E2413">
        <f>743053711/10^6</f>
      </c>
      <c r="F2413">
        <f>0</f>
      </c>
      <c r="G2413">
        <f>263725708/10^6</f>
      </c>
      <c r="H2413">
        <f>0</f>
      </c>
      <c r="I2413">
        <f>-39161232/10^6</f>
      </c>
      <c r="J2413">
        <f>0</f>
      </c>
    </row>
    <row r="2414">
      <c r="A2414" t="s">
        <v>2423</v>
      </c>
      <c r="B2414" t="s">
        <v>11</v>
      </c>
      <c r="C2414">
        <f>120104476563/10^6</f>
      </c>
      <c r="D2414">
        <f>0</f>
      </c>
      <c r="E2414">
        <f>744798157/10^6</f>
      </c>
      <c r="F2414">
        <f>0</f>
      </c>
      <c r="G2414">
        <f>26351123/10^5</f>
      </c>
      <c r="H2414">
        <f>0</f>
      </c>
      <c r="I2414">
        <f>-39601437/10^6</f>
      </c>
      <c r="J2414">
        <f>0</f>
      </c>
    </row>
    <row r="2415">
      <c r="A2415" t="s">
        <v>2424</v>
      </c>
      <c r="B2415" t="s">
        <v>11</v>
      </c>
      <c r="C2415">
        <f>119753984375/10^6</f>
      </c>
      <c r="D2415">
        <f>0</f>
      </c>
      <c r="E2415">
        <f>746743286/10^6</f>
      </c>
      <c r="F2415">
        <f>0</f>
      </c>
      <c r="G2415">
        <f>26325943/10^5</f>
      </c>
      <c r="H2415">
        <f>0</f>
      </c>
      <c r="I2415">
        <f>-40056305/10^6</f>
      </c>
      <c r="J2415">
        <f>0</f>
      </c>
    </row>
    <row r="2416">
      <c r="A2416" t="s">
        <v>2425</v>
      </c>
      <c r="B2416" t="s">
        <v>11</v>
      </c>
      <c r="C2416">
        <f>1193666875/10^4</f>
      </c>
      <c r="D2416">
        <f>0</f>
      </c>
      <c r="E2416">
        <f>74906311/10^5</f>
      </c>
      <c r="F2416">
        <f>0</f>
      </c>
      <c r="G2416">
        <f>263121643/10^6</f>
      </c>
      <c r="H2416">
        <f>0</f>
      </c>
      <c r="I2416">
        <f>-40530483/10^6</f>
      </c>
      <c r="J2416">
        <f>0</f>
      </c>
    </row>
    <row r="2417">
      <c r="A2417" t="s">
        <v>2426</v>
      </c>
      <c r="B2417" t="s">
        <v>11</v>
      </c>
      <c r="C2417">
        <f>11895128125/10^5</f>
      </c>
      <c r="D2417">
        <f>0</f>
      </c>
      <c r="E2417">
        <f>751548096/10^6</f>
      </c>
      <c r="F2417">
        <f>0</f>
      </c>
      <c r="G2417">
        <f>263033783/10^6</f>
      </c>
      <c r="H2417">
        <f>0</f>
      </c>
      <c r="I2417">
        <f>-41205261/10^6</f>
      </c>
      <c r="J2417">
        <f>0</f>
      </c>
    </row>
    <row r="2418">
      <c r="A2418" t="s">
        <v>2427</v>
      </c>
      <c r="B2418" t="s">
        <v>11</v>
      </c>
      <c r="C2418">
        <f>118515421875/10^6</f>
      </c>
      <c r="D2418">
        <f>0</f>
      </c>
      <c r="E2418">
        <f>754007263/10^6</f>
      </c>
      <c r="F2418">
        <f>0</f>
      </c>
      <c r="G2418">
        <f>262913208/10^6</f>
      </c>
      <c r="H2418">
        <f>0</f>
      </c>
      <c r="I2418">
        <f>-41771137/10^6</f>
      </c>
      <c r="J2418">
        <f>0</f>
      </c>
    </row>
    <row r="2419">
      <c r="A2419" t="s">
        <v>2428</v>
      </c>
      <c r="B2419" t="s">
        <v>11</v>
      </c>
      <c r="C2419">
        <f>118025554688/10^6</f>
      </c>
      <c r="D2419">
        <f>0</f>
      </c>
      <c r="E2419">
        <f>756668579/10^6</f>
      </c>
      <c r="F2419">
        <f>0</f>
      </c>
      <c r="G2419">
        <f>262688538/10^6</f>
      </c>
      <c r="H2419">
        <f>0</f>
      </c>
      <c r="I2419">
        <f>-42360088/10^6</f>
      </c>
      <c r="J2419">
        <f>0</f>
      </c>
    </row>
    <row r="2420">
      <c r="A2420" t="s">
        <v>2429</v>
      </c>
      <c r="B2420" t="s">
        <v>11</v>
      </c>
      <c r="C2420">
        <f>117472265625/10^6</f>
      </c>
      <c r="D2420">
        <f>0</f>
      </c>
      <c r="E2420">
        <f>759614807/10^6</f>
      </c>
      <c r="F2420">
        <f>0</f>
      </c>
      <c r="G2420">
        <f>262460846/10^6</f>
      </c>
      <c r="H2420">
        <f>0</f>
      </c>
      <c r="I2420">
        <f>-42940216/10^6</f>
      </c>
      <c r="J2420">
        <f>0</f>
      </c>
    </row>
    <row r="2421">
      <c r="A2421" t="s">
        <v>2430</v>
      </c>
      <c r="B2421" t="s">
        <v>11</v>
      </c>
      <c r="C2421">
        <f>116880320313/10^6</f>
      </c>
      <c r="D2421">
        <f>0</f>
      </c>
      <c r="E2421">
        <f>763030945/10^6</f>
      </c>
      <c r="F2421">
        <f>0</f>
      </c>
      <c r="G2421">
        <f>262177795/10^6</f>
      </c>
      <c r="H2421">
        <f>0</f>
      </c>
      <c r="I2421">
        <f>-43535378/10^6</f>
      </c>
      <c r="J2421">
        <f>0</f>
      </c>
    </row>
    <row r="2422">
      <c r="A2422" t="s">
        <v>2431</v>
      </c>
      <c r="B2422" t="s">
        <v>11</v>
      </c>
      <c r="C2422">
        <f>116211023438/10^6</f>
      </c>
      <c r="D2422">
        <f>0</f>
      </c>
      <c r="E2422">
        <f>767159058/10^6</f>
      </c>
      <c r="F2422">
        <f>0</f>
      </c>
      <c r="G2422">
        <f>261818695/10^6</f>
      </c>
      <c r="H2422">
        <f>0</f>
      </c>
      <c r="I2422">
        <f>-44708271/10^6</f>
      </c>
      <c r="J2422">
        <f>0</f>
      </c>
    </row>
    <row r="2423">
      <c r="A2423" t="s">
        <v>2432</v>
      </c>
      <c r="B2423" t="s">
        <v>11</v>
      </c>
      <c r="C2423">
        <f>115505585938/10^6</f>
      </c>
      <c r="D2423">
        <f>0</f>
      </c>
      <c r="E2423">
        <f>770034058/10^6</f>
      </c>
      <c r="F2423">
        <f>0</f>
      </c>
      <c r="G2423">
        <f>261536835/10^6</f>
      </c>
      <c r="H2423">
        <f>0</f>
      </c>
      <c r="I2423">
        <f>-45436573/10^6</f>
      </c>
      <c r="J2423">
        <f>0</f>
      </c>
    </row>
    <row r="2424">
      <c r="A2424" t="s">
        <v>2433</v>
      </c>
      <c r="B2424" t="s">
        <v>11</v>
      </c>
      <c r="C2424">
        <f>114947328125/10^6</f>
      </c>
      <c r="D2424">
        <f>0</f>
      </c>
      <c r="E2424">
        <f>770668396/10^6</f>
      </c>
      <c r="F2424">
        <f>0</f>
      </c>
      <c r="G2424">
        <f>260743317/10^6</f>
      </c>
      <c r="H2424">
        <f>0</f>
      </c>
      <c r="I2424">
        <f>-4500832/10^5</f>
      </c>
      <c r="J2424">
        <f>0</f>
      </c>
    </row>
    <row r="2425">
      <c r="A2425" t="s">
        <v>2434</v>
      </c>
      <c r="B2425" t="s">
        <v>11</v>
      </c>
      <c r="C2425">
        <f>114600914063/10^6</f>
      </c>
      <c r="D2425">
        <f>0</f>
      </c>
      <c r="E2425">
        <f>772197327/10^6</f>
      </c>
      <c r="F2425">
        <f>0</f>
      </c>
      <c r="G2425">
        <f>259646637/10^6</f>
      </c>
      <c r="H2425">
        <f>0</f>
      </c>
      <c r="I2425">
        <f>-44608982/10^6</f>
      </c>
      <c r="J2425">
        <f>0</f>
      </c>
    </row>
    <row r="2426">
      <c r="A2426" t="s">
        <v>2435</v>
      </c>
      <c r="B2426" t="s">
        <v>11</v>
      </c>
      <c r="C2426">
        <f>114411195313/10^6</f>
      </c>
      <c r="D2426">
        <f>0</f>
      </c>
      <c r="E2426">
        <f>775136108/10^6</f>
      </c>
      <c r="F2426">
        <f>0</f>
      </c>
      <c r="G2426">
        <f>259616455/10^6</f>
      </c>
      <c r="H2426">
        <f>0</f>
      </c>
      <c r="I2426">
        <f>-4421072/10^5</f>
      </c>
      <c r="J2426">
        <f>0</f>
      </c>
    </row>
    <row r="2427">
      <c r="A2427" t="s">
        <v>2436</v>
      </c>
      <c r="B2427" t="s">
        <v>11</v>
      </c>
      <c r="C2427">
        <f>114295101563/10^6</f>
      </c>
      <c r="D2427">
        <f>0</f>
      </c>
      <c r="E2427">
        <f>776469421/10^6</f>
      </c>
      <c r="F2427">
        <f>0</f>
      </c>
      <c r="G2427">
        <f>260447418/10^6</f>
      </c>
      <c r="H2427">
        <f>0</f>
      </c>
      <c r="I2427">
        <f>-43264019/10^6</f>
      </c>
      <c r="J2427">
        <f>0</f>
      </c>
    </row>
    <row r="2428">
      <c r="A2428" t="s">
        <v>2437</v>
      </c>
      <c r="B2428" t="s">
        <v>11</v>
      </c>
      <c r="C2428">
        <f>11414809375/10^5</f>
      </c>
      <c r="D2428">
        <f>0</f>
      </c>
      <c r="E2428">
        <f>776545288/10^6</f>
      </c>
      <c r="F2428">
        <f>0</f>
      </c>
      <c r="G2428">
        <f>26078894/10^5</f>
      </c>
      <c r="H2428">
        <f>0</f>
      </c>
      <c r="I2428">
        <f>-42546307/10^6</f>
      </c>
      <c r="J2428">
        <f>0</f>
      </c>
    </row>
    <row r="2429">
      <c r="A2429" t="s">
        <v>2438</v>
      </c>
      <c r="B2429" t="s">
        <v>11</v>
      </c>
      <c r="C2429">
        <f>11396115625/10^5</f>
      </c>
      <c r="D2429">
        <f>0</f>
      </c>
      <c r="E2429">
        <f>777623474/10^6</f>
      </c>
      <c r="F2429">
        <f>0</f>
      </c>
      <c r="G2429">
        <f>26058075/10^5</f>
      </c>
      <c r="H2429">
        <f>0</f>
      </c>
      <c r="I2429">
        <f>-42479996/10^6</f>
      </c>
      <c r="J2429">
        <f>0</f>
      </c>
    </row>
    <row r="2430">
      <c r="A2430" t="s">
        <v>2439</v>
      </c>
      <c r="B2430" t="s">
        <v>11</v>
      </c>
      <c r="C2430">
        <f>113795179688/10^6</f>
      </c>
      <c r="D2430">
        <f>0</f>
      </c>
      <c r="E2430">
        <f>777842224/10^6</f>
      </c>
      <c r="F2430">
        <f>0</f>
      </c>
      <c r="G2430">
        <f>260520264/10^6</f>
      </c>
      <c r="H2430">
        <f>0</f>
      </c>
      <c r="I2430">
        <f>-42648396/10^6</f>
      </c>
      <c r="J2430">
        <f>0</f>
      </c>
    </row>
    <row r="2431">
      <c r="A2431" t="s">
        <v>2440</v>
      </c>
      <c r="B2431" t="s">
        <v>11</v>
      </c>
      <c r="C2431">
        <f>113718820313/10^6</f>
      </c>
      <c r="D2431">
        <f>0</f>
      </c>
      <c r="E2431">
        <f>774749817/10^6</f>
      </c>
      <c r="F2431">
        <f>0</f>
      </c>
      <c r="G2431">
        <f>260174377/10^6</f>
      </c>
      <c r="H2431">
        <f>0</f>
      </c>
      <c r="I2431">
        <f>-41856049/10^6</f>
      </c>
      <c r="J2431">
        <f>0</f>
      </c>
    </row>
    <row r="2432">
      <c r="A2432" t="s">
        <v>2441</v>
      </c>
      <c r="B2432" t="s">
        <v>11</v>
      </c>
      <c r="C2432">
        <f>113776304688/10^6</f>
      </c>
      <c r="D2432">
        <f>0</f>
      </c>
      <c r="E2432">
        <f>771359009/10^6</f>
      </c>
      <c r="F2432">
        <f>0</f>
      </c>
      <c r="G2432">
        <f>259145233/10^6</f>
      </c>
      <c r="H2432">
        <f>0</f>
      </c>
      <c r="I2432">
        <f>-39827919/10^6</f>
      </c>
      <c r="J2432">
        <f>0</f>
      </c>
    </row>
    <row r="2433">
      <c r="A2433" t="s">
        <v>2442</v>
      </c>
      <c r="B2433" t="s">
        <v>11</v>
      </c>
      <c r="C2433">
        <f>113946859375/10^6</f>
      </c>
      <c r="D2433">
        <f>0</f>
      </c>
      <c r="E2433">
        <f>770094421/10^6</f>
      </c>
      <c r="F2433">
        <f>0</f>
      </c>
      <c r="G2433">
        <f>25854129/10^5</f>
      </c>
      <c r="H2433">
        <f>0</f>
      </c>
      <c r="I2433">
        <f>-38574997/10^6</f>
      </c>
      <c r="J2433">
        <f>0</f>
      </c>
    </row>
    <row r="2434">
      <c r="A2434" t="s">
        <v>2443</v>
      </c>
      <c r="B2434" t="s">
        <v>11</v>
      </c>
      <c r="C2434">
        <f>11417165625/10^5</f>
      </c>
      <c r="D2434">
        <f>0</f>
      </c>
      <c r="E2434">
        <f>769810791/10^6</f>
      </c>
      <c r="F2434">
        <f>0</f>
      </c>
      <c r="G2434">
        <f>258689331/10^6</f>
      </c>
      <c r="H2434">
        <f>0</f>
      </c>
      <c r="I2434">
        <f>-38460808/10^6</f>
      </c>
      <c r="J2434">
        <f>0</f>
      </c>
    </row>
    <row r="2435">
      <c r="A2435" t="s">
        <v>2444</v>
      </c>
      <c r="B2435" t="s">
        <v>11</v>
      </c>
      <c r="C2435">
        <f>114352359375/10^6</f>
      </c>
      <c r="D2435">
        <f>0</f>
      </c>
      <c r="E2435">
        <f>770428955/10^6</f>
      </c>
      <c r="F2435">
        <f>0</f>
      </c>
      <c r="G2435">
        <f>258744629/10^6</f>
      </c>
      <c r="H2435">
        <f>0</f>
      </c>
      <c r="I2435">
        <f>-38226543/10^6</f>
      </c>
      <c r="J2435">
        <f>0</f>
      </c>
    </row>
    <row r="2436">
      <c r="A2436" t="s">
        <v>2445</v>
      </c>
      <c r="B2436" t="s">
        <v>11</v>
      </c>
      <c r="C2436">
        <f>11441853125/10^5</f>
      </c>
      <c r="D2436">
        <f>0</f>
      </c>
      <c r="E2436">
        <f>771610718/10^6</f>
      </c>
      <c r="F2436">
        <f>0</f>
      </c>
      <c r="G2436">
        <f>259024811/10^6</f>
      </c>
      <c r="H2436">
        <f>0</f>
      </c>
      <c r="I2436">
        <f>-38168053/10^6</f>
      </c>
      <c r="J2436">
        <f>0</f>
      </c>
    </row>
    <row r="2437">
      <c r="A2437" t="s">
        <v>2446</v>
      </c>
      <c r="B2437" t="s">
        <v>11</v>
      </c>
      <c r="C2437">
        <f>11440909375/10^5</f>
      </c>
      <c r="D2437">
        <f>0</f>
      </c>
      <c r="E2437">
        <f>772493469/10^6</f>
      </c>
      <c r="F2437">
        <f>0</f>
      </c>
      <c r="G2437">
        <f>259807587/10^6</f>
      </c>
      <c r="H2437">
        <f>0</f>
      </c>
      <c r="I2437">
        <f>-38427544/10^6</f>
      </c>
      <c r="J2437">
        <f>0</f>
      </c>
    </row>
    <row r="2438">
      <c r="A2438" t="s">
        <v>2447</v>
      </c>
      <c r="B2438" t="s">
        <v>11</v>
      </c>
      <c r="C2438">
        <f>114402046875/10^6</f>
      </c>
      <c r="D2438">
        <f>0</f>
      </c>
      <c r="E2438">
        <f>773528564/10^6</f>
      </c>
      <c r="F2438">
        <f>0</f>
      </c>
      <c r="G2438">
        <f>260337555/10^6</f>
      </c>
      <c r="H2438">
        <f>0</f>
      </c>
      <c r="I2438">
        <f>-38584564/10^6</f>
      </c>
      <c r="J2438">
        <f>0</f>
      </c>
    </row>
    <row r="2439">
      <c r="A2439" t="s">
        <v>2448</v>
      </c>
      <c r="B2439" t="s">
        <v>11</v>
      </c>
      <c r="C2439">
        <f>114421320313/10^6</f>
      </c>
      <c r="D2439">
        <f>0</f>
      </c>
      <c r="E2439">
        <f>774741943/10^6</f>
      </c>
      <c r="F2439">
        <f>0</f>
      </c>
      <c r="G2439">
        <f>260661926/10^6</f>
      </c>
      <c r="H2439">
        <f>0</f>
      </c>
      <c r="I2439">
        <f>-38888237/10^6</f>
      </c>
      <c r="J2439">
        <f>0</f>
      </c>
    </row>
    <row r="2440">
      <c r="A2440" t="s">
        <v>2449</v>
      </c>
      <c r="B2440" t="s">
        <v>11</v>
      </c>
      <c r="C2440">
        <f>114467578125/10^6</f>
      </c>
      <c r="D2440">
        <f>0</f>
      </c>
      <c r="E2440">
        <f>775449158/10^6</f>
      </c>
      <c r="F2440">
        <f>0</f>
      </c>
      <c r="G2440">
        <f>261050385/10^6</f>
      </c>
      <c r="H2440">
        <f>0</f>
      </c>
      <c r="I2440">
        <f>-39272079/10^6</f>
      </c>
      <c r="J2440">
        <f>0</f>
      </c>
    </row>
    <row r="2441">
      <c r="A2441" t="s">
        <v>2450</v>
      </c>
      <c r="B2441" t="s">
        <v>11</v>
      </c>
      <c r="C2441">
        <f>114573507813/10^6</f>
      </c>
      <c r="D2441">
        <f>0</f>
      </c>
      <c r="E2441">
        <f>775496399/10^6</f>
      </c>
      <c r="F2441">
        <f>0</f>
      </c>
      <c r="G2441">
        <f>261328369/10^6</f>
      </c>
      <c r="H2441">
        <f>0</f>
      </c>
      <c r="I2441">
        <f>-39429577/10^6</f>
      </c>
      <c r="J2441">
        <f>0</f>
      </c>
    </row>
    <row r="2442">
      <c r="A2442" t="s">
        <v>2451</v>
      </c>
      <c r="B2442" t="s">
        <v>11</v>
      </c>
      <c r="C2442">
        <f>114754765625/10^6</f>
      </c>
      <c r="D2442">
        <f>0</f>
      </c>
      <c r="E2442">
        <f>775082275/10^6</f>
      </c>
      <c r="F2442">
        <f>0</f>
      </c>
      <c r="G2442">
        <f>261613342/10^6</f>
      </c>
      <c r="H2442">
        <f>0</f>
      </c>
      <c r="I2442">
        <f>-39548763/10^6</f>
      </c>
      <c r="J2442">
        <f>0</f>
      </c>
    </row>
    <row r="2443">
      <c r="A2443" t="s">
        <v>2452</v>
      </c>
      <c r="B2443" t="s">
        <v>11</v>
      </c>
      <c r="C2443">
        <f>114973070313/10^6</f>
      </c>
      <c r="D2443">
        <f>0</f>
      </c>
      <c r="E2443">
        <f>774301636/10^6</f>
      </c>
      <c r="F2443">
        <f>0</f>
      </c>
      <c r="G2443">
        <f>261860138/10^6</f>
      </c>
      <c r="H2443">
        <f>0</f>
      </c>
      <c r="I2443">
        <f>-39663792/10^6</f>
      </c>
      <c r="J2443">
        <f>0</f>
      </c>
    </row>
    <row r="2444">
      <c r="A2444" t="s">
        <v>2453</v>
      </c>
      <c r="B2444" t="s">
        <v>11</v>
      </c>
      <c r="C2444">
        <f>115181554688/10^6</f>
      </c>
      <c r="D2444">
        <f>0</f>
      </c>
      <c r="E2444">
        <f>773285706/10^6</f>
      </c>
      <c r="F2444">
        <f>0</f>
      </c>
      <c r="G2444">
        <f>262028595/10^6</f>
      </c>
      <c r="H2444">
        <f>0</f>
      </c>
      <c r="I2444">
        <f>-39661175/10^6</f>
      </c>
      <c r="J2444">
        <f>0</f>
      </c>
    </row>
    <row r="2445">
      <c r="A2445" t="s">
        <v>2454</v>
      </c>
      <c r="B2445" t="s">
        <v>11</v>
      </c>
      <c r="C2445">
        <f>115388984375/10^6</f>
      </c>
      <c r="D2445">
        <f>0</f>
      </c>
      <c r="E2445">
        <f>772226379/10^6</f>
      </c>
      <c r="F2445">
        <f>0</f>
      </c>
      <c r="G2445">
        <f>262205627/10^6</f>
      </c>
      <c r="H2445">
        <f>0</f>
      </c>
      <c r="I2445">
        <f>-39646496/10^6</f>
      </c>
      <c r="J2445">
        <f>0</f>
      </c>
    </row>
    <row r="2446">
      <c r="A2446" t="s">
        <v>2455</v>
      </c>
      <c r="B2446" t="s">
        <v>11</v>
      </c>
      <c r="C2446">
        <f>115647796875/10^6</f>
      </c>
      <c r="D2446">
        <f>0</f>
      </c>
      <c r="E2446">
        <f>771067017/10^6</f>
      </c>
      <c r="F2446">
        <f>0</f>
      </c>
      <c r="G2446">
        <f>262373901/10^6</f>
      </c>
      <c r="H2446">
        <f>0</f>
      </c>
      <c r="I2446">
        <f>-39626335/10^6</f>
      </c>
      <c r="J2446">
        <f>0</f>
      </c>
    </row>
    <row r="2447">
      <c r="A2447" t="s">
        <v>2456</v>
      </c>
      <c r="B2447" t="s">
        <v>11</v>
      </c>
      <c r="C2447">
        <f>115976289063/10^6</f>
      </c>
      <c r="D2447">
        <f>0</f>
      </c>
      <c r="E2447">
        <f>76961377/10^5</f>
      </c>
      <c r="F2447">
        <f>0</f>
      </c>
      <c r="G2447">
        <f>262553497/10^6</f>
      </c>
      <c r="H2447">
        <f>0</f>
      </c>
      <c r="I2447">
        <f>-39624615/10^6</f>
      </c>
      <c r="J2447">
        <f>0</f>
      </c>
    </row>
    <row r="2448">
      <c r="A2448" t="s">
        <v>2457</v>
      </c>
      <c r="B2448" t="s">
        <v>11</v>
      </c>
      <c r="C2448">
        <f>116331929688/10^6</f>
      </c>
      <c r="D2448">
        <f>0</f>
      </c>
      <c r="E2448">
        <f>767985962/10^6</f>
      </c>
      <c r="F2448">
        <f>0</f>
      </c>
      <c r="G2448">
        <f>262728851/10^6</f>
      </c>
      <c r="H2448">
        <f>0</f>
      </c>
      <c r="I2448">
        <f>-3958852/10^5</f>
      </c>
      <c r="J2448">
        <f>0</f>
      </c>
    </row>
    <row r="2449">
      <c r="A2449" t="s">
        <v>2458</v>
      </c>
      <c r="B2449" t="s">
        <v>11</v>
      </c>
      <c r="C2449">
        <f>116693164063/10^6</f>
      </c>
      <c r="D2449">
        <f>0</f>
      </c>
      <c r="E2449">
        <f>766245911/10^6</f>
      </c>
      <c r="F2449">
        <f>0</f>
      </c>
      <c r="G2449">
        <f>262990631/10^6</f>
      </c>
      <c r="H2449">
        <f>0</f>
      </c>
      <c r="I2449">
        <f>-39341881/10^6</f>
      </c>
      <c r="J2449">
        <f>0</f>
      </c>
    </row>
    <row r="2450">
      <c r="A2450" t="s">
        <v>2459</v>
      </c>
      <c r="B2450" t="s">
        <v>11</v>
      </c>
      <c r="C2450">
        <f>117106640625/10^6</f>
      </c>
      <c r="D2450">
        <f>0</f>
      </c>
      <c r="E2450">
        <f>764209167/10^6</f>
      </c>
      <c r="F2450">
        <f>0</f>
      </c>
      <c r="G2450">
        <f>263258118/10^6</f>
      </c>
      <c r="H2450">
        <f>0</f>
      </c>
      <c r="I2450">
        <f>-39069939/10^6</f>
      </c>
      <c r="J2450">
        <f>0</f>
      </c>
    </row>
    <row r="2451">
      <c r="A2451" t="s">
        <v>2460</v>
      </c>
      <c r="B2451" t="s">
        <v>11</v>
      </c>
      <c r="C2451">
        <f>117603289063/10^6</f>
      </c>
      <c r="D2451">
        <f>0</f>
      </c>
      <c r="E2451">
        <f>761942932/10^6</f>
      </c>
      <c r="F2451">
        <f>0</f>
      </c>
      <c r="G2451">
        <f>263560455/10^6</f>
      </c>
      <c r="H2451">
        <f>0</f>
      </c>
      <c r="I2451">
        <f>-3882806/10^5</f>
      </c>
      <c r="J2451">
        <f>0</f>
      </c>
    </row>
    <row r="2452">
      <c r="A2452" t="s">
        <v>2461</v>
      </c>
      <c r="B2452" t="s">
        <v>11</v>
      </c>
      <c r="C2452">
        <f>118196726563/10^6</f>
      </c>
      <c r="D2452">
        <f>0</f>
      </c>
      <c r="E2452">
        <f>759453186/10^6</f>
      </c>
      <c r="F2452">
        <f>0</f>
      </c>
      <c r="G2452">
        <f>263987915/10^6</f>
      </c>
      <c r="H2452">
        <f>0</f>
      </c>
      <c r="I2452">
        <f>-38558556/10^6</f>
      </c>
      <c r="J2452">
        <f>0</f>
      </c>
    </row>
    <row r="2453">
      <c r="A2453" t="s">
        <v>2462</v>
      </c>
      <c r="B2453" t="s">
        <v>11</v>
      </c>
      <c r="C2453">
        <f>118911195313/10^6</f>
      </c>
      <c r="D2453">
        <f>0</f>
      </c>
      <c r="E2453">
        <f>756269653/10^6</f>
      </c>
      <c r="F2453">
        <f>0</f>
      </c>
      <c r="G2453">
        <f>264334503/10^6</f>
      </c>
      <c r="H2453">
        <f>0</f>
      </c>
      <c r="I2453">
        <f>-38278938/10^6</f>
      </c>
      <c r="J2453">
        <f>0</f>
      </c>
    </row>
    <row r="2454">
      <c r="A2454" t="s">
        <v>2463</v>
      </c>
      <c r="B2454" t="s">
        <v>11</v>
      </c>
      <c r="C2454">
        <f>119709648438/10^6</f>
      </c>
      <c r="D2454">
        <f>0</f>
      </c>
      <c r="E2454">
        <f>752239258/10^6</f>
      </c>
      <c r="F2454">
        <f>0</f>
      </c>
      <c r="G2454">
        <f>264875092/10^6</f>
      </c>
      <c r="H2454">
        <f>0</f>
      </c>
      <c r="I2454">
        <f>-3766264/10^5</f>
      </c>
      <c r="J2454">
        <f>0</f>
      </c>
    </row>
    <row r="2455">
      <c r="A2455" t="s">
        <v>2464</v>
      </c>
      <c r="B2455" t="s">
        <v>11</v>
      </c>
      <c r="C2455">
        <f>12051284375/10^5</f>
      </c>
      <c r="D2455">
        <f>0</f>
      </c>
      <c r="E2455">
        <f>747786926/10^6</f>
      </c>
      <c r="F2455">
        <f>0</f>
      </c>
      <c r="G2455">
        <f>265526764/10^6</f>
      </c>
      <c r="H2455">
        <f>0</f>
      </c>
      <c r="I2455">
        <f>-36996143/10^6</f>
      </c>
      <c r="J2455">
        <f>0</f>
      </c>
    </row>
    <row r="2456">
      <c r="A2456" t="s">
        <v>2465</v>
      </c>
      <c r="B2456" t="s">
        <v>11</v>
      </c>
      <c r="C2456">
        <f>121278265625/10^6</f>
      </c>
      <c r="D2456">
        <f>0</f>
      </c>
      <c r="E2456">
        <f>743260498/10^6</f>
      </c>
      <c r="F2456">
        <f>0</f>
      </c>
      <c r="G2456">
        <f>265772247/10^6</f>
      </c>
      <c r="H2456">
        <f>0</f>
      </c>
      <c r="I2456">
        <f>-36484226/10^6</f>
      </c>
      <c r="J2456">
        <f>0</f>
      </c>
    </row>
    <row r="2457">
      <c r="A2457" t="s">
        <v>2466</v>
      </c>
      <c r="B2457" t="s">
        <v>11</v>
      </c>
      <c r="C2457">
        <f>1219848125/10^4</f>
      </c>
      <c r="D2457">
        <f>0</f>
      </c>
      <c r="E2457">
        <f>738968506/10^6</f>
      </c>
      <c r="F2457">
        <f>0</f>
      </c>
      <c r="G2457">
        <f>265942261/10^6</f>
      </c>
      <c r="H2457">
        <f>0</f>
      </c>
      <c r="I2457">
        <f>-3572736/10^5</f>
      </c>
      <c r="J2457">
        <f>0</f>
      </c>
    </row>
    <row r="2458">
      <c r="A2458" t="s">
        <v>2467</v>
      </c>
      <c r="B2458" t="s">
        <v>11</v>
      </c>
      <c r="C2458">
        <f>122544320313/10^6</f>
      </c>
      <c r="D2458">
        <f>0</f>
      </c>
      <c r="E2458">
        <f>735319763/10^6</f>
      </c>
      <c r="F2458">
        <f>0</f>
      </c>
      <c r="G2458">
        <f>266100494/10^6</f>
      </c>
      <c r="H2458">
        <f>0</f>
      </c>
      <c r="I2458">
        <f>-35168777/10^6</f>
      </c>
      <c r="J2458">
        <f>0</f>
      </c>
    </row>
    <row r="2459">
      <c r="A2459" t="s">
        <v>2468</v>
      </c>
      <c r="B2459" t="s">
        <v>11</v>
      </c>
      <c r="C2459">
        <f>122852804688/10^6</f>
      </c>
      <c r="D2459">
        <f>0</f>
      </c>
      <c r="E2459">
        <f>732793701/10^6</f>
      </c>
      <c r="F2459">
        <f>0</f>
      </c>
      <c r="G2459">
        <f>265896729/10^6</f>
      </c>
      <c r="H2459">
        <f>0</f>
      </c>
      <c r="I2459">
        <f>-3486776/10^5</f>
      </c>
      <c r="J2459">
        <f>0</f>
      </c>
    </row>
    <row r="2460">
      <c r="A2460" t="s">
        <v>2469</v>
      </c>
      <c r="B2460" t="s">
        <v>11</v>
      </c>
      <c r="C2460">
        <f>1229600625/10^4</f>
      </c>
      <c r="D2460">
        <f>0</f>
      </c>
      <c r="E2460">
        <f>731583008/10^6</f>
      </c>
      <c r="F2460">
        <f>0</f>
      </c>
      <c r="G2460">
        <f>265634796/10^6</f>
      </c>
      <c r="H2460">
        <f>0</f>
      </c>
      <c r="I2460">
        <f>-34453716/10^6</f>
      </c>
      <c r="J2460">
        <f>0</f>
      </c>
    </row>
    <row r="2461">
      <c r="A2461" t="s">
        <v>2470</v>
      </c>
      <c r="B2461" t="s">
        <v>11</v>
      </c>
      <c r="C2461">
        <f>123010734375/10^6</f>
      </c>
      <c r="D2461">
        <f>0</f>
      </c>
      <c r="E2461">
        <f>731013489/10^6</f>
      </c>
      <c r="F2461">
        <f>0</f>
      </c>
      <c r="G2461">
        <f>265520996/10^6</f>
      </c>
      <c r="H2461">
        <f>0</f>
      </c>
      <c r="I2461">
        <f>-34417576/10^6</f>
      </c>
      <c r="J2461">
        <f>0</f>
      </c>
    </row>
    <row r="2462">
      <c r="A2462" t="s">
        <v>2471</v>
      </c>
      <c r="B2462" t="s">
        <v>11</v>
      </c>
      <c r="C2462">
        <f>123084046875/10^6</f>
      </c>
      <c r="D2462">
        <f>0</f>
      </c>
      <c r="E2462">
        <f>730341248/10^6</f>
      </c>
      <c r="F2462">
        <f>0</f>
      </c>
      <c r="G2462">
        <f>265417877/10^6</f>
      </c>
      <c r="H2462">
        <f>0</f>
      </c>
      <c r="I2462">
        <f>-34756512/10^6</f>
      </c>
      <c r="J2462">
        <f>0</f>
      </c>
    </row>
    <row r="2463">
      <c r="A2463" t="s">
        <v>2472</v>
      </c>
      <c r="B2463" t="s">
        <v>11</v>
      </c>
      <c r="C2463">
        <f>123150195313/10^6</f>
      </c>
      <c r="D2463">
        <f>0</f>
      </c>
      <c r="E2463">
        <f>72959491/10^5</f>
      </c>
      <c r="F2463">
        <f>0</f>
      </c>
      <c r="G2463">
        <f>265295593/10^6</f>
      </c>
      <c r="H2463">
        <f>0</f>
      </c>
      <c r="I2463">
        <f>-34934952/10^6</f>
      </c>
      <c r="J2463">
        <f>0</f>
      </c>
    </row>
    <row r="2464">
      <c r="A2464" t="s">
        <v>2473</v>
      </c>
      <c r="B2464" t="s">
        <v>11</v>
      </c>
      <c r="C2464">
        <f>123115671875/10^6</f>
      </c>
      <c r="D2464">
        <f>0</f>
      </c>
      <c r="E2464">
        <f>729172424/10^6</f>
      </c>
      <c r="F2464">
        <f>0</f>
      </c>
      <c r="G2464">
        <f>265073425/10^6</f>
      </c>
      <c r="H2464">
        <f>0</f>
      </c>
      <c r="I2464">
        <f>-34933868/10^6</f>
      </c>
      <c r="J2464">
        <f>0</f>
      </c>
    </row>
    <row r="2465">
      <c r="A2465" t="s">
        <v>2474</v>
      </c>
      <c r="B2465" t="s">
        <v>11</v>
      </c>
      <c r="C2465">
        <f>122958507813/10^6</f>
      </c>
      <c r="D2465">
        <f>0</f>
      </c>
      <c r="E2465">
        <f>729249146/10^6</f>
      </c>
      <c r="F2465">
        <f>0</f>
      </c>
      <c r="G2465">
        <f>264844513/10^6</f>
      </c>
      <c r="H2465">
        <f>0</f>
      </c>
      <c r="I2465">
        <f>-34915737/10^6</f>
      </c>
      <c r="J2465">
        <f>0</f>
      </c>
    </row>
    <row r="2466">
      <c r="A2466" t="s">
        <v>2475</v>
      </c>
      <c r="B2466" t="s">
        <v>11</v>
      </c>
      <c r="C2466">
        <f>122747453125/10^6</f>
      </c>
      <c r="D2466">
        <f>0</f>
      </c>
      <c r="E2466">
        <f>729709839/10^6</f>
      </c>
      <c r="F2466">
        <f>0</f>
      </c>
      <c r="G2466">
        <f>264643585/10^6</f>
      </c>
      <c r="H2466">
        <f>0</f>
      </c>
      <c r="I2466">
        <f>-35095367/10^6</f>
      </c>
      <c r="J2466">
        <f>0</f>
      </c>
    </row>
    <row r="2467">
      <c r="A2467" t="s">
        <v>2476</v>
      </c>
      <c r="B2467" t="s">
        <v>11</v>
      </c>
      <c r="C2467">
        <f>122506828125/10^6</f>
      </c>
      <c r="D2467">
        <f>0</f>
      </c>
      <c r="E2467">
        <f>730644348/10^6</f>
      </c>
      <c r="F2467">
        <f>0</f>
      </c>
      <c r="G2467">
        <f>264326172/10^6</f>
      </c>
      <c r="H2467">
        <f>0</f>
      </c>
      <c r="I2467">
        <f>-35430683/10^6</f>
      </c>
      <c r="J2467">
        <f>0</f>
      </c>
    </row>
    <row r="2468">
      <c r="A2468" t="s">
        <v>2477</v>
      </c>
      <c r="B2468" t="s">
        <v>11</v>
      </c>
      <c r="C2468">
        <f>12221209375/10^5</f>
      </c>
      <c r="D2468">
        <f>0</f>
      </c>
      <c r="E2468">
        <f>732157715/10^6</f>
      </c>
      <c r="F2468">
        <f>0</f>
      </c>
      <c r="G2468">
        <f>26408667/10^5</f>
      </c>
      <c r="H2468">
        <f>0</f>
      </c>
      <c r="I2468">
        <f>-35695072/10^6</f>
      </c>
      <c r="J2468">
        <f>0</f>
      </c>
    </row>
    <row r="2469">
      <c r="A2469" t="s">
        <v>2478</v>
      </c>
      <c r="B2469" t="s">
        <v>11</v>
      </c>
      <c r="C2469">
        <f>121873726563/10^6</f>
      </c>
      <c r="D2469">
        <f>0</f>
      </c>
      <c r="E2469">
        <f>733877563/10^6</f>
      </c>
      <c r="F2469">
        <f>0</f>
      </c>
      <c r="G2469">
        <f>263987854/10^6</f>
      </c>
      <c r="H2469">
        <f>0</f>
      </c>
      <c r="I2469">
        <f>-36074532/10^6</f>
      </c>
      <c r="J2469">
        <f>0</f>
      </c>
    </row>
    <row r="2470">
      <c r="A2470" t="s">
        <v>2479</v>
      </c>
      <c r="B2470" t="s">
        <v>11</v>
      </c>
      <c r="C2470">
        <f>121526320313/10^6</f>
      </c>
      <c r="D2470">
        <f>0</f>
      </c>
      <c r="E2470">
        <f>735767456/10^6</f>
      </c>
      <c r="F2470">
        <f>0</f>
      </c>
      <c r="G2470">
        <f>263882996/10^6</f>
      </c>
      <c r="H2470">
        <f>0</f>
      </c>
      <c r="I2470">
        <f>-36484997/10^6</f>
      </c>
      <c r="J2470">
        <f>0</f>
      </c>
    </row>
    <row r="2471">
      <c r="A2471" t="s">
        <v>2480</v>
      </c>
      <c r="B2471" t="s">
        <v>11</v>
      </c>
      <c r="C2471">
        <f>121164273438/10^6</f>
      </c>
      <c r="D2471">
        <f>0</f>
      </c>
      <c r="E2471">
        <f>73793689/10^5</f>
      </c>
      <c r="F2471">
        <f>0</f>
      </c>
      <c r="G2471">
        <f>263761444/10^6</f>
      </c>
      <c r="H2471">
        <f>0</f>
      </c>
      <c r="I2471">
        <f>-36881046/10^6</f>
      </c>
      <c r="J2471">
        <f>0</f>
      </c>
    </row>
    <row r="2472">
      <c r="A2472" t="s">
        <v>2481</v>
      </c>
      <c r="B2472" t="s">
        <v>11</v>
      </c>
      <c r="C2472">
        <f>12074478125/10^5</f>
      </c>
      <c r="D2472">
        <f>0</f>
      </c>
      <c r="E2472">
        <f>740000977/10^6</f>
      </c>
      <c r="F2472">
        <f>0</f>
      </c>
      <c r="G2472">
        <f>26362616/10^5</f>
      </c>
      <c r="H2472">
        <f>0</f>
      </c>
      <c r="I2472">
        <f>-37428959/10^6</f>
      </c>
      <c r="J2472">
        <f>0</f>
      </c>
    </row>
    <row r="2473">
      <c r="A2473" t="s">
        <v>2482</v>
      </c>
      <c r="B2473" t="s">
        <v>11</v>
      </c>
      <c r="C2473">
        <f>120298695313/10^6</f>
      </c>
      <c r="D2473">
        <f>0</f>
      </c>
      <c r="E2473">
        <f>742117004/10^6</f>
      </c>
      <c r="F2473">
        <f>0</f>
      </c>
      <c r="G2473">
        <f>263503693/10^6</f>
      </c>
      <c r="H2473">
        <f>0</f>
      </c>
      <c r="I2473">
        <f>-37878979/10^6</f>
      </c>
      <c r="J2473">
        <f>0</f>
      </c>
    </row>
    <row r="2474">
      <c r="A2474" t="s">
        <v>2483</v>
      </c>
      <c r="B2474" t="s">
        <v>11</v>
      </c>
      <c r="C2474">
        <f>119888/10^0</f>
      </c>
      <c r="D2474">
        <f>0</f>
      </c>
      <c r="E2474">
        <f>744608093/10^6</f>
      </c>
      <c r="F2474">
        <f>0</f>
      </c>
      <c r="G2474">
        <f>263324768/10^6</f>
      </c>
      <c r="H2474">
        <f>0</f>
      </c>
      <c r="I2474">
        <f>-38428665/10^6</f>
      </c>
      <c r="J2474">
        <f>0</f>
      </c>
    </row>
    <row r="2475">
      <c r="A2475" t="s">
        <v>2484</v>
      </c>
      <c r="B2475" t="s">
        <v>11</v>
      </c>
      <c r="C2475">
        <f>119472046875/10^6</f>
      </c>
      <c r="D2475">
        <f>0</f>
      </c>
      <c r="E2475">
        <f>747134949/10^6</f>
      </c>
      <c r="F2475">
        <f>0</f>
      </c>
      <c r="G2475">
        <f>263132446/10^6</f>
      </c>
      <c r="H2475">
        <f>0</f>
      </c>
      <c r="I2475">
        <f>-39071041/10^6</f>
      </c>
      <c r="J2475">
        <f>0</f>
      </c>
    </row>
    <row r="2476">
      <c r="A2476" t="s">
        <v>2485</v>
      </c>
      <c r="B2476" t="s">
        <v>11</v>
      </c>
      <c r="C2476">
        <f>119013765625/10^6</f>
      </c>
      <c r="D2476">
        <f>0</f>
      </c>
      <c r="E2476">
        <f>749687073/10^6</f>
      </c>
      <c r="F2476">
        <f>0</f>
      </c>
      <c r="G2476">
        <f>262965393/10^6</f>
      </c>
      <c r="H2476">
        <f>0</f>
      </c>
      <c r="I2476">
        <f>-39469212/10^6</f>
      </c>
      <c r="J2476">
        <f>0</f>
      </c>
    </row>
    <row r="2477">
      <c r="A2477" t="s">
        <v>2486</v>
      </c>
      <c r="B2477" t="s">
        <v>11</v>
      </c>
      <c r="C2477">
        <f>1185275625/10^4</f>
      </c>
      <c r="D2477">
        <f>0</f>
      </c>
      <c r="E2477">
        <f>752534363/10^6</f>
      </c>
      <c r="F2477">
        <f>0</f>
      </c>
      <c r="G2477">
        <f>262741486/10^6</f>
      </c>
      <c r="H2477">
        <f>0</f>
      </c>
      <c r="I2477">
        <f>-39779789/10^6</f>
      </c>
      <c r="J2477">
        <f>0</f>
      </c>
    </row>
    <row r="2478">
      <c r="A2478" t="s">
        <v>2487</v>
      </c>
      <c r="B2478" t="s">
        <v>11</v>
      </c>
      <c r="C2478">
        <f>118011054688/10^6</f>
      </c>
      <c r="D2478">
        <f>0</f>
      </c>
      <c r="E2478">
        <f>755508423/10^6</f>
      </c>
      <c r="F2478">
        <f>0</f>
      </c>
      <c r="G2478">
        <f>262559479/10^6</f>
      </c>
      <c r="H2478">
        <f>0</f>
      </c>
      <c r="I2478">
        <f>-40128887/10^6</f>
      </c>
      <c r="J2478">
        <f>0</f>
      </c>
    </row>
    <row r="2479">
      <c r="A2479" t="s">
        <v>2488</v>
      </c>
      <c r="B2479" t="s">
        <v>11</v>
      </c>
      <c r="C2479">
        <f>117493648438/10^6</f>
      </c>
      <c r="D2479">
        <f>0</f>
      </c>
      <c r="E2479">
        <f>758500427/10^6</f>
      </c>
      <c r="F2479">
        <f>0</f>
      </c>
      <c r="G2479">
        <f>262359589/10^6</f>
      </c>
      <c r="H2479">
        <f>0</f>
      </c>
      <c r="I2479">
        <f>-40776142/10^6</f>
      </c>
      <c r="J2479">
        <f>0</f>
      </c>
    </row>
    <row r="2480">
      <c r="A2480" t="s">
        <v>2489</v>
      </c>
      <c r="B2480" t="s">
        <v>11</v>
      </c>
      <c r="C2480">
        <f>116982867188/10^6</f>
      </c>
      <c r="D2480">
        <f>0</f>
      </c>
      <c r="E2480">
        <f>761846741/10^6</f>
      </c>
      <c r="F2480">
        <f>0</f>
      </c>
      <c r="G2480">
        <f>262121277/10^6</f>
      </c>
      <c r="H2480">
        <f>0</f>
      </c>
      <c r="I2480">
        <f>-41469692/10^6</f>
      </c>
      <c r="J2480">
        <f>0</f>
      </c>
    </row>
    <row r="2481">
      <c r="A2481" t="s">
        <v>2490</v>
      </c>
      <c r="B2481" t="s">
        <v>11</v>
      </c>
      <c r="C2481">
        <f>116447257813/10^6</f>
      </c>
      <c r="D2481">
        <f>0</f>
      </c>
      <c r="E2481">
        <f>765247498/10^6</f>
      </c>
      <c r="F2481">
        <f>0</f>
      </c>
      <c r="G2481">
        <f>261995209/10^6</f>
      </c>
      <c r="H2481">
        <f>0</f>
      </c>
      <c r="I2481">
        <f>-41963455/10^6</f>
      </c>
      <c r="J2481">
        <f>0</f>
      </c>
    </row>
    <row r="2482">
      <c r="A2482" t="s">
        <v>2491</v>
      </c>
      <c r="B2482" t="s">
        <v>11</v>
      </c>
      <c r="C2482">
        <f>115921695313/10^6</f>
      </c>
      <c r="D2482">
        <f>0</f>
      </c>
      <c r="E2482">
        <f>768199402/10^6</f>
      </c>
      <c r="F2482">
        <f>0</f>
      </c>
      <c r="G2482">
        <f>261932861/10^6</f>
      </c>
      <c r="H2482">
        <f>0</f>
      </c>
      <c r="I2482">
        <f>-42709457/10^6</f>
      </c>
      <c r="J2482">
        <f>0</f>
      </c>
    </row>
    <row r="2483">
      <c r="A2483" t="s">
        <v>2492</v>
      </c>
      <c r="B2483" t="s">
        <v>11</v>
      </c>
      <c r="C2483">
        <f>115445867188/10^6</f>
      </c>
      <c r="D2483">
        <f>0</f>
      </c>
      <c r="E2483">
        <f>771454285/10^6</f>
      </c>
      <c r="F2483">
        <f>0</f>
      </c>
      <c r="G2483">
        <f>261826172/10^6</f>
      </c>
      <c r="H2483">
        <f>0</f>
      </c>
      <c r="I2483">
        <f>-43187748/10^6</f>
      </c>
      <c r="J2483">
        <f>0</f>
      </c>
    </row>
    <row r="2484">
      <c r="A2484" t="s">
        <v>2493</v>
      </c>
      <c r="B2484" t="s">
        <v>11</v>
      </c>
      <c r="C2484">
        <f>1150871875/10^4</f>
      </c>
      <c r="D2484">
        <f>0</f>
      </c>
      <c r="E2484">
        <f>772479858/10^6</f>
      </c>
      <c r="F2484">
        <f>0</f>
      </c>
      <c r="G2484">
        <f>261632446/10^6</f>
      </c>
      <c r="H2484">
        <f>0</f>
      </c>
      <c r="I2484">
        <f>-43273804/10^6</f>
      </c>
      <c r="J2484">
        <f>0</f>
      </c>
    </row>
    <row r="2485">
      <c r="A2485" t="s">
        <v>2494</v>
      </c>
      <c r="B2485" t="s">
        <v>11</v>
      </c>
      <c r="C2485">
        <f>114977617188/10^6</f>
      </c>
      <c r="D2485">
        <f>0</f>
      </c>
      <c r="E2485">
        <f>768588989/10^6</f>
      </c>
      <c r="F2485">
        <f>0</f>
      </c>
      <c r="G2485">
        <f>261490662/10^6</f>
      </c>
      <c r="H2485">
        <f>0</f>
      </c>
      <c r="I2485">
        <f>-43628754/10^6</f>
      </c>
      <c r="J2485">
        <f>0</f>
      </c>
    </row>
    <row r="2486">
      <c r="A2486" t="s">
        <v>2495</v>
      </c>
      <c r="B2486" t="s">
        <v>11</v>
      </c>
      <c r="C2486">
        <f>114993171875/10^6</f>
      </c>
      <c r="D2486">
        <f>0</f>
      </c>
      <c r="E2486">
        <f>766445313/10^6</f>
      </c>
      <c r="F2486">
        <f>0</f>
      </c>
      <c r="G2486">
        <f>261235718/10^6</f>
      </c>
      <c r="H2486">
        <f>0</f>
      </c>
      <c r="I2486">
        <f>-43114437/10^6</f>
      </c>
      <c r="J2486">
        <f>0</f>
      </c>
    </row>
    <row r="2487">
      <c r="A2487" t="s">
        <v>2496</v>
      </c>
      <c r="B2487" t="s">
        <v>11</v>
      </c>
      <c r="C2487">
        <f>11483925/10^2</f>
      </c>
      <c r="D2487">
        <f>0</f>
      </c>
      <c r="E2487">
        <f>770379272/10^6</f>
      </c>
      <c r="F2487">
        <f>0</f>
      </c>
      <c r="G2487">
        <f>260541748/10^6</f>
      </c>
      <c r="H2487">
        <f>0</f>
      </c>
      <c r="I2487">
        <f>-41173611/10^6</f>
      </c>
      <c r="J2487">
        <f>0</f>
      </c>
    </row>
    <row r="2488">
      <c r="A2488" t="s">
        <v>2497</v>
      </c>
      <c r="B2488" t="s">
        <v>11</v>
      </c>
      <c r="C2488">
        <f>114573890625/10^6</f>
      </c>
      <c r="D2488">
        <f>0</f>
      </c>
      <c r="E2488">
        <f>774748413/10^6</f>
      </c>
      <c r="F2488">
        <f>0</f>
      </c>
      <c r="G2488">
        <f>26013562/10^5</f>
      </c>
      <c r="H2488">
        <f>0</f>
      </c>
      <c r="I2488">
        <f>-40045437/10^6</f>
      </c>
      <c r="J2488">
        <f>0</f>
      </c>
    </row>
    <row r="2489">
      <c r="A2489" t="s">
        <v>2498</v>
      </c>
      <c r="B2489" t="s">
        <v>11</v>
      </c>
      <c r="C2489">
        <f>114441578125/10^6</f>
      </c>
      <c r="D2489">
        <f>0</f>
      </c>
      <c r="E2489">
        <f>776521118/10^6</f>
      </c>
      <c r="F2489">
        <f>0</f>
      </c>
      <c r="G2489">
        <f>260622528/10^6</f>
      </c>
      <c r="H2489">
        <f>0</f>
      </c>
      <c r="I2489">
        <f>-40699242/10^6</f>
      </c>
      <c r="J2489">
        <f>0</f>
      </c>
    </row>
    <row r="2490">
      <c r="A2490" t="s">
        <v>2499</v>
      </c>
      <c r="B2490" t="s">
        <v>11</v>
      </c>
      <c r="C2490">
        <f>114428195313/10^6</f>
      </c>
      <c r="D2490">
        <f>0</f>
      </c>
      <c r="E2490">
        <f>777142822/10^6</f>
      </c>
      <c r="F2490">
        <f>0</f>
      </c>
      <c r="G2490">
        <f>261197968/10^6</f>
      </c>
      <c r="H2490">
        <f>0</f>
      </c>
      <c r="I2490">
        <f>-41472305/10^6</f>
      </c>
      <c r="J2490">
        <f>0</f>
      </c>
    </row>
    <row r="2491">
      <c r="A2491" t="s">
        <v>2500</v>
      </c>
      <c r="B2491" t="s">
        <v>11</v>
      </c>
      <c r="C2491">
        <f>114385859375/10^6</f>
      </c>
      <c r="D2491">
        <f>0</f>
      </c>
      <c r="E2491">
        <f>777346191/10^6</f>
      </c>
      <c r="F2491">
        <f>0</f>
      </c>
      <c r="G2491">
        <f>261365021/10^6</f>
      </c>
      <c r="H2491">
        <f>0</f>
      </c>
      <c r="I2491">
        <f>-41485256/10^6</f>
      </c>
      <c r="J2491">
        <f>0</f>
      </c>
    </row>
    <row r="2492">
      <c r="A2492" t="s">
        <v>2501</v>
      </c>
      <c r="B2492" t="s">
        <v>11</v>
      </c>
      <c r="C2492">
        <f>114325585938/10^6</f>
      </c>
      <c r="D2492">
        <f>0</f>
      </c>
      <c r="E2492">
        <f>777911926/10^6</f>
      </c>
      <c r="F2492">
        <f>0</f>
      </c>
      <c r="G2492">
        <f>261507782/10^6</f>
      </c>
      <c r="H2492">
        <f>0</f>
      </c>
      <c r="I2492">
        <f>-41282505/10^6</f>
      </c>
      <c r="J2492">
        <f>0</f>
      </c>
    </row>
    <row r="2493">
      <c r="A2493" t="s">
        <v>2502</v>
      </c>
      <c r="B2493" t="s">
        <v>11</v>
      </c>
      <c r="C2493">
        <f>11432625/10^2</f>
      </c>
      <c r="D2493">
        <f>0</f>
      </c>
      <c r="E2493">
        <f>778699341/10^6</f>
      </c>
      <c r="F2493">
        <f>0</f>
      </c>
      <c r="G2493">
        <f>261654907/10^6</f>
      </c>
      <c r="H2493">
        <f>0</f>
      </c>
      <c r="I2493">
        <f>-41222298/10^6</f>
      </c>
      <c r="J2493">
        <f>0</f>
      </c>
    </row>
    <row r="2494">
      <c r="A2494" t="s">
        <v>2503</v>
      </c>
      <c r="B2494" t="s">
        <v>11</v>
      </c>
      <c r="C2494">
        <f>114325007813/10^6</f>
      </c>
      <c r="D2494">
        <f>0</f>
      </c>
      <c r="E2494">
        <f>778627441/10^6</f>
      </c>
      <c r="F2494">
        <f>0</f>
      </c>
      <c r="G2494">
        <f>26171701/10^5</f>
      </c>
      <c r="H2494">
        <f>0</f>
      </c>
      <c r="I2494">
        <f>-41234692/10^6</f>
      </c>
      <c r="J2494">
        <f>0</f>
      </c>
    </row>
    <row r="2495">
      <c r="A2495" t="s">
        <v>2504</v>
      </c>
      <c r="B2495" t="s">
        <v>11</v>
      </c>
      <c r="C2495">
        <f>1142713125/10^4</f>
      </c>
      <c r="D2495">
        <f>0</f>
      </c>
      <c r="E2495">
        <f>777952332/10^6</f>
      </c>
      <c r="F2495">
        <f>0</f>
      </c>
      <c r="G2495">
        <f>261804657/10^6</f>
      </c>
      <c r="H2495">
        <f>0</f>
      </c>
      <c r="I2495">
        <f>-4126609/10^5</f>
      </c>
      <c r="J2495">
        <f>0</f>
      </c>
    </row>
    <row r="2496">
      <c r="A2496" t="s">
        <v>2505</v>
      </c>
      <c r="B2496" t="s">
        <v>11</v>
      </c>
      <c r="C2496">
        <f>114247117188/10^6</f>
      </c>
      <c r="D2496">
        <f>0</f>
      </c>
      <c r="E2496">
        <f>777681213/10^6</f>
      </c>
      <c r="F2496">
        <f>0</f>
      </c>
      <c r="G2496">
        <f>261787781/10^6</f>
      </c>
      <c r="H2496">
        <f>0</f>
      </c>
      <c r="I2496">
        <f>-41185413/10^6</f>
      </c>
      <c r="J2496">
        <f>0</f>
      </c>
    </row>
    <row r="2497">
      <c r="A2497" t="s">
        <v>2506</v>
      </c>
      <c r="B2497" t="s">
        <v>11</v>
      </c>
      <c r="C2497">
        <f>11426784375/10^5</f>
      </c>
      <c r="D2497">
        <f>0</f>
      </c>
      <c r="E2497">
        <f>778026733/10^6</f>
      </c>
      <c r="F2497">
        <f>0</f>
      </c>
      <c r="G2497">
        <f>261590698/10^6</f>
      </c>
      <c r="H2497">
        <f>0</f>
      </c>
      <c r="I2497">
        <f>-40839123/10^6</f>
      </c>
      <c r="J2497">
        <f>0</f>
      </c>
    </row>
    <row r="2498">
      <c r="A2498" t="s">
        <v>2507</v>
      </c>
      <c r="B2498" t="s">
        <v>11</v>
      </c>
      <c r="C2498">
        <f>114280921875/10^6</f>
      </c>
      <c r="D2498">
        <f>0</f>
      </c>
      <c r="E2498">
        <f>778599121/10^6</f>
      </c>
      <c r="F2498">
        <f>0</f>
      </c>
      <c r="G2498">
        <f>261488251/10^6</f>
      </c>
      <c r="H2498">
        <f>0</f>
      </c>
      <c r="I2498">
        <f>-40658222/10^6</f>
      </c>
      <c r="J2498">
        <f>0</f>
      </c>
    </row>
    <row r="2499">
      <c r="A2499" t="s">
        <v>2508</v>
      </c>
      <c r="B2499" t="s">
        <v>11</v>
      </c>
      <c r="C2499">
        <f>114293539063/10^6</f>
      </c>
      <c r="D2499">
        <f>0</f>
      </c>
      <c r="E2499">
        <f>779033325/10^6</f>
      </c>
      <c r="F2499">
        <f>0</f>
      </c>
      <c r="G2499">
        <f>261674133/10^6</f>
      </c>
      <c r="H2499">
        <f>0</f>
      </c>
      <c r="I2499">
        <f>-41104694/10^6</f>
      </c>
      <c r="J2499">
        <f>0</f>
      </c>
    </row>
    <row r="2500">
      <c r="A2500" t="s">
        <v>2509</v>
      </c>
      <c r="B2500" t="s">
        <v>11</v>
      </c>
      <c r="C2500">
        <f>114308304688/10^6</f>
      </c>
      <c r="D2500">
        <f>0</f>
      </c>
      <c r="E2500">
        <f>779229309/10^6</f>
      </c>
      <c r="F2500">
        <f>0</f>
      </c>
      <c r="G2500">
        <f>261914368/10^6</f>
      </c>
      <c r="H2500">
        <f>0</f>
      </c>
      <c r="I2500">
        <f>-41674145/10^6</f>
      </c>
      <c r="J2500">
        <f>0</f>
      </c>
    </row>
    <row r="2501">
      <c r="A2501" t="s">
        <v>2510</v>
      </c>
      <c r="B2501" t="s">
        <v>11</v>
      </c>
      <c r="C2501">
        <f>114304617188/10^6</f>
      </c>
      <c r="D2501">
        <f>0</f>
      </c>
      <c r="E2501">
        <f>779067993/10^6</f>
      </c>
      <c r="F2501">
        <f>0</f>
      </c>
      <c r="G2501">
        <f>261922028/10^6</f>
      </c>
      <c r="H2501">
        <f>0</f>
      </c>
      <c r="I2501">
        <f>-41800938/10^6</f>
      </c>
      <c r="J2501">
        <f>0</f>
      </c>
    </row>
    <row r="2502">
      <c r="A2502" t="s">
        <v>2511</v>
      </c>
      <c r="B2502" t="s">
        <v>11</v>
      </c>
      <c r="C2502">
        <f>114303046875/10^6</f>
      </c>
      <c r="D2502">
        <f>0</f>
      </c>
      <c r="E2502">
        <f>778726257/10^6</f>
      </c>
      <c r="F2502">
        <f>0</f>
      </c>
      <c r="G2502">
        <f>261783783/10^6</f>
      </c>
      <c r="H2502">
        <f>0</f>
      </c>
      <c r="I2502">
        <f>-41622696/10^6</f>
      </c>
      <c r="J2502">
        <f>0</f>
      </c>
    </row>
    <row r="2503">
      <c r="A2503" t="s">
        <v>2512</v>
      </c>
      <c r="B2503" t="s">
        <v>11</v>
      </c>
      <c r="C2503">
        <f>114336164063/10^6</f>
      </c>
      <c r="D2503">
        <f>0</f>
      </c>
      <c r="E2503">
        <f>77870752/10^5</f>
      </c>
      <c r="F2503">
        <f>0</f>
      </c>
      <c r="G2503">
        <f>261733398/10^6</f>
      </c>
      <c r="H2503">
        <f>0</f>
      </c>
      <c r="I2503">
        <f>-41633381/10^6</f>
      </c>
      <c r="J2503">
        <f>0</f>
      </c>
    </row>
    <row r="2504">
      <c r="A2504" t="s">
        <v>2513</v>
      </c>
      <c r="B2504" t="s">
        <v>11</v>
      </c>
      <c r="C2504">
        <f>11439721875/10^5</f>
      </c>
      <c r="D2504">
        <f>0</f>
      </c>
      <c r="E2504">
        <f>778927307/10^6</f>
      </c>
      <c r="F2504">
        <f>0</f>
      </c>
      <c r="G2504">
        <f>261790344/10^6</f>
      </c>
      <c r="H2504">
        <f>0</f>
      </c>
      <c r="I2504">
        <f>-42236988/10^6</f>
      </c>
      <c r="J2504">
        <f>0</f>
      </c>
    </row>
    <row r="2505">
      <c r="A2505" t="s">
        <v>2514</v>
      </c>
      <c r="B2505" t="s">
        <v>11</v>
      </c>
      <c r="C2505">
        <f>114482742188/10^6</f>
      </c>
      <c r="D2505">
        <f>0</f>
      </c>
      <c r="E2505">
        <f>778958862/10^6</f>
      </c>
      <c r="F2505">
        <f>0</f>
      </c>
      <c r="G2505">
        <f>26183432/10^5</f>
      </c>
      <c r="H2505">
        <f>0</f>
      </c>
      <c r="I2505">
        <f>-42916103/10^6</f>
      </c>
      <c r="J2505">
        <f>0</f>
      </c>
    </row>
    <row r="2506">
      <c r="A2506" t="s">
        <v>2515</v>
      </c>
      <c r="B2506" t="s">
        <v>11</v>
      </c>
      <c r="C2506">
        <f>114611007813/10^6</f>
      </c>
      <c r="D2506">
        <f>0</f>
      </c>
      <c r="E2506">
        <f>778594421/10^6</f>
      </c>
      <c r="F2506">
        <f>0</f>
      </c>
      <c r="G2506">
        <f>261907837/10^6</f>
      </c>
      <c r="H2506">
        <f>0</f>
      </c>
      <c r="I2506">
        <f>-43211975/10^6</f>
      </c>
      <c r="J2506">
        <f>0</f>
      </c>
    </row>
    <row r="2507">
      <c r="A2507" t="s">
        <v>2516</v>
      </c>
      <c r="B2507" t="s">
        <v>11</v>
      </c>
      <c r="C2507">
        <f>114784242188/10^6</f>
      </c>
      <c r="D2507">
        <f>0</f>
      </c>
      <c r="E2507">
        <f>777754761/10^6</f>
      </c>
      <c r="F2507">
        <f>0</f>
      </c>
      <c r="G2507">
        <f>262018921/10^6</f>
      </c>
      <c r="H2507">
        <f>0</f>
      </c>
      <c r="I2507">
        <f>-43576233/10^6</f>
      </c>
      <c r="J2507">
        <f>0</f>
      </c>
    </row>
    <row r="2508">
      <c r="A2508" t="s">
        <v>2517</v>
      </c>
      <c r="B2508" t="s">
        <v>11</v>
      </c>
      <c r="C2508">
        <f>11501171875/10^5</f>
      </c>
      <c r="D2508">
        <f>0</f>
      </c>
      <c r="E2508">
        <f>776596802/10^6</f>
      </c>
      <c r="F2508">
        <f>0</f>
      </c>
      <c r="G2508">
        <f>262122437/10^6</f>
      </c>
      <c r="H2508">
        <f>0</f>
      </c>
      <c r="I2508">
        <f>-43848038/10^6</f>
      </c>
      <c r="J2508">
        <f>0</f>
      </c>
    </row>
    <row r="2509">
      <c r="A2509" t="s">
        <v>2518</v>
      </c>
      <c r="B2509" t="s">
        <v>11</v>
      </c>
      <c r="C2509">
        <f>115289007813/10^6</f>
      </c>
      <c r="D2509">
        <f>0</f>
      </c>
      <c r="E2509">
        <f>775310547/10^6</f>
      </c>
      <c r="F2509">
        <f>0</f>
      </c>
      <c r="G2509">
        <f>262354706/10^6</f>
      </c>
      <c r="H2509">
        <f>0</f>
      </c>
      <c r="I2509">
        <f>-43707561/10^6</f>
      </c>
      <c r="J2509">
        <f>0</f>
      </c>
    </row>
    <row r="2510">
      <c r="A2510" t="s">
        <v>2519</v>
      </c>
      <c r="B2510" t="s">
        <v>11</v>
      </c>
      <c r="C2510">
        <f>115603/10^0</f>
      </c>
      <c r="D2510">
        <f>0</f>
      </c>
      <c r="E2510">
        <f>773846741/10^6</f>
      </c>
      <c r="F2510">
        <f>0</f>
      </c>
      <c r="G2510">
        <f>262619598/10^6</f>
      </c>
      <c r="H2510">
        <f>0</f>
      </c>
      <c r="I2510">
        <f>-43572933/10^6</f>
      </c>
      <c r="J2510">
        <f>0</f>
      </c>
    </row>
    <row r="2511">
      <c r="A2511" t="s">
        <v>2520</v>
      </c>
      <c r="B2511" t="s">
        <v>11</v>
      </c>
      <c r="C2511">
        <f>115967546875/10^6</f>
      </c>
      <c r="D2511">
        <f>0</f>
      </c>
      <c r="E2511">
        <f>77206958/10^5</f>
      </c>
      <c r="F2511">
        <f>0</f>
      </c>
      <c r="G2511">
        <f>262819366/10^6</f>
      </c>
      <c r="H2511">
        <f>0</f>
      </c>
      <c r="I2511">
        <f>-43368256/10^6</f>
      </c>
      <c r="J2511">
        <f>0</f>
      </c>
    </row>
    <row r="2512">
      <c r="A2512" t="s">
        <v>2521</v>
      </c>
      <c r="B2512" t="s">
        <v>11</v>
      </c>
      <c r="C2512">
        <f>11635525/10^2</f>
      </c>
      <c r="D2512">
        <f>0</f>
      </c>
      <c r="E2512">
        <f>770099121/10^6</f>
      </c>
      <c r="F2512">
        <f>0</f>
      </c>
      <c r="G2512">
        <f>26301413/10^5</f>
      </c>
      <c r="H2512">
        <f>0</f>
      </c>
      <c r="I2512">
        <f>-42947235/10^6</f>
      </c>
      <c r="J2512">
        <f>0</f>
      </c>
    </row>
    <row r="2513">
      <c r="A2513" t="s">
        <v>2522</v>
      </c>
      <c r="B2513" t="s">
        <v>11</v>
      </c>
      <c r="C2513">
        <f>11675425/10^2</f>
      </c>
      <c r="D2513">
        <f>0</f>
      </c>
      <c r="E2513">
        <f>768236633/10^6</f>
      </c>
      <c r="F2513">
        <f>0</f>
      </c>
      <c r="G2513">
        <f>263233246/10^6</f>
      </c>
      <c r="H2513">
        <f>0</f>
      </c>
      <c r="I2513">
        <f>-42594593/10^6</f>
      </c>
      <c r="J2513">
        <f>0</f>
      </c>
    </row>
    <row r="2514">
      <c r="A2514" t="s">
        <v>2523</v>
      </c>
      <c r="B2514" t="s">
        <v>11</v>
      </c>
      <c r="C2514">
        <f>117242460938/10^6</f>
      </c>
      <c r="D2514">
        <f>0</f>
      </c>
      <c r="E2514">
        <f>766117737/10^6</f>
      </c>
      <c r="F2514">
        <f>0</f>
      </c>
      <c r="G2514">
        <f>263661438/10^6</f>
      </c>
      <c r="H2514">
        <f>0</f>
      </c>
      <c r="I2514">
        <f>-42263737/10^6</f>
      </c>
      <c r="J2514">
        <f>0</f>
      </c>
    </row>
    <row r="2515">
      <c r="A2515" t="s">
        <v>2524</v>
      </c>
      <c r="B2515" t="s">
        <v>11</v>
      </c>
      <c r="C2515">
        <f>117891773438/10^6</f>
      </c>
      <c r="D2515">
        <f>0</f>
      </c>
      <c r="E2515">
        <f>763054077/10^6</f>
      </c>
      <c r="F2515">
        <f>0</f>
      </c>
      <c r="G2515">
        <f>264087982/10^6</f>
      </c>
      <c r="H2515">
        <f>0</f>
      </c>
      <c r="I2515">
        <f>-41984394/10^6</f>
      </c>
      <c r="J2515">
        <f>0</f>
      </c>
    </row>
    <row r="2516">
      <c r="A2516" t="s">
        <v>2525</v>
      </c>
      <c r="B2516" t="s">
        <v>11</v>
      </c>
      <c r="C2516">
        <f>118727445313/10^6</f>
      </c>
      <c r="D2516">
        <f>0</f>
      </c>
      <c r="E2516">
        <f>759052673/10^6</f>
      </c>
      <c r="F2516">
        <f>0</f>
      </c>
      <c r="G2516">
        <f>264547028/10^6</f>
      </c>
      <c r="H2516">
        <f>0</f>
      </c>
      <c r="I2516">
        <f>-41355442/10^6</f>
      </c>
      <c r="J2516">
        <f>0</f>
      </c>
    </row>
    <row r="2517">
      <c r="A2517" t="s">
        <v>2526</v>
      </c>
      <c r="B2517" t="s">
        <v>11</v>
      </c>
      <c r="C2517">
        <f>119694203125/10^6</f>
      </c>
      <c r="D2517">
        <f>0</f>
      </c>
      <c r="E2517">
        <f>75431604/10^5</f>
      </c>
      <c r="F2517">
        <f>0</f>
      </c>
      <c r="G2517">
        <f>265328339/10^6</f>
      </c>
      <c r="H2517">
        <f>0</f>
      </c>
      <c r="I2517">
        <f>-40276077/10^6</f>
      </c>
      <c r="J2517">
        <f>0</f>
      </c>
    </row>
    <row r="2518">
      <c r="A2518" t="s">
        <v>2527</v>
      </c>
      <c r="B2518" t="s">
        <v>11</v>
      </c>
      <c r="C2518">
        <f>120670296875/10^6</f>
      </c>
      <c r="D2518">
        <f>0</f>
      </c>
      <c r="E2518">
        <f>749013916/10^6</f>
      </c>
      <c r="F2518">
        <f>0</f>
      </c>
      <c r="G2518">
        <f>265885284/10^6</f>
      </c>
      <c r="H2518">
        <f>0</f>
      </c>
      <c r="I2518">
        <f>-39448586/10^6</f>
      </c>
      <c r="J2518">
        <f>0</f>
      </c>
    </row>
    <row r="2519">
      <c r="A2519" t="s">
        <v>2528</v>
      </c>
      <c r="B2519" t="s">
        <v>11</v>
      </c>
      <c r="C2519">
        <f>1215945625/10^4</f>
      </c>
      <c r="D2519">
        <f>0</f>
      </c>
      <c r="E2519">
        <f>743661255/10^6</f>
      </c>
      <c r="F2519">
        <f>0</f>
      </c>
      <c r="G2519">
        <f>266243378/10^6</f>
      </c>
      <c r="H2519">
        <f>0</f>
      </c>
      <c r="I2519">
        <f>-38318825/10^6</f>
      </c>
      <c r="J2519">
        <f>0</f>
      </c>
    </row>
    <row r="2520">
      <c r="A2520" t="s">
        <v>2529</v>
      </c>
      <c r="B2520" t="s">
        <v>11</v>
      </c>
      <c r="C2520">
        <f>122431710938/10^6</f>
      </c>
      <c r="D2520">
        <f>0</f>
      </c>
      <c r="E2520">
        <f>738651733/10^6</f>
      </c>
      <c r="F2520">
        <f>0</f>
      </c>
      <c r="G2520">
        <f>266715973/10^6</f>
      </c>
      <c r="H2520">
        <f>0</f>
      </c>
      <c r="I2520">
        <f>-36990124/10^6</f>
      </c>
      <c r="J2520">
        <f>0</f>
      </c>
    </row>
    <row r="2521">
      <c r="A2521" t="s">
        <v>2530</v>
      </c>
      <c r="B2521" t="s">
        <v>11</v>
      </c>
      <c r="C2521">
        <f>123059289063/10^6</f>
      </c>
      <c r="D2521">
        <f>0</f>
      </c>
      <c r="E2521">
        <f>734259338/10^6</f>
      </c>
      <c r="F2521">
        <f>0</f>
      </c>
      <c r="G2521">
        <f>266799927/10^6</f>
      </c>
      <c r="H2521">
        <f>0</f>
      </c>
      <c r="I2521">
        <f>-36291691/10^6</f>
      </c>
      <c r="J2521">
        <f>0</f>
      </c>
    </row>
    <row r="2522">
      <c r="A2522" t="s">
        <v>2531</v>
      </c>
      <c r="B2522" t="s">
        <v>11</v>
      </c>
      <c r="C2522">
        <f>123377242188/10^6</f>
      </c>
      <c r="D2522">
        <f>0</f>
      </c>
      <c r="E2522">
        <f>731264526/10^6</f>
      </c>
      <c r="F2522">
        <f>0</f>
      </c>
      <c r="G2522">
        <f>266629578/10^6</f>
      </c>
      <c r="H2522">
        <f>0</f>
      </c>
      <c r="I2522">
        <f>-35558083/10^6</f>
      </c>
      <c r="J2522">
        <f>0</f>
      </c>
    </row>
    <row r="2523">
      <c r="A2523" t="s">
        <v>2532</v>
      </c>
      <c r="B2523" t="s">
        <v>11</v>
      </c>
      <c r="C2523">
        <f>12346403125/10^5</f>
      </c>
      <c r="D2523">
        <f>0</f>
      </c>
      <c r="E2523">
        <f>730099426/10^6</f>
      </c>
      <c r="F2523">
        <f>0</f>
      </c>
      <c r="G2523">
        <f>266542877/10^6</f>
      </c>
      <c r="H2523">
        <f>0</f>
      </c>
      <c r="I2523">
        <f>-34954739/10^6</f>
      </c>
      <c r="J2523">
        <f>0</f>
      </c>
    </row>
    <row r="2524">
      <c r="A2524" t="s">
        <v>2533</v>
      </c>
      <c r="B2524" t="s">
        <v>11</v>
      </c>
      <c r="C2524">
        <f>123489507813/10^6</f>
      </c>
      <c r="D2524">
        <f>0</f>
      </c>
      <c r="E2524">
        <f>729706543/10^6</f>
      </c>
      <c r="F2524">
        <f>0</f>
      </c>
      <c r="G2524">
        <f>266252747/10^6</f>
      </c>
      <c r="H2524">
        <f>0</f>
      </c>
      <c r="I2524">
        <f>-34969444/10^6</f>
      </c>
      <c r="J2524">
        <f>0</f>
      </c>
    </row>
    <row r="2525">
      <c r="A2525" t="s">
        <v>2534</v>
      </c>
      <c r="B2525" t="s">
        <v>11</v>
      </c>
      <c r="C2525">
        <f>123520835938/10^6</f>
      </c>
      <c r="D2525">
        <f>0</f>
      </c>
      <c r="E2525">
        <f>729044434/10^6</f>
      </c>
      <c r="F2525">
        <f>0</f>
      </c>
      <c r="G2525">
        <f>265903595/10^6</f>
      </c>
      <c r="H2525">
        <f>0</f>
      </c>
      <c r="I2525">
        <f>-3500946/10^5</f>
      </c>
      <c r="J2525">
        <f>0</f>
      </c>
    </row>
    <row r="2526">
      <c r="A2526" t="s">
        <v>2535</v>
      </c>
      <c r="B2526" t="s">
        <v>11</v>
      </c>
      <c r="C2526">
        <f>123515242188/10^6</f>
      </c>
      <c r="D2526">
        <f>0</f>
      </c>
      <c r="E2526">
        <f>728411743/10^6</f>
      </c>
      <c r="F2526">
        <f>0</f>
      </c>
      <c r="G2526">
        <f>265673676/10^6</f>
      </c>
      <c r="H2526">
        <f>0</f>
      </c>
      <c r="I2526">
        <f>-35020657/10^6</f>
      </c>
      <c r="J2526">
        <f>0</f>
      </c>
    </row>
    <row r="2527">
      <c r="A2527" t="s">
        <v>2536</v>
      </c>
      <c r="B2527" t="s">
        <v>11</v>
      </c>
      <c r="C2527">
        <f>123440890625/10^6</f>
      </c>
      <c r="D2527">
        <f>0</f>
      </c>
      <c r="E2527">
        <f>728158691/10^6</f>
      </c>
      <c r="F2527">
        <f>0</f>
      </c>
      <c r="G2527">
        <f>265389954/10^6</f>
      </c>
      <c r="H2527">
        <f>0</f>
      </c>
      <c r="I2527">
        <f>-35110092/10^6</f>
      </c>
      <c r="J2527">
        <f>0</f>
      </c>
    </row>
    <row r="2528">
      <c r="A2528" t="s">
        <v>2537</v>
      </c>
      <c r="B2528" t="s">
        <v>11</v>
      </c>
      <c r="C2528">
        <f>123295367188/10^6</f>
      </c>
      <c r="D2528">
        <f>0</f>
      </c>
      <c r="E2528">
        <f>728172974/10^6</f>
      </c>
      <c r="F2528">
        <f>0</f>
      </c>
      <c r="G2528">
        <f>265145233/10^6</f>
      </c>
      <c r="H2528">
        <f>0</f>
      </c>
      <c r="I2528">
        <f>-35209583/10^6</f>
      </c>
      <c r="J2528">
        <f>0</f>
      </c>
    </row>
    <row r="2529">
      <c r="A2529" t="s">
        <v>2538</v>
      </c>
      <c r="B2529" t="s">
        <v>11</v>
      </c>
      <c r="C2529">
        <f>1230836875/10^4</f>
      </c>
      <c r="D2529">
        <f>0</f>
      </c>
      <c r="E2529">
        <f>728663879/10^6</f>
      </c>
      <c r="F2529">
        <f>0</f>
      </c>
      <c r="G2529">
        <f>264904144/10^6</f>
      </c>
      <c r="H2529">
        <f>0</f>
      </c>
      <c r="I2529">
        <f>-35470036/10^6</f>
      </c>
      <c r="J2529">
        <f>0</f>
      </c>
    </row>
    <row r="2530">
      <c r="A2530" t="s">
        <v>2539</v>
      </c>
      <c r="B2530" t="s">
        <v>11</v>
      </c>
      <c r="C2530">
        <f>122830640625/10^6</f>
      </c>
      <c r="D2530">
        <f>0</f>
      </c>
      <c r="E2530">
        <f>729836304/10^6</f>
      </c>
      <c r="F2530">
        <f>0</f>
      </c>
      <c r="G2530">
        <f>264638763/10^6</f>
      </c>
      <c r="H2530">
        <f>0</f>
      </c>
      <c r="I2530">
        <f>-3573225/10^5</f>
      </c>
      <c r="J2530">
        <f>0</f>
      </c>
    </row>
    <row r="2531">
      <c r="A2531" t="s">
        <v>2540</v>
      </c>
      <c r="B2531" t="s">
        <v>11</v>
      </c>
      <c r="C2531">
        <f>122542921875/10^6</f>
      </c>
      <c r="D2531">
        <f>0</f>
      </c>
      <c r="E2531">
        <f>73137323/10^5</f>
      </c>
      <c r="F2531">
        <f>0</f>
      </c>
      <c r="G2531">
        <f>264446777/10^6</f>
      </c>
      <c r="H2531">
        <f>0</f>
      </c>
      <c r="I2531">
        <f>-36060287/10^6</f>
      </c>
      <c r="J2531">
        <f>0</f>
      </c>
    </row>
    <row r="2532">
      <c r="A2532" t="s">
        <v>2541</v>
      </c>
      <c r="B2532" t="s">
        <v>11</v>
      </c>
      <c r="C2532">
        <f>122191273438/10^6</f>
      </c>
      <c r="D2532">
        <f>0</f>
      </c>
      <c r="E2532">
        <f>733121887/10^6</f>
      </c>
      <c r="F2532">
        <f>0</f>
      </c>
      <c r="G2532">
        <f>264221588/10^6</f>
      </c>
      <c r="H2532">
        <f>0</f>
      </c>
      <c r="I2532">
        <f>-36566162/10^6</f>
      </c>
      <c r="J2532">
        <f>0</f>
      </c>
    </row>
    <row r="2533">
      <c r="A2533" t="s">
        <v>2542</v>
      </c>
      <c r="B2533" t="s">
        <v>11</v>
      </c>
      <c r="C2533">
        <f>121782195313/10^6</f>
      </c>
      <c r="D2533">
        <f>0</f>
      </c>
      <c r="E2533">
        <f>735243896/10^6</f>
      </c>
      <c r="F2533">
        <f>0</f>
      </c>
      <c r="G2533">
        <f>264033417/10^6</f>
      </c>
      <c r="H2533">
        <f>0</f>
      </c>
      <c r="I2533">
        <f>-3698193/10^5</f>
      </c>
      <c r="J2533">
        <f>0</f>
      </c>
    </row>
    <row r="2534">
      <c r="A2534" t="s">
        <v>2543</v>
      </c>
      <c r="B2534" t="s">
        <v>11</v>
      </c>
      <c r="C2534">
        <f>121382851563/10^6</f>
      </c>
      <c r="D2534">
        <f>0</f>
      </c>
      <c r="E2534">
        <f>737519958/10^6</f>
      </c>
      <c r="F2534">
        <f>0</f>
      </c>
      <c r="G2534">
        <f>263900452/10^6</f>
      </c>
      <c r="H2534">
        <f>0</f>
      </c>
      <c r="I2534">
        <f>-37554176/10^6</f>
      </c>
      <c r="J2534">
        <f>0</f>
      </c>
    </row>
    <row r="2535">
      <c r="A2535" t="s">
        <v>2544</v>
      </c>
      <c r="B2535" t="s">
        <v>11</v>
      </c>
      <c r="C2535">
        <f>121006890625/10^6</f>
      </c>
      <c r="D2535">
        <f>0</f>
      </c>
      <c r="E2535">
        <f>739591064/10^6</f>
      </c>
      <c r="F2535">
        <f>0</f>
      </c>
      <c r="G2535">
        <f>263754669/10^6</f>
      </c>
      <c r="H2535">
        <f>0</f>
      </c>
      <c r="I2535">
        <f>-38203716/10^6</f>
      </c>
      <c r="J2535">
        <f>0</f>
      </c>
    </row>
    <row r="2536">
      <c r="A2536" t="s">
        <v>2545</v>
      </c>
      <c r="B2536" t="s">
        <v>11</v>
      </c>
      <c r="C2536">
        <f>120594867188/10^6</f>
      </c>
      <c r="D2536">
        <f>0</f>
      </c>
      <c r="E2536">
        <f>741644226/10^6</f>
      </c>
      <c r="F2536">
        <f>0</f>
      </c>
      <c r="G2536">
        <f>263633881/10^6</f>
      </c>
      <c r="H2536">
        <f>0</f>
      </c>
      <c r="I2536">
        <f>-38668388/10^6</f>
      </c>
      <c r="J2536">
        <f>0</f>
      </c>
    </row>
    <row r="2537">
      <c r="A2537" t="s">
        <v>2546</v>
      </c>
      <c r="B2537" t="s">
        <v>11</v>
      </c>
      <c r="C2537">
        <f>120173195313/10^6</f>
      </c>
      <c r="D2537">
        <f>0</f>
      </c>
      <c r="E2537">
        <f>744023804/10^6</f>
      </c>
      <c r="F2537">
        <f>0</f>
      </c>
      <c r="G2537">
        <f>263520355/10^6</f>
      </c>
      <c r="H2537">
        <f>0</f>
      </c>
      <c r="I2537">
        <f>-3917757/10^5</f>
      </c>
      <c r="J2537">
        <f>0</f>
      </c>
    </row>
    <row r="2538">
      <c r="A2538" t="s">
        <v>2547</v>
      </c>
      <c r="B2538" t="s">
        <v>11</v>
      </c>
      <c r="C2538">
        <f>11979903125/10^5</f>
      </c>
      <c r="D2538">
        <f>0</f>
      </c>
      <c r="E2538">
        <f>746395691/10^6</f>
      </c>
      <c r="F2538">
        <f>0</f>
      </c>
      <c r="G2538">
        <f>263409058/10^6</f>
      </c>
      <c r="H2538">
        <f>0</f>
      </c>
      <c r="I2538">
        <f>-39646645/10^6</f>
      </c>
      <c r="J2538">
        <f>0</f>
      </c>
    </row>
    <row r="2539">
      <c r="A2539" t="s">
        <v>2548</v>
      </c>
      <c r="B2539" t="s">
        <v>11</v>
      </c>
      <c r="C2539">
        <f>11942084375/10^5</f>
      </c>
      <c r="D2539">
        <f>0</f>
      </c>
      <c r="E2539">
        <f>748513428/10^6</f>
      </c>
      <c r="F2539">
        <f>0</f>
      </c>
      <c r="G2539">
        <f>26321167/10^5</f>
      </c>
      <c r="H2539">
        <f>0</f>
      </c>
      <c r="I2539">
        <f>-40236656/10^6</f>
      </c>
      <c r="J2539">
        <f>0</f>
      </c>
    </row>
    <row r="2540">
      <c r="A2540" t="s">
        <v>2549</v>
      </c>
      <c r="B2540" t="s">
        <v>11</v>
      </c>
      <c r="C2540">
        <f>11899903125/10^5</f>
      </c>
      <c r="D2540">
        <f>0</f>
      </c>
      <c r="E2540">
        <f>750830872/10^6</f>
      </c>
      <c r="F2540">
        <f>0</f>
      </c>
      <c r="G2540">
        <f>262990723/10^6</f>
      </c>
      <c r="H2540">
        <f>0</f>
      </c>
      <c r="I2540">
        <f>-40875706/10^6</f>
      </c>
      <c r="J2540">
        <f>0</f>
      </c>
    </row>
    <row r="2541">
      <c r="A2541" t="s">
        <v>2550</v>
      </c>
      <c r="B2541" t="s">
        <v>11</v>
      </c>
      <c r="C2541">
        <f>118569710938/10^6</f>
      </c>
      <c r="D2541">
        <f>0</f>
      </c>
      <c r="E2541">
        <f>753399963/10^6</f>
      </c>
      <c r="F2541">
        <f>0</f>
      </c>
      <c r="G2541">
        <f>262854614/10^6</f>
      </c>
      <c r="H2541">
        <f>0</f>
      </c>
      <c r="I2541">
        <f>-41388802/10^6</f>
      </c>
      <c r="J2541">
        <f>0</f>
      </c>
    </row>
    <row r="2542">
      <c r="A2542" t="s">
        <v>2551</v>
      </c>
      <c r="B2542" t="s">
        <v>11</v>
      </c>
      <c r="C2542">
        <f>118165984375/10^6</f>
      </c>
      <c r="D2542">
        <f>0</f>
      </c>
      <c r="E2542">
        <f>755941345/10^6</f>
      </c>
      <c r="F2542">
        <f>0</f>
      </c>
      <c r="G2542">
        <f>262690247/10^6</f>
      </c>
      <c r="H2542">
        <f>0</f>
      </c>
      <c r="I2542">
        <f>-42029602/10^6</f>
      </c>
      <c r="J2542">
        <f>0</f>
      </c>
    </row>
    <row r="2543">
      <c r="A2543" t="s">
        <v>2552</v>
      </c>
      <c r="B2543" t="s">
        <v>11</v>
      </c>
      <c r="C2543">
        <f>117795210938/10^6</f>
      </c>
      <c r="D2543">
        <f>0</f>
      </c>
      <c r="E2543">
        <f>758497498/10^6</f>
      </c>
      <c r="F2543">
        <f>0</f>
      </c>
      <c r="G2543">
        <f>262550354/10^6</f>
      </c>
      <c r="H2543">
        <f>0</f>
      </c>
      <c r="I2543">
        <f>-42562984/10^6</f>
      </c>
      <c r="J2543">
        <f>0</f>
      </c>
    </row>
    <row r="2544">
      <c r="A2544" t="s">
        <v>2553</v>
      </c>
      <c r="B2544" t="s">
        <v>11</v>
      </c>
      <c r="C2544">
        <f>117435804688/10^6</f>
      </c>
      <c r="D2544">
        <f>0</f>
      </c>
      <c r="E2544">
        <f>760919617/10^6</f>
      </c>
      <c r="F2544">
        <f>0</f>
      </c>
      <c r="G2544">
        <f>262499542/10^6</f>
      </c>
      <c r="H2544">
        <f>0</f>
      </c>
      <c r="I2544">
        <f>-43135487/10^6</f>
      </c>
      <c r="J2544">
        <f>0</f>
      </c>
    </row>
    <row r="2545">
      <c r="A2545" t="s">
        <v>2554</v>
      </c>
      <c r="B2545" t="s">
        <v>11</v>
      </c>
      <c r="C2545">
        <f>117078765625/10^6</f>
      </c>
      <c r="D2545">
        <f>0</f>
      </c>
      <c r="E2545">
        <f>762878174/10^6</f>
      </c>
      <c r="F2545">
        <f>0</f>
      </c>
      <c r="G2545">
        <f>262462494/10^6</f>
      </c>
      <c r="H2545">
        <f>0</f>
      </c>
      <c r="I2545">
        <f>-4380798/10^5</f>
      </c>
      <c r="J2545">
        <f>0</f>
      </c>
    </row>
    <row r="2546">
      <c r="A2546" t="s">
        <v>2555</v>
      </c>
      <c r="B2546" t="s">
        <v>11</v>
      </c>
      <c r="C2546">
        <f>116747132813/10^6</f>
      </c>
      <c r="D2546">
        <f>0</f>
      </c>
      <c r="E2546">
        <f>764644348/10^6</f>
      </c>
      <c r="F2546">
        <f>0</f>
      </c>
      <c r="G2546">
        <f>262357941/10^6</f>
      </c>
      <c r="H2546">
        <f>0</f>
      </c>
      <c r="I2546">
        <f>-44181751/10^6</f>
      </c>
      <c r="J2546">
        <f>0</f>
      </c>
    </row>
    <row r="2547">
      <c r="A2547" t="s">
        <v>2556</v>
      </c>
      <c r="B2547" t="s">
        <v>11</v>
      </c>
      <c r="C2547">
        <f>116434882813/10^6</f>
      </c>
      <c r="D2547">
        <f>0</f>
      </c>
      <c r="E2547">
        <f>766566895/10^6</f>
      </c>
      <c r="F2547">
        <f>0</f>
      </c>
      <c r="G2547">
        <f>262196594/10^6</f>
      </c>
      <c r="H2547">
        <f>0</f>
      </c>
      <c r="I2547">
        <f>-4445118/10^5</f>
      </c>
      <c r="J2547">
        <f>0</f>
      </c>
    </row>
    <row r="2548">
      <c r="A2548" t="s">
        <v>2557</v>
      </c>
      <c r="B2548" t="s">
        <v>11</v>
      </c>
      <c r="C2548">
        <f>116089671875/10^6</f>
      </c>
      <c r="D2548">
        <f>0</f>
      </c>
      <c r="E2548">
        <f>769234924/10^6</f>
      </c>
      <c r="F2548">
        <f>0</f>
      </c>
      <c r="G2548">
        <f>262042755/10^6</f>
      </c>
      <c r="H2548">
        <f>0</f>
      </c>
      <c r="I2548">
        <f>-44662121/10^6</f>
      </c>
      <c r="J2548">
        <f>0</f>
      </c>
    </row>
    <row r="2549">
      <c r="A2549" t="s">
        <v>2558</v>
      </c>
      <c r="B2549" t="s">
        <v>11</v>
      </c>
      <c r="C2549">
        <f>115690164063/10^6</f>
      </c>
      <c r="D2549">
        <f>0</f>
      </c>
      <c r="E2549">
        <f>771693726/10^6</f>
      </c>
      <c r="F2549">
        <f>0</f>
      </c>
      <c r="G2549">
        <f>261877441/10^6</f>
      </c>
      <c r="H2549">
        <f>0</f>
      </c>
      <c r="I2549">
        <f>-45180531/10^6</f>
      </c>
      <c r="J2549">
        <f>0</f>
      </c>
    </row>
    <row r="2550">
      <c r="A2550" t="s">
        <v>2559</v>
      </c>
      <c r="B2550" t="s">
        <v>11</v>
      </c>
      <c r="C2550">
        <f>115377484375/10^6</f>
      </c>
      <c r="D2550">
        <f>0</f>
      </c>
      <c r="E2550">
        <f>770291321/10^6</f>
      </c>
      <c r="F2550">
        <f>0</f>
      </c>
      <c r="G2550">
        <f>261797119/10^6</f>
      </c>
      <c r="H2550">
        <f>0</f>
      </c>
      <c r="I2550">
        <f>-46068195/10^6</f>
      </c>
      <c r="J2550">
        <f>0</f>
      </c>
    </row>
    <row r="2551">
      <c r="A2551" t="s">
        <v>2560</v>
      </c>
      <c r="B2551" t="s">
        <v>11</v>
      </c>
      <c r="C2551">
        <f>115240625/10^3</f>
      </c>
      <c r="D2551">
        <f>0</f>
      </c>
      <c r="E2551">
        <f>767330078/10^6</f>
      </c>
      <c r="F2551">
        <f>0</f>
      </c>
      <c r="G2551">
        <f>26147583/10^5</f>
      </c>
      <c r="H2551">
        <f>0</f>
      </c>
      <c r="I2551">
        <f>-45641449/10^6</f>
      </c>
      <c r="J2551">
        <f>0</f>
      </c>
    </row>
    <row r="2552">
      <c r="A2552" t="s">
        <v>2561</v>
      </c>
      <c r="B2552" t="s">
        <v>11</v>
      </c>
      <c r="C2552">
        <f>11507025/10^2</f>
      </c>
      <c r="D2552">
        <f>0</f>
      </c>
      <c r="E2552">
        <f>769375916/10^6</f>
      </c>
      <c r="F2552">
        <f>0</f>
      </c>
      <c r="G2552">
        <f>260512451/10^6</f>
      </c>
      <c r="H2552">
        <f>0</f>
      </c>
      <c r="I2552">
        <f>-4366082/10^5</f>
      </c>
      <c r="J2552">
        <f>0</f>
      </c>
    </row>
    <row r="2553">
      <c r="A2553" t="s">
        <v>2562</v>
      </c>
      <c r="B2553" t="s">
        <v>11</v>
      </c>
      <c r="C2553">
        <f>114777703125/10^6</f>
      </c>
      <c r="D2553">
        <f>0</f>
      </c>
      <c r="E2553">
        <f>77466626/10^5</f>
      </c>
      <c r="F2553">
        <f>0</f>
      </c>
      <c r="G2553">
        <f>259936066/10^6</f>
      </c>
      <c r="H2553">
        <f>0</f>
      </c>
      <c r="I2553">
        <f>-42509132/10^6</f>
      </c>
      <c r="J2553">
        <f>0</f>
      </c>
    </row>
    <row r="2554">
      <c r="A2554" t="s">
        <v>2563</v>
      </c>
      <c r="B2554" t="s">
        <v>11</v>
      </c>
      <c r="C2554">
        <f>114548523438/10^6</f>
      </c>
      <c r="D2554">
        <f>0</f>
      </c>
      <c r="E2554">
        <f>777384338/10^6</f>
      </c>
      <c r="F2554">
        <f>0</f>
      </c>
      <c r="G2554">
        <f>260675659/10^6</f>
      </c>
      <c r="H2554">
        <f>0</f>
      </c>
      <c r="I2554">
        <f>-43136658/10^6</f>
      </c>
      <c r="J2554">
        <f>0</f>
      </c>
    </row>
    <row r="2555">
      <c r="A2555" t="s">
        <v>2564</v>
      </c>
      <c r="B2555" t="s">
        <v>11</v>
      </c>
      <c r="C2555">
        <f>114461734375/10^6</f>
      </c>
      <c r="D2555">
        <f>0</f>
      </c>
      <c r="E2555">
        <f>77646759/10^5</f>
      </c>
      <c r="F2555">
        <f>0</f>
      </c>
      <c r="G2555">
        <f>261647858/10^6</f>
      </c>
      <c r="H2555">
        <f>0</f>
      </c>
      <c r="I2555">
        <f>-44029922/10^6</f>
      </c>
      <c r="J2555">
        <f>0</f>
      </c>
    </row>
    <row r="2556">
      <c r="A2556" t="s">
        <v>2565</v>
      </c>
      <c r="B2556" t="s">
        <v>11</v>
      </c>
      <c r="C2556">
        <f>11447659375/10^5</f>
      </c>
      <c r="D2556">
        <f>0</f>
      </c>
      <c r="E2556">
        <f>774579956/10^6</f>
      </c>
      <c r="F2556">
        <f>0</f>
      </c>
      <c r="G2556">
        <f>261637024/10^6</f>
      </c>
      <c r="H2556">
        <f>0</f>
      </c>
      <c r="I2556">
        <f>-4358815/10^5</f>
      </c>
      <c r="J2556">
        <f>0</f>
      </c>
    </row>
    <row r="2557">
      <c r="A2557" t="s">
        <v>2566</v>
      </c>
      <c r="B2557" t="s">
        <v>11</v>
      </c>
      <c r="C2557">
        <f>114521890625/10^6</f>
      </c>
      <c r="D2557">
        <f>0</f>
      </c>
      <c r="E2557">
        <f>774176025/10^6</f>
      </c>
      <c r="F2557">
        <f>0</f>
      </c>
      <c r="G2557">
        <f>261079559/10^6</f>
      </c>
      <c r="H2557">
        <f>0</f>
      </c>
      <c r="I2557">
        <f>-42063057/10^6</f>
      </c>
      <c r="J2557">
        <f>0</f>
      </c>
    </row>
    <row r="2558">
      <c r="A2558" t="s">
        <v>2567</v>
      </c>
      <c r="B2558" t="s">
        <v>11</v>
      </c>
      <c r="C2558">
        <f>114540179688/10^6</f>
      </c>
      <c r="D2558">
        <f>0</f>
      </c>
      <c r="E2558">
        <f>774499084/10^6</f>
      </c>
      <c r="F2558">
        <f>0</f>
      </c>
      <c r="G2558">
        <f>260828491/10^6</f>
      </c>
      <c r="H2558">
        <f>0</f>
      </c>
      <c r="I2558">
        <f>-41201107/10^6</f>
      </c>
      <c r="J2558">
        <f>0</f>
      </c>
    </row>
    <row r="2559">
      <c r="A2559" t="s">
        <v>2568</v>
      </c>
      <c r="B2559" t="s">
        <v>11</v>
      </c>
      <c r="C2559">
        <f>114568390625/10^6</f>
      </c>
      <c r="D2559">
        <f>0</f>
      </c>
      <c r="E2559">
        <f>774068604/10^6</f>
      </c>
      <c r="F2559">
        <f>0</f>
      </c>
      <c r="G2559">
        <f>260859436/10^6</f>
      </c>
      <c r="H2559">
        <f>0</f>
      </c>
      <c r="I2559">
        <f>-41284214/10^6</f>
      </c>
      <c r="J2559">
        <f>0</f>
      </c>
    </row>
    <row r="2560">
      <c r="A2560" t="s">
        <v>2569</v>
      </c>
      <c r="B2560" t="s">
        <v>11</v>
      </c>
      <c r="C2560">
        <f>114610257813/10^6</f>
      </c>
      <c r="D2560">
        <f>0</f>
      </c>
      <c r="E2560">
        <f>773352783/10^6</f>
      </c>
      <c r="F2560">
        <f>0</f>
      </c>
      <c r="G2560">
        <f>260873444/10^6</f>
      </c>
      <c r="H2560">
        <f>0</f>
      </c>
      <c r="I2560">
        <f>-41336182/10^6</f>
      </c>
      <c r="J2560">
        <f>0</f>
      </c>
    </row>
    <row r="2561">
      <c r="A2561" t="s">
        <v>2570</v>
      </c>
      <c r="B2561" t="s">
        <v>11</v>
      </c>
      <c r="C2561">
        <f>114612632813/10^6</f>
      </c>
      <c r="D2561">
        <f>0</f>
      </c>
      <c r="E2561">
        <f>773038513/10^6</f>
      </c>
      <c r="F2561">
        <f>0</f>
      </c>
      <c r="G2561">
        <f>260801361/10^6</f>
      </c>
      <c r="H2561">
        <f>0</f>
      </c>
      <c r="I2561">
        <f>-41231918/10^6</f>
      </c>
      <c r="J2561">
        <f>0</f>
      </c>
    </row>
    <row r="2562">
      <c r="A2562" t="s">
        <v>2571</v>
      </c>
      <c r="B2562" t="s">
        <v>11</v>
      </c>
      <c r="C2562">
        <f>114602/10^0</f>
      </c>
      <c r="D2562">
        <f>0</f>
      </c>
      <c r="E2562">
        <f>773208557/10^6</f>
      </c>
      <c r="F2562">
        <f>0</f>
      </c>
      <c r="G2562">
        <f>260614044/10^6</f>
      </c>
      <c r="H2562">
        <f>0</f>
      </c>
      <c r="I2562">
        <f>-41089314/10^6</f>
      </c>
      <c r="J2562">
        <f>0</f>
      </c>
    </row>
    <row r="2563">
      <c r="A2563" t="s">
        <v>2572</v>
      </c>
      <c r="B2563" t="s">
        <v>11</v>
      </c>
      <c r="C2563">
        <f>114643648438/10^6</f>
      </c>
      <c r="D2563">
        <f>0</f>
      </c>
      <c r="E2563">
        <f>773610352/10^6</f>
      </c>
      <c r="F2563">
        <f>0</f>
      </c>
      <c r="G2563">
        <f>260514679/10^6</f>
      </c>
      <c r="H2563">
        <f>0</f>
      </c>
      <c r="I2563">
        <f>-41014175/10^6</f>
      </c>
      <c r="J2563">
        <f>0</f>
      </c>
    </row>
    <row r="2564">
      <c r="A2564" t="s">
        <v>2573</v>
      </c>
      <c r="B2564" t="s">
        <v>11</v>
      </c>
      <c r="C2564">
        <f>11471609375/10^5</f>
      </c>
      <c r="D2564">
        <f>0</f>
      </c>
      <c r="E2564">
        <f>773738464/10^6</f>
      </c>
      <c r="F2564">
        <f>0</f>
      </c>
      <c r="G2564">
        <f>260691162/10^6</f>
      </c>
      <c r="H2564">
        <f>0</f>
      </c>
      <c r="I2564">
        <f>-41230946/10^6</f>
      </c>
      <c r="J2564">
        <f>0</f>
      </c>
    </row>
    <row r="2565">
      <c r="A2565" t="s">
        <v>2574</v>
      </c>
      <c r="B2565" t="s">
        <v>11</v>
      </c>
      <c r="C2565">
        <f>114753203125/10^6</f>
      </c>
      <c r="D2565">
        <f>0</f>
      </c>
      <c r="E2565">
        <f>773479187/10^6</f>
      </c>
      <c r="F2565">
        <f>0</f>
      </c>
      <c r="G2565">
        <f>2608992/10^4</f>
      </c>
      <c r="H2565">
        <f>0</f>
      </c>
      <c r="I2565">
        <f>-41507542/10^6</f>
      </c>
      <c r="J2565">
        <f>0</f>
      </c>
    </row>
    <row r="2566">
      <c r="A2566" t="s">
        <v>2575</v>
      </c>
      <c r="B2566" t="s">
        <v>11</v>
      </c>
      <c r="C2566">
        <f>1147734375/10^4</f>
      </c>
      <c r="D2566">
        <f>0</f>
      </c>
      <c r="E2566">
        <f>77320929/10^5</f>
      </c>
      <c r="F2566">
        <f>0</f>
      </c>
      <c r="G2566">
        <f>260978729/10^6</f>
      </c>
      <c r="H2566">
        <f>0</f>
      </c>
      <c r="I2566">
        <f>-41533665/10^6</f>
      </c>
      <c r="J2566">
        <f>0</f>
      </c>
    </row>
    <row r="2567">
      <c r="A2567" t="s">
        <v>2576</v>
      </c>
      <c r="B2567" t="s">
        <v>11</v>
      </c>
      <c r="C2567">
        <f>114847140625/10^6</f>
      </c>
      <c r="D2567">
        <f>0</f>
      </c>
      <c r="E2567">
        <f>77296582/10^5</f>
      </c>
      <c r="F2567">
        <f>0</f>
      </c>
      <c r="G2567">
        <f>261032043/10^6</f>
      </c>
      <c r="H2567">
        <f>0</f>
      </c>
      <c r="I2567">
        <f>-4146722/10^5</f>
      </c>
      <c r="J2567">
        <f>0</f>
      </c>
    </row>
    <row r="2568">
      <c r="A2568" t="s">
        <v>2577</v>
      </c>
      <c r="B2568" t="s">
        <v>11</v>
      </c>
      <c r="C2568">
        <f>11498334375/10^5</f>
      </c>
      <c r="D2568">
        <f>0</f>
      </c>
      <c r="E2568">
        <f>772519836/10^6</f>
      </c>
      <c r="F2568">
        <f>0</f>
      </c>
      <c r="G2568">
        <f>261111969/10^6</f>
      </c>
      <c r="H2568">
        <f>0</f>
      </c>
      <c r="I2568">
        <f>-41432484/10^6</f>
      </c>
      <c r="J2568">
        <f>0</f>
      </c>
    </row>
    <row r="2569">
      <c r="A2569" t="s">
        <v>2578</v>
      </c>
      <c r="B2569" t="s">
        <v>11</v>
      </c>
      <c r="C2569">
        <f>11516490625/10^5</f>
      </c>
      <c r="D2569">
        <f>0</f>
      </c>
      <c r="E2569">
        <f>771827881/10^6</f>
      </c>
      <c r="F2569">
        <f>0</f>
      </c>
      <c r="G2569">
        <f>261246704/10^6</f>
      </c>
      <c r="H2569">
        <f>0</f>
      </c>
      <c r="I2569">
        <f>-4133102/10^5</f>
      </c>
      <c r="J2569">
        <f>0</f>
      </c>
    </row>
    <row r="2570">
      <c r="A2570" t="s">
        <v>2579</v>
      </c>
      <c r="B2570" t="s">
        <v>11</v>
      </c>
      <c r="C2570">
        <f>115400898438/10^6</f>
      </c>
      <c r="D2570">
        <f>0</f>
      </c>
      <c r="E2570">
        <f>770667297/10^6</f>
      </c>
      <c r="F2570">
        <f>0</f>
      </c>
      <c r="G2570">
        <f>261375671/10^6</f>
      </c>
      <c r="H2570">
        <f>0</f>
      </c>
      <c r="I2570">
        <f>-41231319/10^6</f>
      </c>
      <c r="J2570">
        <f>0</f>
      </c>
    </row>
    <row r="2571">
      <c r="A2571" t="s">
        <v>2580</v>
      </c>
      <c r="B2571" t="s">
        <v>11</v>
      </c>
      <c r="C2571">
        <f>115715257813/10^6</f>
      </c>
      <c r="D2571">
        <f>0</f>
      </c>
      <c r="E2571">
        <f>768984375/10^6</f>
      </c>
      <c r="F2571">
        <f>0</f>
      </c>
      <c r="G2571">
        <f>261572906/10^6</f>
      </c>
      <c r="H2571">
        <f>0</f>
      </c>
      <c r="I2571">
        <f>-41048458/10^6</f>
      </c>
      <c r="J2571">
        <f>0</f>
      </c>
    </row>
    <row r="2572">
      <c r="A2572" t="s">
        <v>2581</v>
      </c>
      <c r="B2572" t="s">
        <v>11</v>
      </c>
      <c r="C2572">
        <f>116140492188/10^6</f>
      </c>
      <c r="D2572">
        <f>0</f>
      </c>
      <c r="E2572">
        <f>767237793/10^6</f>
      </c>
      <c r="F2572">
        <f>0</f>
      </c>
      <c r="G2572">
        <f>261823822/10^6</f>
      </c>
      <c r="H2572">
        <f>0</f>
      </c>
      <c r="I2572">
        <f>-40756611/10^6</f>
      </c>
      <c r="J2572">
        <f>0</f>
      </c>
    </row>
    <row r="2573">
      <c r="A2573" t="s">
        <v>2582</v>
      </c>
      <c r="B2573" t="s">
        <v>11</v>
      </c>
      <c r="C2573">
        <f>11664534375/10^5</f>
      </c>
      <c r="D2573">
        <f>0</f>
      </c>
      <c r="E2573">
        <f>765539185/10^6</f>
      </c>
      <c r="F2573">
        <f>0</f>
      </c>
      <c r="G2573">
        <f>262069122/10^6</f>
      </c>
      <c r="H2573">
        <f>0</f>
      </c>
      <c r="I2573">
        <f>-40501144/10^6</f>
      </c>
      <c r="J2573">
        <f>0</f>
      </c>
    </row>
    <row r="2574">
      <c r="A2574" t="s">
        <v>2583</v>
      </c>
      <c r="B2574" t="s">
        <v>11</v>
      </c>
      <c r="C2574">
        <f>117156242188/10^6</f>
      </c>
      <c r="D2574">
        <f>0</f>
      </c>
      <c r="E2574">
        <f>763555115/10^6</f>
      </c>
      <c r="F2574">
        <f>0</f>
      </c>
      <c r="G2574">
        <f>262636658/10^6</f>
      </c>
      <c r="H2574">
        <f>0</f>
      </c>
      <c r="I2574">
        <f>-40103821/10^6</f>
      </c>
      <c r="J2574">
        <f>0</f>
      </c>
    </row>
    <row r="2575">
      <c r="A2575" t="s">
        <v>2584</v>
      </c>
      <c r="B2575" t="s">
        <v>11</v>
      </c>
      <c r="C2575">
        <f>117719054688/10^6</f>
      </c>
      <c r="D2575">
        <f>0</f>
      </c>
      <c r="E2575">
        <f>761103943/10^6</f>
      </c>
      <c r="F2575">
        <f>0</f>
      </c>
      <c r="G2575">
        <f>263261963/10^6</f>
      </c>
      <c r="H2575">
        <f>0</f>
      </c>
      <c r="I2575">
        <f>-39689377/10^6</f>
      </c>
      <c r="J2575">
        <f>0</f>
      </c>
    </row>
    <row r="2576">
      <c r="A2576" t="s">
        <v>2585</v>
      </c>
      <c r="B2576" t="s">
        <v>11</v>
      </c>
      <c r="C2576">
        <f>118403640625/10^6</f>
      </c>
      <c r="D2576">
        <f>0</f>
      </c>
      <c r="E2576">
        <f>758185852/10^6</f>
      </c>
      <c r="F2576">
        <f>0</f>
      </c>
      <c r="G2576">
        <f>263731964/10^6</f>
      </c>
      <c r="H2576">
        <f>0</f>
      </c>
      <c r="I2576">
        <f>-39244606/10^6</f>
      </c>
      <c r="J2576">
        <f>0</f>
      </c>
    </row>
    <row r="2577">
      <c r="A2577" t="s">
        <v>2586</v>
      </c>
      <c r="B2577" t="s">
        <v>11</v>
      </c>
      <c r="C2577">
        <f>119148804688/10^6</f>
      </c>
      <c r="D2577">
        <f>0</f>
      </c>
      <c r="E2577">
        <f>754811951/10^6</f>
      </c>
      <c r="F2577">
        <f>0</f>
      </c>
      <c r="G2577">
        <f>264372131/10^6</f>
      </c>
      <c r="H2577">
        <f>0</f>
      </c>
      <c r="I2577">
        <f>-38599812/10^6</f>
      </c>
      <c r="J2577">
        <f>0</f>
      </c>
    </row>
    <row r="2578">
      <c r="A2578" t="s">
        <v>2587</v>
      </c>
      <c r="B2578" t="s">
        <v>11</v>
      </c>
      <c r="C2578">
        <f>119915109375/10^6</f>
      </c>
      <c r="D2578">
        <f>0</f>
      </c>
      <c r="E2578">
        <f>750935913/10^6</f>
      </c>
      <c r="F2578">
        <f>0</f>
      </c>
      <c r="G2578">
        <f>264880646/10^6</f>
      </c>
      <c r="H2578">
        <f>0</f>
      </c>
      <c r="I2578">
        <f>-38062042/10^6</f>
      </c>
      <c r="J2578">
        <f>0</f>
      </c>
    </row>
    <row r="2579">
      <c r="A2579" t="s">
        <v>2588</v>
      </c>
      <c r="B2579" t="s">
        <v>11</v>
      </c>
      <c r="C2579">
        <f>1207299375/10^4</f>
      </c>
      <c r="D2579">
        <f>0</f>
      </c>
      <c r="E2579">
        <f>746559143/10^6</f>
      </c>
      <c r="F2579">
        <f>0</f>
      </c>
      <c r="G2579">
        <f>265317047/10^6</f>
      </c>
      <c r="H2579">
        <f>0</f>
      </c>
      <c r="I2579">
        <f>-37407867/10^6</f>
      </c>
      <c r="J2579">
        <f>0</f>
      </c>
    </row>
    <row r="2580">
      <c r="A2580" t="s">
        <v>2589</v>
      </c>
      <c r="B2580" t="s">
        <v>11</v>
      </c>
      <c r="C2580">
        <f>121553375/10^3</f>
      </c>
      <c r="D2580">
        <f>0</f>
      </c>
      <c r="E2580">
        <f>741830078/10^6</f>
      </c>
      <c r="F2580">
        <f>0</f>
      </c>
      <c r="G2580">
        <f>26583609/10^5</f>
      </c>
      <c r="H2580">
        <f>0</f>
      </c>
      <c r="I2580">
        <f>-36703617/10^6</f>
      </c>
      <c r="J2580">
        <f>0</f>
      </c>
    </row>
    <row r="2581">
      <c r="A2581" t="s">
        <v>2590</v>
      </c>
      <c r="B2581" t="s">
        <v>11</v>
      </c>
      <c r="C2581">
        <f>122295507813/10^6</f>
      </c>
      <c r="D2581">
        <f>0</f>
      </c>
      <c r="E2581">
        <f>737170715/10^6</f>
      </c>
      <c r="F2581">
        <f>0</f>
      </c>
      <c r="G2581">
        <f>266037659/10^6</f>
      </c>
      <c r="H2581">
        <f>0</f>
      </c>
      <c r="I2581">
        <f>-36133732/10^6</f>
      </c>
      <c r="J2581">
        <f>0</f>
      </c>
    </row>
    <row r="2582">
      <c r="A2582" t="s">
        <v>2591</v>
      </c>
      <c r="B2582" t="s">
        <v>11</v>
      </c>
      <c r="C2582">
        <f>122857859375/10^6</f>
      </c>
      <c r="D2582">
        <f>0</f>
      </c>
      <c r="E2582">
        <f>733302612/10^6</f>
      </c>
      <c r="F2582">
        <f>0</f>
      </c>
      <c r="G2582">
        <f>266167267/10^6</f>
      </c>
      <c r="H2582">
        <f>0</f>
      </c>
      <c r="I2582">
        <f>-35277084/10^6</f>
      </c>
      <c r="J2582">
        <f>0</f>
      </c>
    </row>
    <row r="2583">
      <c r="A2583" t="s">
        <v>2592</v>
      </c>
      <c r="B2583" t="s">
        <v>11</v>
      </c>
      <c r="C2583">
        <f>123170953125/10^6</f>
      </c>
      <c r="D2583">
        <f>0</f>
      </c>
      <c r="E2583">
        <f>730811279/10^6</f>
      </c>
      <c r="F2583">
        <f>0</f>
      </c>
      <c r="G2583">
        <f>266278564/10^6</f>
      </c>
      <c r="H2583">
        <f>0</f>
      </c>
      <c r="I2583">
        <f>-34662239/10^6</f>
      </c>
      <c r="J2583">
        <f>0</f>
      </c>
    </row>
    <row r="2584">
      <c r="A2584" t="s">
        <v>2593</v>
      </c>
      <c r="B2584" t="s">
        <v>11</v>
      </c>
      <c r="C2584">
        <f>123284195313/10^6</f>
      </c>
      <c r="D2584">
        <f>0</f>
      </c>
      <c r="E2584">
        <f>729516724/10^6</f>
      </c>
      <c r="F2584">
        <f>0</f>
      </c>
      <c r="G2584">
        <f>265967102/10^6</f>
      </c>
      <c r="H2584">
        <f>0</f>
      </c>
      <c r="I2584">
        <f>-34506844/10^6</f>
      </c>
      <c r="J2584">
        <f>0</f>
      </c>
    </row>
    <row r="2585">
      <c r="A2585" t="s">
        <v>2594</v>
      </c>
      <c r="B2585" t="s">
        <v>11</v>
      </c>
      <c r="C2585">
        <f>123333257813/10^6</f>
      </c>
      <c r="D2585">
        <f>0</f>
      </c>
      <c r="E2585">
        <f>728797485/10^6</f>
      </c>
      <c r="F2585">
        <f>0</f>
      </c>
      <c r="G2585">
        <f>265572693/10^6</f>
      </c>
      <c r="H2585">
        <f>0</f>
      </c>
      <c r="I2585">
        <f>-34273872/10^6</f>
      </c>
      <c r="J2585">
        <f>0</f>
      </c>
    </row>
    <row r="2586">
      <c r="A2586" t="s">
        <v>2595</v>
      </c>
      <c r="B2586" t="s">
        <v>11</v>
      </c>
      <c r="C2586">
        <f>123386757813/10^6</f>
      </c>
      <c r="D2586">
        <f>0</f>
      </c>
      <c r="E2586">
        <f>728314514/10^6</f>
      </c>
      <c r="F2586">
        <f>0</f>
      </c>
      <c r="G2586">
        <f>265412292/10^6</f>
      </c>
      <c r="H2586">
        <f>0</f>
      </c>
      <c r="I2586">
        <f>-34290024/10^6</f>
      </c>
      <c r="J2586">
        <f>0</f>
      </c>
    </row>
    <row r="2587">
      <c r="A2587" t="s">
        <v>2596</v>
      </c>
      <c r="B2587" t="s">
        <v>11</v>
      </c>
      <c r="C2587">
        <f>123382351563/10^6</f>
      </c>
      <c r="D2587">
        <f>0</f>
      </c>
      <c r="E2587">
        <f>728002502/10^6</f>
      </c>
      <c r="F2587">
        <f>0</f>
      </c>
      <c r="G2587">
        <f>265318512/10^6</f>
      </c>
      <c r="H2587">
        <f>0</f>
      </c>
      <c r="I2587">
        <f>-34629883/10^6</f>
      </c>
      <c r="J2587">
        <f>0</f>
      </c>
    </row>
    <row r="2588">
      <c r="A2588" t="s">
        <v>2597</v>
      </c>
      <c r="B2588" t="s">
        <v>11</v>
      </c>
      <c r="C2588">
        <f>123256351563/10^6</f>
      </c>
      <c r="D2588">
        <f>0</f>
      </c>
      <c r="E2588">
        <f>72791626/10^5</f>
      </c>
      <c r="F2588">
        <f>0</f>
      </c>
      <c r="G2588">
        <f>265179993/10^6</f>
      </c>
      <c r="H2588">
        <f>0</f>
      </c>
      <c r="I2588">
        <f>-34842743/10^6</f>
      </c>
      <c r="J2588">
        <f>0</f>
      </c>
    </row>
    <row r="2589">
      <c r="A2589" t="s">
        <v>2598</v>
      </c>
      <c r="B2589" t="s">
        <v>11</v>
      </c>
      <c r="C2589">
        <f>123035023438/10^6</f>
      </c>
      <c r="D2589">
        <f>0</f>
      </c>
      <c r="E2589">
        <f>72824469/10^5</f>
      </c>
      <c r="F2589">
        <f>0</f>
      </c>
      <c r="G2589">
        <f>26485141/10^5</f>
      </c>
      <c r="H2589">
        <f>0</f>
      </c>
      <c r="I2589">
        <f>-3493787/10^5</f>
      </c>
      <c r="J2589">
        <f>0</f>
      </c>
    </row>
    <row r="2590">
      <c r="A2590" t="s">
        <v>2599</v>
      </c>
      <c r="B2590" t="s">
        <v>11</v>
      </c>
      <c r="C2590">
        <f>12275425/10^2</f>
      </c>
      <c r="D2590">
        <f>0</f>
      </c>
      <c r="E2590">
        <f>729271484/10^6</f>
      </c>
      <c r="F2590">
        <f>0</f>
      </c>
      <c r="G2590">
        <f>264491699/10^6</f>
      </c>
      <c r="H2590">
        <f>0</f>
      </c>
      <c r="I2590">
        <f>-35014412/10^6</f>
      </c>
      <c r="J2590">
        <f>0</f>
      </c>
    </row>
    <row r="2591">
      <c r="A2591" t="s">
        <v>2600</v>
      </c>
      <c r="B2591" t="s">
        <v>11</v>
      </c>
      <c r="C2591">
        <f>12243078125/10^5</f>
      </c>
      <c r="D2591">
        <f>0</f>
      </c>
      <c r="E2591">
        <f>730878601/10^6</f>
      </c>
      <c r="F2591">
        <f>0</f>
      </c>
      <c r="G2591">
        <f>264267029/10^6</f>
      </c>
      <c r="H2591">
        <f>0</f>
      </c>
      <c r="I2591">
        <f>-35294823/10^6</f>
      </c>
      <c r="J2591">
        <f>0</f>
      </c>
    </row>
    <row r="2592">
      <c r="A2592" t="s">
        <v>2601</v>
      </c>
      <c r="B2592" t="s">
        <v>11</v>
      </c>
      <c r="C2592">
        <f>122077507813/10^6</f>
      </c>
      <c r="D2592">
        <f>0</f>
      </c>
      <c r="E2592">
        <f>732637512/10^6</f>
      </c>
      <c r="F2592">
        <f>0</f>
      </c>
      <c r="G2592">
        <f>263982544/10^6</f>
      </c>
      <c r="H2592">
        <f>0</f>
      </c>
      <c r="I2592">
        <f>-3577375/10^5</f>
      </c>
      <c r="J2592">
        <f>0</f>
      </c>
    </row>
    <row r="2593">
      <c r="A2593" t="s">
        <v>2602</v>
      </c>
      <c r="B2593" t="s">
        <v>11</v>
      </c>
      <c r="C2593">
        <f>121689335938/10^6</f>
      </c>
      <c r="D2593">
        <f>0</f>
      </c>
      <c r="E2593">
        <f>734607361/10^6</f>
      </c>
      <c r="F2593">
        <f>0</f>
      </c>
      <c r="G2593">
        <f>263733124/10^6</f>
      </c>
      <c r="H2593">
        <f>0</f>
      </c>
      <c r="I2593">
        <f>-36157494/10^6</f>
      </c>
      <c r="J2593">
        <f>0</f>
      </c>
    </row>
    <row r="2594">
      <c r="A2594" t="s">
        <v>2603</v>
      </c>
      <c r="B2594" t="s">
        <v>11</v>
      </c>
      <c r="C2594">
        <f>121285617188/10^6</f>
      </c>
      <c r="D2594">
        <f>0</f>
      </c>
      <c r="E2594">
        <f>736850037/10^6</f>
      </c>
      <c r="F2594">
        <f>0</f>
      </c>
      <c r="G2594">
        <f>263649963/10^6</f>
      </c>
      <c r="H2594">
        <f>0</f>
      </c>
      <c r="I2594">
        <f>-36716663/10^6</f>
      </c>
      <c r="J2594">
        <f>0</f>
      </c>
    </row>
    <row r="2595">
      <c r="A2595" t="s">
        <v>2604</v>
      </c>
      <c r="B2595" t="s">
        <v>11</v>
      </c>
      <c r="C2595">
        <f>12085265625/10^5</f>
      </c>
      <c r="D2595">
        <f>0</f>
      </c>
      <c r="E2595">
        <f>73925824/10^5</f>
      </c>
      <c r="F2595">
        <f>0</f>
      </c>
      <c r="G2595">
        <f>263632172/10^6</f>
      </c>
      <c r="H2595">
        <f>0</f>
      </c>
      <c r="I2595">
        <f>-37339993/10^6</f>
      </c>
      <c r="J2595">
        <f>0</f>
      </c>
    </row>
    <row r="2596">
      <c r="A2596" t="s">
        <v>2605</v>
      </c>
      <c r="B2596" t="s">
        <v>11</v>
      </c>
      <c r="C2596">
        <f>120338007813/10^6</f>
      </c>
      <c r="D2596">
        <f>0</f>
      </c>
      <c r="E2596">
        <f>741992493/10^6</f>
      </c>
      <c r="F2596">
        <f>0</f>
      </c>
      <c r="G2596">
        <f>263380371/10^6</f>
      </c>
      <c r="H2596">
        <f>0</f>
      </c>
      <c r="I2596">
        <f>-37851639/10^6</f>
      </c>
      <c r="J2596">
        <f>0</f>
      </c>
    </row>
    <row r="2597">
      <c r="A2597" t="s">
        <v>2606</v>
      </c>
      <c r="B2597" t="s">
        <v>11</v>
      </c>
      <c r="C2597">
        <f>119803507813/10^6</f>
      </c>
      <c r="D2597">
        <f>0</f>
      </c>
      <c r="E2597">
        <f>745004761/10^6</f>
      </c>
      <c r="F2597">
        <f>0</f>
      </c>
      <c r="G2597">
        <f>262779266/10^6</f>
      </c>
      <c r="H2597">
        <f>0</f>
      </c>
      <c r="I2597">
        <f>-38480286/10^6</f>
      </c>
      <c r="J2597">
        <f>0</f>
      </c>
    </row>
    <row r="2598">
      <c r="A2598" t="s">
        <v>2607</v>
      </c>
      <c r="B2598" t="s">
        <v>11</v>
      </c>
      <c r="C2598">
        <f>119286890625/10^6</f>
      </c>
      <c r="D2598">
        <f>0</f>
      </c>
      <c r="E2598">
        <f>747994385/10^6</f>
      </c>
      <c r="F2598">
        <f>0</f>
      </c>
      <c r="G2598">
        <f>262381866/10^6</f>
      </c>
      <c r="H2598">
        <f>0</f>
      </c>
      <c r="I2598">
        <f>-39040085/10^6</f>
      </c>
      <c r="J2598">
        <f>0</f>
      </c>
    </row>
    <row r="2599">
      <c r="A2599" t="s">
        <v>2608</v>
      </c>
      <c r="B2599" t="s">
        <v>11</v>
      </c>
      <c r="C2599">
        <f>118707507813/10^6</f>
      </c>
      <c r="D2599">
        <f>0</f>
      </c>
      <c r="E2599">
        <f>75108374/10^5</f>
      </c>
      <c r="F2599">
        <f>0</f>
      </c>
      <c r="G2599">
        <f>262427307/10^6</f>
      </c>
      <c r="H2599">
        <f>0</f>
      </c>
      <c r="I2599">
        <f>-39739948/10^6</f>
      </c>
      <c r="J2599">
        <f>0</f>
      </c>
    </row>
    <row r="2600">
      <c r="A2600" t="s">
        <v>2609</v>
      </c>
      <c r="B2600" t="s">
        <v>11</v>
      </c>
      <c r="C2600">
        <f>1180696875/10^4</f>
      </c>
      <c r="D2600">
        <f>0</f>
      </c>
      <c r="E2600">
        <f>754641907/10^6</f>
      </c>
      <c r="F2600">
        <f>0</f>
      </c>
      <c r="G2600">
        <f>262531219/10^6</f>
      </c>
      <c r="H2600">
        <f>0</f>
      </c>
      <c r="I2600">
        <f>-40488529/10^6</f>
      </c>
      <c r="J2600">
        <f>0</f>
      </c>
    </row>
    <row r="2601">
      <c r="A2601" t="s">
        <v>2610</v>
      </c>
      <c r="B2601" t="s">
        <v>11</v>
      </c>
      <c r="C2601">
        <f>117430726563/10^6</f>
      </c>
      <c r="D2601">
        <f>0</f>
      </c>
      <c r="E2601">
        <f>758295654/10^6</f>
      </c>
      <c r="F2601">
        <f>0</f>
      </c>
      <c r="G2601">
        <f>26231308/10^5</f>
      </c>
      <c r="H2601">
        <f>0</f>
      </c>
      <c r="I2601">
        <f>-41141853/10^6</f>
      </c>
      <c r="J2601">
        <f>0</f>
      </c>
    </row>
    <row r="2602">
      <c r="A2602" t="s">
        <v>2611</v>
      </c>
      <c r="B2602" t="s">
        <v>11</v>
      </c>
      <c r="C2602">
        <f>11677725/10^2</f>
      </c>
      <c r="D2602">
        <f>0</f>
      </c>
      <c r="E2602">
        <f>761975464/10^6</f>
      </c>
      <c r="F2602">
        <f>0</f>
      </c>
      <c r="G2602">
        <f>261842529/10^6</f>
      </c>
      <c r="H2602">
        <f>0</f>
      </c>
      <c r="I2602">
        <f>-42047531/10^6</f>
      </c>
      <c r="J2602">
        <f>0</f>
      </c>
    </row>
    <row r="2603">
      <c r="A2603" t="s">
        <v>2612</v>
      </c>
      <c r="B2603" t="s">
        <v>11</v>
      </c>
      <c r="C2603">
        <f>116046609375/10^6</f>
      </c>
      <c r="D2603">
        <f>0</f>
      </c>
      <c r="E2603">
        <f>766754272/10^6</f>
      </c>
      <c r="F2603">
        <f>0</f>
      </c>
      <c r="G2603">
        <f>26151355/10^5</f>
      </c>
      <c r="H2603">
        <f>0</f>
      </c>
      <c r="I2603">
        <f>-42689857/10^6</f>
      </c>
      <c r="J2603">
        <f>0</f>
      </c>
    </row>
    <row r="2604">
      <c r="A2604" t="s">
        <v>2613</v>
      </c>
      <c r="B2604" t="s">
        <v>11</v>
      </c>
      <c r="C2604">
        <f>115319664063/10^6</f>
      </c>
      <c r="D2604">
        <f>0</f>
      </c>
      <c r="E2604">
        <f>770022583/10^6</f>
      </c>
      <c r="F2604">
        <f>0</f>
      </c>
      <c r="G2604">
        <f>26124472/10^5</f>
      </c>
      <c r="H2604">
        <f>0</f>
      </c>
      <c r="I2604">
        <f>-43403255/10^6</f>
      </c>
      <c r="J2604">
        <f>0</f>
      </c>
    </row>
    <row r="2605">
      <c r="A2605" t="s">
        <v>2614</v>
      </c>
      <c r="B2605" t="s">
        <v>11</v>
      </c>
      <c r="C2605">
        <f>114876734375/10^6</f>
      </c>
      <c r="D2605">
        <f>0</f>
      </c>
      <c r="E2605">
        <f>768692871/10^6</f>
      </c>
      <c r="F2605">
        <f>0</f>
      </c>
      <c r="G2605">
        <f>260971619/10^6</f>
      </c>
      <c r="H2605">
        <f>0</f>
      </c>
      <c r="I2605">
        <f>-44504555/10^6</f>
      </c>
      <c r="J2605">
        <f>0</f>
      </c>
    </row>
    <row r="2606">
      <c r="A2606" t="s">
        <v>2615</v>
      </c>
      <c r="B2606" t="s">
        <v>11</v>
      </c>
      <c r="C2606">
        <f>114683828125/10^6</f>
      </c>
      <c r="D2606">
        <f>0</f>
      </c>
      <c r="E2606">
        <f>768261292/10^6</f>
      </c>
      <c r="F2606">
        <f>0</f>
      </c>
      <c r="G2606">
        <f>260681641/10^6</f>
      </c>
      <c r="H2606">
        <f>0</f>
      </c>
      <c r="I2606">
        <f>-44234238/10^6</f>
      </c>
      <c r="J2606">
        <f>0</f>
      </c>
    </row>
    <row r="2607">
      <c r="A2607" t="s">
        <v>2616</v>
      </c>
      <c r="B2607" t="s">
        <v>11</v>
      </c>
      <c r="C2607">
        <f>114394570313/10^6</f>
      </c>
      <c r="D2607">
        <f>0</f>
      </c>
      <c r="E2607">
        <f>772549011/10^6</f>
      </c>
      <c r="F2607">
        <f>0</f>
      </c>
      <c r="G2607">
        <f>260099884/10^6</f>
      </c>
      <c r="H2607">
        <f>0</f>
      </c>
      <c r="I2607">
        <f>-42568501/10^6</f>
      </c>
      <c r="J2607">
        <f>0</f>
      </c>
    </row>
    <row r="2608">
      <c r="A2608" t="s">
        <v>2617</v>
      </c>
      <c r="B2608" t="s">
        <v>11</v>
      </c>
      <c r="C2608">
        <f>114047414063/10^6</f>
      </c>
      <c r="D2608">
        <f>0</f>
      </c>
      <c r="E2608">
        <f>776556396/10^6</f>
      </c>
      <c r="F2608">
        <f>0</f>
      </c>
      <c r="G2608">
        <f>259720154/10^6</f>
      </c>
      <c r="H2608">
        <f>0</f>
      </c>
      <c r="I2608">
        <f>-41631317/10^6</f>
      </c>
      <c r="J2608">
        <f>0</f>
      </c>
    </row>
    <row r="2609">
      <c r="A2609" t="s">
        <v>2618</v>
      </c>
      <c r="B2609" t="s">
        <v>11</v>
      </c>
      <c r="C2609">
        <f>113844609375/10^6</f>
      </c>
      <c r="D2609">
        <f>0</f>
      </c>
      <c r="E2609">
        <f>777694275/10^6</f>
      </c>
      <c r="F2609">
        <f>0</f>
      </c>
      <c r="G2609">
        <f>260015015/10^6</f>
      </c>
      <c r="H2609">
        <f>0</f>
      </c>
      <c r="I2609">
        <f>-41641464/10^6</f>
      </c>
      <c r="J2609">
        <f>0</f>
      </c>
    </row>
    <row r="2610">
      <c r="A2610" t="s">
        <v>2619</v>
      </c>
      <c r="B2610" t="s">
        <v>11</v>
      </c>
      <c r="C2610">
        <f>113637179688/10^6</f>
      </c>
      <c r="D2610">
        <f>0</f>
      </c>
      <c r="E2610">
        <f>778194214/10^6</f>
      </c>
      <c r="F2610">
        <f>0</f>
      </c>
      <c r="G2610">
        <f>260424835/10^6</f>
      </c>
      <c r="H2610">
        <f>0</f>
      </c>
      <c r="I2610">
        <f>-41618122/10^6</f>
      </c>
      <c r="J2610">
        <f>0</f>
      </c>
    </row>
    <row r="2611">
      <c r="A2611" t="s">
        <v>2620</v>
      </c>
      <c r="B2611" t="s">
        <v>11</v>
      </c>
      <c r="C2611">
        <f>113434648438/10^6</f>
      </c>
      <c r="D2611">
        <f>0</f>
      </c>
      <c r="E2611">
        <f>779338318/10^6</f>
      </c>
      <c r="F2611">
        <f>0</f>
      </c>
      <c r="G2611">
        <f>260476196/10^6</f>
      </c>
      <c r="H2611">
        <f>0</f>
      </c>
      <c r="I2611">
        <f>-41297302/10^6</f>
      </c>
      <c r="J2611">
        <f>0</f>
      </c>
    </row>
    <row r="2612">
      <c r="A2612" t="s">
        <v>2621</v>
      </c>
      <c r="B2612" t="s">
        <v>11</v>
      </c>
      <c r="C2612">
        <f>113610945313/10^6</f>
      </c>
      <c r="D2612">
        <f>0</f>
      </c>
      <c r="E2612">
        <f>780181152/10^6</f>
      </c>
      <c r="F2612">
        <f>0</f>
      </c>
      <c r="G2612">
        <f>260126343/10^6</f>
      </c>
      <c r="H2612">
        <f>0</f>
      </c>
      <c r="I2612">
        <f>-40888702/10^6</f>
      </c>
      <c r="J2612">
        <f>0</f>
      </c>
    </row>
    <row r="2613">
      <c r="A2613" t="s">
        <v>2622</v>
      </c>
      <c r="B2613" t="s">
        <v>11</v>
      </c>
      <c r="C2613">
        <f>11421534375/10^5</f>
      </c>
      <c r="D2613">
        <f>0</f>
      </c>
      <c r="E2613">
        <f>778884155/10^6</f>
      </c>
      <c r="F2613">
        <f>0</f>
      </c>
      <c r="G2613">
        <f>260058655/10^6</f>
      </c>
      <c r="H2613">
        <f>0</f>
      </c>
      <c r="I2613">
        <f>-40535881/10^6</f>
      </c>
      <c r="J2613">
        <f>0</f>
      </c>
    </row>
    <row r="2614">
      <c r="A2614" t="s">
        <v>2623</v>
      </c>
      <c r="B2614" t="s">
        <v>11</v>
      </c>
      <c r="C2614">
        <f>114969046875/10^6</f>
      </c>
      <c r="D2614">
        <f>0</f>
      </c>
      <c r="E2614">
        <f>775459717/10^6</f>
      </c>
      <c r="F2614">
        <f>0</f>
      </c>
      <c r="G2614">
        <f>261128998/10^6</f>
      </c>
      <c r="H2614">
        <f>0</f>
      </c>
      <c r="I2614">
        <f>-39900013/10^6</f>
      </c>
      <c r="J2614">
        <f>0</f>
      </c>
    </row>
    <row r="2615">
      <c r="A2615" t="s">
        <v>2624</v>
      </c>
      <c r="B2615" t="s">
        <v>11</v>
      </c>
      <c r="C2615">
        <f>115770882813/10^6</f>
      </c>
      <c r="D2615">
        <f>0</f>
      </c>
      <c r="E2615">
        <f>771267395/10^6</f>
      </c>
      <c r="F2615">
        <f>0</f>
      </c>
      <c r="G2615">
        <f>262373566/10^6</f>
      </c>
      <c r="H2615">
        <f>0</f>
      </c>
      <c r="I2615">
        <f>-3921764/10^5</f>
      </c>
      <c r="J2615">
        <f>0</f>
      </c>
    </row>
    <row r="2616">
      <c r="A2616" t="s">
        <v>2625</v>
      </c>
      <c r="B2616" t="s">
        <v>11</v>
      </c>
      <c r="C2616">
        <f>116620984375/10^6</f>
      </c>
      <c r="D2616">
        <f>0</f>
      </c>
      <c r="E2616">
        <f>766885986/10^6</f>
      </c>
      <c r="F2616">
        <f>0</f>
      </c>
      <c r="G2616">
        <f>262949707/10^6</f>
      </c>
      <c r="H2616">
        <f>0</f>
      </c>
      <c r="I2616">
        <f>-38624454/10^6</f>
      </c>
      <c r="J2616">
        <f>0</f>
      </c>
    </row>
    <row r="2617">
      <c r="A2617" t="s">
        <v>2626</v>
      </c>
      <c r="B2617" t="s">
        <v>11</v>
      </c>
      <c r="C2617">
        <f>117468984375/10^6</f>
      </c>
      <c r="D2617">
        <f>0</f>
      </c>
      <c r="E2617">
        <f>762755676/10^6</f>
      </c>
      <c r="F2617">
        <f>0</f>
      </c>
      <c r="G2617">
        <f>263454498/10^6</f>
      </c>
      <c r="H2617">
        <f>0</f>
      </c>
      <c r="I2617">
        <f>-37738171/10^6</f>
      </c>
      <c r="J2617">
        <f>0</f>
      </c>
    </row>
    <row r="2618">
      <c r="A2618" t="s">
        <v>2627</v>
      </c>
      <c r="B2618" t="s">
        <v>11</v>
      </c>
      <c r="C2618">
        <f>118299296875/10^6</f>
      </c>
      <c r="D2618">
        <f>0</f>
      </c>
      <c r="E2618">
        <f>759080444/10^6</f>
      </c>
      <c r="F2618">
        <f>0</f>
      </c>
      <c r="G2618">
        <f>263978424/10^6</f>
      </c>
      <c r="H2618">
        <f>0</f>
      </c>
      <c r="I2618">
        <f>-37037567/10^6</f>
      </c>
      <c r="J2618">
        <f>0</f>
      </c>
    </row>
    <row r="2619">
      <c r="A2619" t="s">
        <v>2628</v>
      </c>
      <c r="B2619" t="s">
        <v>11</v>
      </c>
      <c r="C2619">
        <f>1191613125/10^4</f>
      </c>
      <c r="D2619">
        <f>0</f>
      </c>
      <c r="E2619">
        <f>755215271/10^6</f>
      </c>
      <c r="F2619">
        <f>0</f>
      </c>
      <c r="G2619">
        <f>264660645/10^6</f>
      </c>
      <c r="H2619">
        <f>0</f>
      </c>
      <c r="I2619">
        <f>-3658984/10^5</f>
      </c>
      <c r="J2619">
        <f>0</f>
      </c>
    </row>
    <row r="2620">
      <c r="A2620" t="s">
        <v>2629</v>
      </c>
      <c r="B2620" t="s">
        <v>11</v>
      </c>
      <c r="C2620">
        <f>120074726563/10^6</f>
      </c>
      <c r="D2620">
        <f>0</f>
      </c>
      <c r="E2620">
        <f>750846375/10^6</f>
      </c>
      <c r="F2620">
        <f>0</f>
      </c>
      <c r="G2620">
        <f>265416901/10^6</f>
      </c>
      <c r="H2620">
        <f>0</f>
      </c>
      <c r="I2620">
        <f>-36135574/10^6</f>
      </c>
      <c r="J2620">
        <f>0</f>
      </c>
    </row>
    <row r="2621">
      <c r="A2621" t="s">
        <v>2630</v>
      </c>
      <c r="B2621" t="s">
        <v>11</v>
      </c>
      <c r="C2621">
        <f>1209685/10^1</f>
      </c>
      <c r="D2621">
        <f>0</f>
      </c>
      <c r="E2621">
        <f>746173645/10^6</f>
      </c>
      <c r="F2621">
        <f>0</f>
      </c>
      <c r="G2621">
        <f>265834137/10^6</f>
      </c>
      <c r="H2621">
        <f>0</f>
      </c>
      <c r="I2621">
        <f>-35620422/10^6</f>
      </c>
      <c r="J2621">
        <f>0</f>
      </c>
    </row>
    <row r="2622">
      <c r="A2622" t="s">
        <v>2631</v>
      </c>
      <c r="B2622" t="s">
        <v>11</v>
      </c>
      <c r="C2622">
        <f>121780671875/10^6</f>
      </c>
      <c r="D2622">
        <f>0</f>
      </c>
      <c r="E2622">
        <f>741519409/10^6</f>
      </c>
      <c r="F2622">
        <f>0</f>
      </c>
      <c r="G2622">
        <f>266300354/10^6</f>
      </c>
      <c r="H2622">
        <f>0</f>
      </c>
      <c r="I2622">
        <f>-34847092/10^6</f>
      </c>
      <c r="J2622">
        <f>0</f>
      </c>
    </row>
    <row r="2623">
      <c r="A2623" t="s">
        <v>2632</v>
      </c>
      <c r="B2623" t="s">
        <v>11</v>
      </c>
      <c r="C2623">
        <f>122456085938/10^6</f>
      </c>
      <c r="D2623">
        <f>0</f>
      </c>
      <c r="E2623">
        <f>73743927/10^5</f>
      </c>
      <c r="F2623">
        <f>0</f>
      </c>
      <c r="G2623">
        <f>266656982/10^6</f>
      </c>
      <c r="H2623">
        <f>0</f>
      </c>
      <c r="I2623">
        <f>-34287708/10^6</f>
      </c>
      <c r="J2623">
        <f>0</f>
      </c>
    </row>
    <row r="2624">
      <c r="A2624" t="s">
        <v>2633</v>
      </c>
      <c r="B2624" t="s">
        <v>11</v>
      </c>
      <c r="C2624">
        <f>122883414063/10^6</f>
      </c>
      <c r="D2624">
        <f>0</f>
      </c>
      <c r="E2624">
        <f>734400452/10^6</f>
      </c>
      <c r="F2624">
        <f>0</f>
      </c>
      <c r="G2624">
        <f>266624695/10^6</f>
      </c>
      <c r="H2624">
        <f>0</f>
      </c>
      <c r="I2624">
        <f>-33899963/10^6</f>
      </c>
      <c r="J2624">
        <f>0</f>
      </c>
    </row>
    <row r="2625">
      <c r="A2625" t="s">
        <v>2634</v>
      </c>
      <c r="B2625" t="s">
        <v>11</v>
      </c>
      <c r="C2625">
        <f>123040554688/10^6</f>
      </c>
      <c r="D2625">
        <f>0</f>
      </c>
      <c r="E2625">
        <f>732587097/10^6</f>
      </c>
      <c r="F2625">
        <f>0</f>
      </c>
      <c r="G2625">
        <f>266622894/10^6</f>
      </c>
      <c r="H2625">
        <f>0</f>
      </c>
      <c r="I2625">
        <f>-33387497/10^6</f>
      </c>
      <c r="J2625">
        <f>0</f>
      </c>
    </row>
    <row r="2626">
      <c r="A2626" t="s">
        <v>2635</v>
      </c>
      <c r="B2626" t="s">
        <v>11</v>
      </c>
      <c r="C2626">
        <f>123057148438/10^6</f>
      </c>
      <c r="D2626">
        <f>0</f>
      </c>
      <c r="E2626">
        <f>731635071/10^6</f>
      </c>
      <c r="F2626">
        <f>0</f>
      </c>
      <c r="G2626">
        <f>266457458/10^6</f>
      </c>
      <c r="H2626">
        <f>0</f>
      </c>
      <c r="I2626">
        <f>-33306263/10^6</f>
      </c>
      <c r="J2626">
        <f>0</f>
      </c>
    </row>
    <row r="2627">
      <c r="A2627" t="s">
        <v>2636</v>
      </c>
      <c r="B2627" t="s">
        <v>11</v>
      </c>
      <c r="C2627">
        <f>123028007813/10^6</f>
      </c>
      <c r="D2627">
        <f>0</f>
      </c>
      <c r="E2627">
        <f>730880005/10^6</f>
      </c>
      <c r="F2627">
        <f>0</f>
      </c>
      <c r="G2627">
        <f>266025269/10^6</f>
      </c>
      <c r="H2627">
        <f>0</f>
      </c>
      <c r="I2627">
        <f>-33521107/10^6</f>
      </c>
      <c r="J2627">
        <f>0</f>
      </c>
    </row>
    <row r="2628">
      <c r="A2628" t="s">
        <v>2637</v>
      </c>
      <c r="B2628" t="s">
        <v>11</v>
      </c>
      <c r="C2628">
        <f>122925757813/10^6</f>
      </c>
      <c r="D2628">
        <f>0</f>
      </c>
      <c r="E2628">
        <f>730391174/10^6</f>
      </c>
      <c r="F2628">
        <f>0</f>
      </c>
      <c r="G2628">
        <f>265709778/10^6</f>
      </c>
      <c r="H2628">
        <f>0</f>
      </c>
      <c r="I2628">
        <f>-33644592/10^6</f>
      </c>
      <c r="J2628">
        <f>0</f>
      </c>
    </row>
    <row r="2629">
      <c r="A2629" t="s">
        <v>2638</v>
      </c>
      <c r="B2629" t="s">
        <v>11</v>
      </c>
      <c r="C2629">
        <f>122712703125/10^6</f>
      </c>
      <c r="D2629">
        <f>0</f>
      </c>
      <c r="E2629">
        <f>730632751/10^6</f>
      </c>
      <c r="F2629">
        <f>0</f>
      </c>
      <c r="G2629">
        <f>265331665/10^6</f>
      </c>
      <c r="H2629">
        <f>0</f>
      </c>
      <c r="I2629">
        <f>-33883186/10^6</f>
      </c>
      <c r="J2629">
        <f>0</f>
      </c>
    </row>
    <row r="2630">
      <c r="A2630" t="s">
        <v>2639</v>
      </c>
      <c r="B2630" t="s">
        <v>11</v>
      </c>
      <c r="C2630">
        <f>122387015625/10^6</f>
      </c>
      <c r="D2630">
        <f>0</f>
      </c>
      <c r="E2630">
        <f>731621643/10^6</f>
      </c>
      <c r="F2630">
        <f>0</f>
      </c>
      <c r="G2630">
        <f>264899994/10^6</f>
      </c>
      <c r="H2630">
        <f>0</f>
      </c>
      <c r="I2630">
        <f>-34125664/10^6</f>
      </c>
      <c r="J2630">
        <f>0</f>
      </c>
    </row>
    <row r="2631">
      <c r="A2631" t="s">
        <v>2640</v>
      </c>
      <c r="B2631" t="s">
        <v>11</v>
      </c>
      <c r="C2631">
        <f>121973898438/10^6</f>
      </c>
      <c r="D2631">
        <f>0</f>
      </c>
      <c r="E2631">
        <f>733323364/10^6</f>
      </c>
      <c r="F2631">
        <f>0</f>
      </c>
      <c r="G2631">
        <f>264576874/10^6</f>
      </c>
      <c r="H2631">
        <f>0</f>
      </c>
      <c r="I2631">
        <f>-34515499/10^6</f>
      </c>
      <c r="J2631">
        <f>0</f>
      </c>
    </row>
    <row r="2632">
      <c r="A2632" t="s">
        <v>2641</v>
      </c>
      <c r="B2632" t="s">
        <v>11</v>
      </c>
      <c r="C2632">
        <f>121520640625/10^6</f>
      </c>
      <c r="D2632">
        <f>0</f>
      </c>
      <c r="E2632">
        <f>735637756/10^6</f>
      </c>
      <c r="F2632">
        <f>0</f>
      </c>
      <c r="G2632">
        <f>264174286/10^6</f>
      </c>
      <c r="H2632">
        <f>0</f>
      </c>
      <c r="I2632">
        <f>-3514362/10^5</f>
      </c>
      <c r="J2632">
        <f>0</f>
      </c>
    </row>
    <row r="2633">
      <c r="A2633" t="s">
        <v>2642</v>
      </c>
      <c r="B2633" t="s">
        <v>11</v>
      </c>
      <c r="C2633">
        <f>12104340625/10^5</f>
      </c>
      <c r="D2633">
        <f>0</f>
      </c>
      <c r="E2633">
        <f>738200684/10^6</f>
      </c>
      <c r="F2633">
        <f>0</f>
      </c>
      <c r="G2633">
        <f>263835358/10^6</f>
      </c>
      <c r="H2633">
        <f>0</f>
      </c>
      <c r="I2633">
        <f>-35663391/10^6</f>
      </c>
      <c r="J2633">
        <f>0</f>
      </c>
    </row>
    <row r="2634">
      <c r="A2634" t="s">
        <v>2643</v>
      </c>
      <c r="B2634" t="s">
        <v>11</v>
      </c>
      <c r="C2634">
        <f>120527070313/10^6</f>
      </c>
      <c r="D2634">
        <f>0</f>
      </c>
      <c r="E2634">
        <f>740826416/10^6</f>
      </c>
      <c r="F2634">
        <f>0</f>
      </c>
      <c r="G2634">
        <f>263564728/10^6</f>
      </c>
      <c r="H2634">
        <f>0</f>
      </c>
      <c r="I2634">
        <f>-3640089/10^5</f>
      </c>
      <c r="J2634">
        <f>0</f>
      </c>
    </row>
    <row r="2635">
      <c r="A2635" t="s">
        <v>2644</v>
      </c>
      <c r="B2635" t="s">
        <v>11</v>
      </c>
      <c r="C2635">
        <f>119959296875/10^6</f>
      </c>
      <c r="D2635">
        <f>0</f>
      </c>
      <c r="E2635">
        <f>743654724/10^6</f>
      </c>
      <c r="F2635">
        <f>0</f>
      </c>
      <c r="G2635">
        <f>263278259/10^6</f>
      </c>
      <c r="H2635">
        <f>0</f>
      </c>
      <c r="I2635">
        <f>-3721983/10^5</f>
      </c>
      <c r="J2635">
        <f>0</f>
      </c>
    </row>
    <row r="2636">
      <c r="A2636" t="s">
        <v>2645</v>
      </c>
      <c r="B2636" t="s">
        <v>11</v>
      </c>
      <c r="C2636">
        <f>119315046875/10^6</f>
      </c>
      <c r="D2636">
        <f>0</f>
      </c>
      <c r="E2636">
        <f>746948059/10^6</f>
      </c>
      <c r="F2636">
        <f>0</f>
      </c>
      <c r="G2636">
        <f>262999634/10^6</f>
      </c>
      <c r="H2636">
        <f>0</f>
      </c>
      <c r="I2636">
        <f>-37925289/10^6</f>
      </c>
      <c r="J2636">
        <f>0</f>
      </c>
    </row>
    <row r="2637">
      <c r="A2637" t="s">
        <v>2646</v>
      </c>
      <c r="B2637" t="s">
        <v>11</v>
      </c>
      <c r="C2637">
        <f>118571734375/10^6</f>
      </c>
      <c r="D2637">
        <f>0</f>
      </c>
      <c r="E2637">
        <f>750882385/10^6</f>
      </c>
      <c r="F2637">
        <f>0</f>
      </c>
      <c r="G2637">
        <f>262664063/10^6</f>
      </c>
      <c r="H2637">
        <f>0</f>
      </c>
      <c r="I2637">
        <f>-387495/10^4</f>
      </c>
      <c r="J2637">
        <f>0</f>
      </c>
    </row>
    <row r="2638">
      <c r="A2638" t="s">
        <v>2647</v>
      </c>
      <c r="B2638" t="s">
        <v>11</v>
      </c>
      <c r="C2638">
        <f>117763703125/10^6</f>
      </c>
      <c r="D2638">
        <f>0</f>
      </c>
      <c r="E2638">
        <f>755496704/10^6</f>
      </c>
      <c r="F2638">
        <f>0</f>
      </c>
      <c r="G2638">
        <f>26236795/10^5</f>
      </c>
      <c r="H2638">
        <f>0</f>
      </c>
      <c r="I2638">
        <f>-39499676/10^6</f>
      </c>
      <c r="J2638">
        <f>0</f>
      </c>
    </row>
    <row r="2639">
      <c r="A2639" t="s">
        <v>2648</v>
      </c>
      <c r="B2639" t="s">
        <v>11</v>
      </c>
      <c r="C2639">
        <f>116925085938/10^6</f>
      </c>
      <c r="D2639">
        <f>0</f>
      </c>
      <c r="E2639">
        <f>76044165/10^5</f>
      </c>
      <c r="F2639">
        <f>0</f>
      </c>
      <c r="G2639">
        <f>261975464/10^6</f>
      </c>
      <c r="H2639">
        <f>0</f>
      </c>
      <c r="I2639">
        <f>-40788383/10^6</f>
      </c>
      <c r="J2639">
        <f>0</f>
      </c>
    </row>
    <row r="2640">
      <c r="A2640" t="s">
        <v>2649</v>
      </c>
      <c r="B2640" t="s">
        <v>11</v>
      </c>
      <c r="C2640">
        <f>116012617188/10^6</f>
      </c>
      <c r="D2640">
        <f>0</f>
      </c>
      <c r="E2640">
        <f>765702576/10^6</f>
      </c>
      <c r="F2640">
        <f>0</f>
      </c>
      <c r="G2640">
        <f>261511688/10^6</f>
      </c>
      <c r="H2640">
        <f>0</f>
      </c>
      <c r="I2640">
        <f>-42176765/10^6</f>
      </c>
      <c r="J2640">
        <f>0</f>
      </c>
    </row>
    <row r="2641">
      <c r="A2641" t="s">
        <v>2650</v>
      </c>
      <c r="B2641" t="s">
        <v>11</v>
      </c>
      <c r="C2641">
        <f>11505659375/10^5</f>
      </c>
      <c r="D2641">
        <f>0</f>
      </c>
      <c r="E2641">
        <f>771949036/10^6</f>
      </c>
      <c r="F2641">
        <f>0</f>
      </c>
      <c r="G2641">
        <f>261072723/10^6</f>
      </c>
      <c r="H2641">
        <f>0</f>
      </c>
      <c r="I2641">
        <f>-42808514/10^6</f>
      </c>
      <c r="J2641">
        <f>0</f>
      </c>
    </row>
    <row r="2642">
      <c r="A2642" t="s">
        <v>2651</v>
      </c>
      <c r="B2642" t="s">
        <v>11</v>
      </c>
      <c r="C2642">
        <f>114285203125/10^6</f>
      </c>
      <c r="D2642">
        <f>0</f>
      </c>
      <c r="E2642">
        <f>775571045/10^6</f>
      </c>
      <c r="F2642">
        <f>0</f>
      </c>
      <c r="G2642">
        <f>26086264/10^5</f>
      </c>
      <c r="H2642">
        <f>0</f>
      </c>
      <c r="I2642">
        <f>-4432494/10^5</f>
      </c>
      <c r="J2642">
        <f>0</f>
      </c>
    </row>
    <row r="2643">
      <c r="A2643" t="s">
        <v>2652</v>
      </c>
      <c r="B2643" t="s">
        <v>11</v>
      </c>
      <c r="C2643">
        <f>113945804688/10^6</f>
      </c>
      <c r="D2643">
        <f>0</f>
      </c>
      <c r="E2643">
        <f>770570618/10^6</f>
      </c>
      <c r="F2643">
        <f>0</f>
      </c>
      <c r="G2643">
        <f>260571625/10^6</f>
      </c>
      <c r="H2643">
        <f>0</f>
      </c>
      <c r="I2643">
        <f>-4519846/10^5</f>
      </c>
      <c r="J2643">
        <f>0</f>
      </c>
    </row>
    <row r="2644">
      <c r="A2644" t="s">
        <v>2653</v>
      </c>
      <c r="B2644" t="s">
        <v>11</v>
      </c>
      <c r="C2644">
        <f>11397371875/10^5</f>
      </c>
      <c r="D2644">
        <f>0</f>
      </c>
      <c r="E2644">
        <f>762275696/10^6</f>
      </c>
      <c r="F2644">
        <f>0</f>
      </c>
      <c r="G2644">
        <f>258451263/10^6</f>
      </c>
      <c r="H2644">
        <f>0</f>
      </c>
      <c r="I2644">
        <f>-41556259/10^6</f>
      </c>
      <c r="J2644">
        <f>0</f>
      </c>
    </row>
    <row r="2645">
      <c r="A2645" t="s">
        <v>2654</v>
      </c>
      <c r="B2645" t="s">
        <v>11</v>
      </c>
      <c r="C2645">
        <f>11399928125/10^5</f>
      </c>
      <c r="D2645">
        <f>0</f>
      </c>
      <c r="E2645">
        <f>761504944/10^6</f>
      </c>
      <c r="F2645">
        <f>0</f>
      </c>
      <c r="G2645">
        <f>255637299/10^6</f>
      </c>
      <c r="H2645">
        <f>0</f>
      </c>
      <c r="I2645">
        <f>-36814774/10^6</f>
      </c>
      <c r="J2645">
        <f>0</f>
      </c>
    </row>
    <row r="2646">
      <c r="A2646" t="s">
        <v>2655</v>
      </c>
      <c r="B2646" t="s">
        <v>11</v>
      </c>
      <c r="C2646">
        <f>113827664063/10^6</f>
      </c>
      <c r="D2646">
        <f>0</f>
      </c>
      <c r="E2646">
        <f>76637207/10^5</f>
      </c>
      <c r="F2646">
        <f>0</f>
      </c>
      <c r="G2646">
        <f>255474976/10^6</f>
      </c>
      <c r="H2646">
        <f>0</f>
      </c>
      <c r="I2646">
        <f>-36173069/10^6</f>
      </c>
      <c r="J2646">
        <f>0</f>
      </c>
    </row>
    <row r="2647">
      <c r="A2647" t="s">
        <v>2656</v>
      </c>
      <c r="B2647" t="s">
        <v>11</v>
      </c>
      <c r="C2647">
        <f>1136150625/10^4</f>
      </c>
      <c r="D2647">
        <f>0</f>
      </c>
      <c r="E2647">
        <f>769462341/10^6</f>
      </c>
      <c r="F2647">
        <f>0</f>
      </c>
      <c r="G2647">
        <f>256887329/10^6</f>
      </c>
      <c r="H2647">
        <f>0</f>
      </c>
      <c r="I2647">
        <f>-37617603/10^6</f>
      </c>
      <c r="J2647">
        <f>0</f>
      </c>
    </row>
    <row r="2648">
      <c r="A2648" t="s">
        <v>2657</v>
      </c>
      <c r="B2648" t="s">
        <v>11</v>
      </c>
      <c r="C2648">
        <f>113614359375/10^6</f>
      </c>
      <c r="D2648">
        <f>0</f>
      </c>
      <c r="E2648">
        <f>770590088/10^6</f>
      </c>
      <c r="F2648">
        <f>0</f>
      </c>
      <c r="G2648">
        <f>257568542/10^6</f>
      </c>
      <c r="H2648">
        <f>0</f>
      </c>
      <c r="I2648">
        <f>-37981632/10^6</f>
      </c>
      <c r="J2648">
        <f>0</f>
      </c>
    </row>
    <row r="2649">
      <c r="A2649" t="s">
        <v>2658</v>
      </c>
      <c r="B2649" t="s">
        <v>11</v>
      </c>
      <c r="C2649">
        <f>113908484375/10^6</f>
      </c>
      <c r="D2649">
        <f>0</f>
      </c>
      <c r="E2649">
        <f>771526428/10^6</f>
      </c>
      <c r="F2649">
        <f>0</f>
      </c>
      <c r="G2649">
        <f>258194641/10^6</f>
      </c>
      <c r="H2649">
        <f>0</f>
      </c>
      <c r="I2649">
        <f>-37600815/10^6</f>
      </c>
      <c r="J2649">
        <f>0</f>
      </c>
    </row>
    <row r="2650">
      <c r="A2650" t="s">
        <v>2659</v>
      </c>
      <c r="B2650" t="s">
        <v>11</v>
      </c>
      <c r="C2650">
        <f>114344375/10^3</f>
      </c>
      <c r="D2650">
        <f>0</f>
      </c>
      <c r="E2650">
        <f>772025696/10^6</f>
      </c>
      <c r="F2650">
        <f>0</f>
      </c>
      <c r="G2650">
        <f>258947418/10^6</f>
      </c>
      <c r="H2650">
        <f>0</f>
      </c>
      <c r="I2650">
        <f>-37331394/10^6</f>
      </c>
      <c r="J2650">
        <f>0</f>
      </c>
    </row>
    <row r="2651">
      <c r="A2651" t="s">
        <v>2660</v>
      </c>
      <c r="B2651" t="s">
        <v>11</v>
      </c>
      <c r="C2651">
        <f>11481746875/10^5</f>
      </c>
      <c r="D2651">
        <f>0</f>
      </c>
      <c r="E2651">
        <f>7719245/10^4</f>
      </c>
      <c r="F2651">
        <f>0</f>
      </c>
      <c r="G2651">
        <f>259758759/10^6</f>
      </c>
      <c r="H2651">
        <f>0</f>
      </c>
      <c r="I2651">
        <f>-37263088/10^6</f>
      </c>
      <c r="J2651">
        <f>0</f>
      </c>
    </row>
    <row r="2652">
      <c r="A2652" t="s">
        <v>2661</v>
      </c>
      <c r="B2652" t="s">
        <v>11</v>
      </c>
      <c r="C2652">
        <f>115364070313/10^6</f>
      </c>
      <c r="D2652">
        <f>0</f>
      </c>
      <c r="E2652">
        <f>770971863/10^6</f>
      </c>
      <c r="F2652">
        <f>0</f>
      </c>
      <c r="G2652">
        <f>261080353/10^6</f>
      </c>
      <c r="H2652">
        <f>0</f>
      </c>
      <c r="I2652">
        <f>-37329563/10^6</f>
      </c>
      <c r="J2652">
        <f>0</f>
      </c>
    </row>
    <row r="2653">
      <c r="A2653" t="s">
        <v>2662</v>
      </c>
      <c r="B2653" t="s">
        <v>11</v>
      </c>
      <c r="C2653">
        <f>115970109375/10^6</f>
      </c>
      <c r="D2653">
        <f>0</f>
      </c>
      <c r="E2653">
        <f>768824707/10^6</f>
      </c>
      <c r="F2653">
        <f>0</f>
      </c>
      <c r="G2653">
        <f>262062012/10^6</f>
      </c>
      <c r="H2653">
        <f>0</f>
      </c>
      <c r="I2653">
        <f>-37284782/10^6</f>
      </c>
      <c r="J2653">
        <f>0</f>
      </c>
    </row>
    <row r="2654">
      <c r="A2654" t="s">
        <v>2663</v>
      </c>
      <c r="B2654" t="s">
        <v>11</v>
      </c>
      <c r="C2654">
        <f>11658978125/10^5</f>
      </c>
      <c r="D2654">
        <f>0</f>
      </c>
      <c r="E2654">
        <f>7658078/10^4</f>
      </c>
      <c r="F2654">
        <f>0</f>
      </c>
      <c r="G2654">
        <f>262606964/10^6</f>
      </c>
      <c r="H2654">
        <f>0</f>
      </c>
      <c r="I2654">
        <f>-36768959/10^6</f>
      </c>
      <c r="J2654">
        <f>0</f>
      </c>
    </row>
    <row r="2655">
      <c r="A2655" t="s">
        <v>2664</v>
      </c>
      <c r="B2655" t="s">
        <v>11</v>
      </c>
      <c r="C2655">
        <f>117218054688/10^6</f>
      </c>
      <c r="D2655">
        <f>0</f>
      </c>
      <c r="E2655">
        <f>762649841/10^6</f>
      </c>
      <c r="F2655">
        <f>0</f>
      </c>
      <c r="G2655">
        <f>263215088/10^6</f>
      </c>
      <c r="H2655">
        <f>0</f>
      </c>
      <c r="I2655">
        <f>-3617363/10^5</f>
      </c>
      <c r="J2655">
        <f>0</f>
      </c>
    </row>
    <row r="2656">
      <c r="A2656" t="s">
        <v>2665</v>
      </c>
      <c r="B2656" t="s">
        <v>11</v>
      </c>
      <c r="C2656">
        <f>117892015625/10^6</f>
      </c>
      <c r="D2656">
        <f>0</f>
      </c>
      <c r="E2656">
        <f>759773926/10^6</f>
      </c>
      <c r="F2656">
        <f>0</f>
      </c>
      <c r="G2656">
        <f>263754944/10^6</f>
      </c>
      <c r="H2656">
        <f>0</f>
      </c>
      <c r="I2656">
        <f>-35869312/10^6</f>
      </c>
      <c r="J2656">
        <f>0</f>
      </c>
    </row>
    <row r="2657">
      <c r="A2657" t="s">
        <v>2666</v>
      </c>
      <c r="B2657" t="s">
        <v>11</v>
      </c>
      <c r="C2657">
        <f>11864728125/10^5</f>
      </c>
      <c r="D2657">
        <f>0</f>
      </c>
      <c r="E2657">
        <f>756921387/10^6</f>
      </c>
      <c r="F2657">
        <f>0</f>
      </c>
      <c r="G2657">
        <f>26434671/10^5</f>
      </c>
      <c r="H2657">
        <f>0</f>
      </c>
      <c r="I2657">
        <f>-3560033/10^5</f>
      </c>
      <c r="J2657">
        <f>0</f>
      </c>
    </row>
    <row r="2658">
      <c r="A2658" t="s">
        <v>2667</v>
      </c>
      <c r="B2658" t="s">
        <v>11</v>
      </c>
      <c r="C2658">
        <f>119456804688/10^6</f>
      </c>
      <c r="D2658">
        <f>0</f>
      </c>
      <c r="E2658">
        <f>753533875/10^6</f>
      </c>
      <c r="F2658">
        <f>0</f>
      </c>
      <c r="G2658">
        <f>264836761/10^6</f>
      </c>
      <c r="H2658">
        <f>0</f>
      </c>
      <c r="I2658">
        <f>-3531369/10^5</f>
      </c>
      <c r="J2658">
        <f>0</f>
      </c>
    </row>
    <row r="2659">
      <c r="A2659" t="s">
        <v>2668</v>
      </c>
      <c r="B2659" t="s">
        <v>11</v>
      </c>
      <c r="C2659">
        <f>120264867188/10^6</f>
      </c>
      <c r="D2659">
        <f>0</f>
      </c>
      <c r="E2659">
        <f>749479004/10^6</f>
      </c>
      <c r="F2659">
        <f>0</f>
      </c>
      <c r="G2659">
        <f>265448059/10^6</f>
      </c>
      <c r="H2659">
        <f>0</f>
      </c>
      <c r="I2659">
        <f>-34894382/10^6</f>
      </c>
      <c r="J2659">
        <f>0</f>
      </c>
    </row>
    <row r="2660">
      <c r="A2660" t="s">
        <v>2669</v>
      </c>
      <c r="B2660" t="s">
        <v>11</v>
      </c>
      <c r="C2660">
        <f>121021789063/10^6</f>
      </c>
      <c r="D2660">
        <f>0</f>
      </c>
      <c r="E2660">
        <f>745127686/10^6</f>
      </c>
      <c r="F2660">
        <f>0</f>
      </c>
      <c r="G2660">
        <f>266198883/10^6</f>
      </c>
      <c r="H2660">
        <f>0</f>
      </c>
      <c r="I2660">
        <f>-34452248/10^6</f>
      </c>
      <c r="J2660">
        <f>0</f>
      </c>
    </row>
    <row r="2661">
      <c r="A2661" t="s">
        <v>2670</v>
      </c>
      <c r="B2661" t="s">
        <v>11</v>
      </c>
      <c r="C2661">
        <f>121664789063/10^6</f>
      </c>
      <c r="D2661">
        <f>0</f>
      </c>
      <c r="E2661">
        <f>741152954/10^6</f>
      </c>
      <c r="F2661">
        <f>0</f>
      </c>
      <c r="G2661">
        <f>266398804/10^6</f>
      </c>
      <c r="H2661">
        <f>0</f>
      </c>
      <c r="I2661">
        <f>-3412986/10^5</f>
      </c>
      <c r="J2661">
        <f>0</f>
      </c>
    </row>
    <row r="2662">
      <c r="A2662" t="s">
        <v>2671</v>
      </c>
      <c r="B2662" t="s">
        <v>11</v>
      </c>
      <c r="C2662">
        <f>122129679688/10^6</f>
      </c>
      <c r="D2662">
        <f>0</f>
      </c>
      <c r="E2662">
        <f>738030396/10^6</f>
      </c>
      <c r="F2662">
        <f>0</f>
      </c>
      <c r="G2662">
        <f>266393219/10^6</f>
      </c>
      <c r="H2662">
        <f>0</f>
      </c>
      <c r="I2662">
        <f>-33631142/10^6</f>
      </c>
      <c r="J2662">
        <f>0</f>
      </c>
    </row>
    <row r="2663">
      <c r="A2663" t="s">
        <v>2672</v>
      </c>
      <c r="B2663" t="s">
        <v>11</v>
      </c>
      <c r="C2663">
        <f>122369617188/10^6</f>
      </c>
      <c r="D2663">
        <f>0</f>
      </c>
      <c r="E2663">
        <f>735708862/10^6</f>
      </c>
      <c r="F2663">
        <f>0</f>
      </c>
      <c r="G2663">
        <f>266430267/10^6</f>
      </c>
      <c r="H2663">
        <f>0</f>
      </c>
      <c r="I2663">
        <f>-33288845/10^6</f>
      </c>
      <c r="J2663">
        <f>0</f>
      </c>
    </row>
    <row r="2664">
      <c r="A2664" t="s">
        <v>2673</v>
      </c>
      <c r="B2664" t="s">
        <v>11</v>
      </c>
      <c r="C2664">
        <f>122409976563/10^6</f>
      </c>
      <c r="D2664">
        <f>0</f>
      </c>
      <c r="E2664">
        <f>734301025/10^6</f>
      </c>
      <c r="F2664">
        <f>0</f>
      </c>
      <c r="G2664">
        <f>266028992/10^6</f>
      </c>
      <c r="H2664">
        <f>0</f>
      </c>
      <c r="I2664">
        <f>-33334087/10^6</f>
      </c>
      <c r="J2664">
        <f>0</f>
      </c>
    </row>
    <row r="2665">
      <c r="A2665" t="s">
        <v>2674</v>
      </c>
      <c r="B2665" t="s">
        <v>11</v>
      </c>
      <c r="C2665">
        <f>122366132813/10^6</f>
      </c>
      <c r="D2665">
        <f>0</f>
      </c>
      <c r="E2665">
        <f>733860352/10^6</f>
      </c>
      <c r="F2665">
        <f>0</f>
      </c>
      <c r="G2665">
        <f>265536591/10^6</f>
      </c>
      <c r="H2665">
        <f>0</f>
      </c>
      <c r="I2665">
        <f>-33349346/10^6</f>
      </c>
      <c r="J2665">
        <f>0</f>
      </c>
    </row>
    <row r="2666">
      <c r="A2666" t="s">
        <v>2675</v>
      </c>
      <c r="B2666" t="s">
        <v>11</v>
      </c>
      <c r="C2666">
        <f>122279109375/10^6</f>
      </c>
      <c r="D2666">
        <f>0</f>
      </c>
      <c r="E2666">
        <f>733800964/10^6</f>
      </c>
      <c r="F2666">
        <f>0</f>
      </c>
      <c r="G2666">
        <f>265272369/10^6</f>
      </c>
      <c r="H2666">
        <f>0</f>
      </c>
      <c r="I2666">
        <f>-33495319/10^6</f>
      </c>
      <c r="J2666">
        <f>0</f>
      </c>
    </row>
    <row r="2667">
      <c r="A2667" t="s">
        <v>2676</v>
      </c>
      <c r="B2667" t="s">
        <v>11</v>
      </c>
      <c r="C2667">
        <f>122084859375/10^6</f>
      </c>
      <c r="D2667">
        <f>0</f>
      </c>
      <c r="E2667">
        <f>734127869/10^6</f>
      </c>
      <c r="F2667">
        <f>0</f>
      </c>
      <c r="G2667">
        <f>264979675/10^6</f>
      </c>
      <c r="H2667">
        <f>0</f>
      </c>
      <c r="I2667">
        <f>-33842449/10^6</f>
      </c>
      <c r="J2667">
        <f>0</f>
      </c>
    </row>
    <row r="2668">
      <c r="A2668" t="s">
        <v>2677</v>
      </c>
      <c r="B2668" t="s">
        <v>11</v>
      </c>
      <c r="C2668">
        <f>121785125/10^3</f>
      </c>
      <c r="D2668">
        <f>0</f>
      </c>
      <c r="E2668">
        <f>735197998/10^6</f>
      </c>
      <c r="F2668">
        <f>0</f>
      </c>
      <c r="G2668">
        <f>264709625/10^6</f>
      </c>
      <c r="H2668">
        <f>0</f>
      </c>
      <c r="I2668">
        <f>-34120026/10^6</f>
      </c>
      <c r="J2668">
        <f>0</f>
      </c>
    </row>
    <row r="2669">
      <c r="A2669" t="s">
        <v>2678</v>
      </c>
      <c r="B2669" t="s">
        <v>11</v>
      </c>
      <c r="C2669">
        <f>121442414063/10^6</f>
      </c>
      <c r="D2669">
        <f>0</f>
      </c>
      <c r="E2669">
        <f>736610413/10^6</f>
      </c>
      <c r="F2669">
        <f>0</f>
      </c>
      <c r="G2669">
        <f>264407623/10^6</f>
      </c>
      <c r="H2669">
        <f>0</f>
      </c>
      <c r="I2669">
        <f>-34549175/10^6</f>
      </c>
      <c r="J2669">
        <f>0</f>
      </c>
    </row>
    <row r="2670">
      <c r="A2670" t="s">
        <v>2679</v>
      </c>
      <c r="B2670" t="s">
        <v>11</v>
      </c>
      <c r="C2670">
        <f>12107315625/10^5</f>
      </c>
      <c r="D2670">
        <f>0</f>
      </c>
      <c r="E2670">
        <f>738269653/10^6</f>
      </c>
      <c r="F2670">
        <f>0</f>
      </c>
      <c r="G2670">
        <f>264068726/10^6</f>
      </c>
      <c r="H2670">
        <f>0</f>
      </c>
      <c r="I2670">
        <f>-35017284/10^6</f>
      </c>
      <c r="J2670">
        <f>0</f>
      </c>
    </row>
    <row r="2671">
      <c r="A2671" t="s">
        <v>2680</v>
      </c>
      <c r="B2671" t="s">
        <v>11</v>
      </c>
      <c r="C2671">
        <f>1206654375/10^4</f>
      </c>
      <c r="D2671">
        <f>0</f>
      </c>
      <c r="E2671">
        <f>740305115/10^6</f>
      </c>
      <c r="F2671">
        <f>0</f>
      </c>
      <c r="G2671">
        <f>263842224/10^6</f>
      </c>
      <c r="H2671">
        <f>0</f>
      </c>
      <c r="I2671">
        <f>-35446819/10^6</f>
      </c>
      <c r="J2671">
        <f>0</f>
      </c>
    </row>
    <row r="2672">
      <c r="A2672" t="s">
        <v>2681</v>
      </c>
      <c r="B2672" t="s">
        <v>11</v>
      </c>
      <c r="C2672">
        <f>1202194375/10^4</f>
      </c>
      <c r="D2672">
        <f>0</f>
      </c>
      <c r="E2672">
        <f>742503601/10^6</f>
      </c>
      <c r="F2672">
        <f>0</f>
      </c>
      <c r="G2672">
        <f>263636414/10^6</f>
      </c>
      <c r="H2672">
        <f>0</f>
      </c>
      <c r="I2672">
        <f>-36029781/10^6</f>
      </c>
      <c r="J2672">
        <f>0</f>
      </c>
    </row>
    <row r="2673">
      <c r="A2673" t="s">
        <v>2682</v>
      </c>
      <c r="B2673" t="s">
        <v>11</v>
      </c>
      <c r="C2673">
        <f>119733117188/10^6</f>
      </c>
      <c r="D2673">
        <f>0</f>
      </c>
      <c r="E2673">
        <f>744971985/10^6</f>
      </c>
      <c r="F2673">
        <f>0</f>
      </c>
      <c r="G2673">
        <f>263425354/10^6</f>
      </c>
      <c r="H2673">
        <f>0</f>
      </c>
      <c r="I2673">
        <f>-36536896/10^6</f>
      </c>
      <c r="J2673">
        <f>0</f>
      </c>
    </row>
    <row r="2674">
      <c r="A2674" t="s">
        <v>2683</v>
      </c>
      <c r="B2674" t="s">
        <v>11</v>
      </c>
      <c r="C2674">
        <f>119191359375/10^6</f>
      </c>
      <c r="D2674">
        <f>0</f>
      </c>
      <c r="E2674">
        <f>747725708/10^6</f>
      </c>
      <c r="F2674">
        <f>0</f>
      </c>
      <c r="G2674">
        <f>263113312/10^6</f>
      </c>
      <c r="H2674">
        <f>0</f>
      </c>
      <c r="I2674">
        <f>-37095448/10^6</f>
      </c>
      <c r="J2674">
        <f>0</f>
      </c>
    </row>
    <row r="2675">
      <c r="A2675" t="s">
        <v>2684</v>
      </c>
      <c r="B2675" t="s">
        <v>11</v>
      </c>
      <c r="C2675">
        <f>118575046875/10^6</f>
      </c>
      <c r="D2675">
        <f>0</f>
      </c>
      <c r="E2675">
        <f>750831421/10^6</f>
      </c>
      <c r="F2675">
        <f>0</f>
      </c>
      <c r="G2675">
        <f>262784363/10^6</f>
      </c>
      <c r="H2675">
        <f>0</f>
      </c>
      <c r="I2675">
        <f>-37663734/10^6</f>
      </c>
      <c r="J2675">
        <f>0</f>
      </c>
    </row>
    <row r="2676">
      <c r="A2676" t="s">
        <v>2685</v>
      </c>
      <c r="B2676" t="s">
        <v>11</v>
      </c>
      <c r="C2676">
        <f>117879992188/10^6</f>
      </c>
      <c r="D2676">
        <f>0</f>
      </c>
      <c r="E2676">
        <f>754629883/10^6</f>
      </c>
      <c r="F2676">
        <f>0</f>
      </c>
      <c r="G2676">
        <f>262495148/10^6</f>
      </c>
      <c r="H2676">
        <f>0</f>
      </c>
      <c r="I2676">
        <f>-38323967/10^6</f>
      </c>
      <c r="J2676">
        <f>0</f>
      </c>
    </row>
    <row r="2677">
      <c r="A2677" t="s">
        <v>2686</v>
      </c>
      <c r="B2677" t="s">
        <v>11</v>
      </c>
      <c r="C2677">
        <f>117137125/10^3</f>
      </c>
      <c r="D2677">
        <f>0</f>
      </c>
      <c r="E2677">
        <f>758654175/10^6</f>
      </c>
      <c r="F2677">
        <f>0</f>
      </c>
      <c r="G2677">
        <f>262111755/10^6</f>
      </c>
      <c r="H2677">
        <f>0</f>
      </c>
      <c r="I2677">
        <f>-39301682/10^6</f>
      </c>
      <c r="J2677">
        <f>0</f>
      </c>
    </row>
    <row r="2678">
      <c r="A2678" t="s">
        <v>2687</v>
      </c>
      <c r="B2678" t="s">
        <v>11</v>
      </c>
      <c r="C2678">
        <f>11632440625/10^5</f>
      </c>
      <c r="D2678">
        <f>0</f>
      </c>
      <c r="E2678">
        <f>763535706/10^6</f>
      </c>
      <c r="F2678">
        <f>0</f>
      </c>
      <c r="G2678">
        <f>261758331/10^6</f>
      </c>
      <c r="H2678">
        <f>0</f>
      </c>
      <c r="I2678">
        <f>-4000547/10^5</f>
      </c>
      <c r="J2678">
        <f>0</f>
      </c>
    </row>
    <row r="2679">
      <c r="A2679" t="s">
        <v>2688</v>
      </c>
      <c r="B2679" t="s">
        <v>11</v>
      </c>
      <c r="C2679">
        <f>115385804688/10^6</f>
      </c>
      <c r="D2679">
        <f>0</f>
      </c>
      <c r="E2679">
        <f>769463135/10^6</f>
      </c>
      <c r="F2679">
        <f>0</f>
      </c>
      <c r="G2679">
        <f>261441162/10^6</f>
      </c>
      <c r="H2679">
        <f>0</f>
      </c>
      <c r="I2679">
        <f>-41038132/10^6</f>
      </c>
      <c r="J2679">
        <f>0</f>
      </c>
    </row>
    <row r="2680">
      <c r="A2680" t="s">
        <v>2689</v>
      </c>
      <c r="B2680" t="s">
        <v>11</v>
      </c>
      <c r="C2680">
        <f>114534390625/10^6</f>
      </c>
      <c r="D2680">
        <f>0</f>
      </c>
      <c r="E2680">
        <f>77231012/10^5</f>
      </c>
      <c r="F2680">
        <f>0</f>
      </c>
      <c r="G2680">
        <f>261194336/10^6</f>
      </c>
      <c r="H2680">
        <f>0</f>
      </c>
      <c r="I2680">
        <f>-42465/10^3</f>
      </c>
      <c r="J2680">
        <f>0</f>
      </c>
    </row>
    <row r="2681">
      <c r="A2681" t="s">
        <v>2690</v>
      </c>
      <c r="B2681" t="s">
        <v>11</v>
      </c>
      <c r="C2681">
        <f>113980453125/10^6</f>
      </c>
      <c r="D2681">
        <f>0</f>
      </c>
      <c r="E2681">
        <f>7727276/10^4</f>
      </c>
      <c r="F2681">
        <f>0</f>
      </c>
      <c r="G2681">
        <f>260589966/10^6</f>
      </c>
      <c r="H2681">
        <f>0</f>
      </c>
      <c r="I2681">
        <f>-42297436/10^6</f>
      </c>
      <c r="J2681">
        <f>0</f>
      </c>
    </row>
    <row r="2682">
      <c r="A2682" t="s">
        <v>2691</v>
      </c>
      <c r="B2682" t="s">
        <v>11</v>
      </c>
      <c r="C2682">
        <f>113516117188/10^6</f>
      </c>
      <c r="D2682">
        <f>0</f>
      </c>
      <c r="E2682">
        <f>773965271/10^6</f>
      </c>
      <c r="F2682">
        <f>0</f>
      </c>
      <c r="G2682">
        <f>259446442/10^6</f>
      </c>
      <c r="H2682">
        <f>0</f>
      </c>
      <c r="I2682">
        <f>-41212654/10^6</f>
      </c>
      <c r="J2682">
        <f>0</f>
      </c>
    </row>
    <row r="2683">
      <c r="A2683" t="s">
        <v>2692</v>
      </c>
      <c r="B2683" t="s">
        <v>11</v>
      </c>
      <c r="C2683">
        <f>113254570313/10^6</f>
      </c>
      <c r="D2683">
        <f>0</f>
      </c>
      <c r="E2683">
        <f>770872314/10^6</f>
      </c>
      <c r="F2683">
        <f>0</f>
      </c>
      <c r="G2683">
        <f>258725006/10^6</f>
      </c>
      <c r="H2683">
        <f>0</f>
      </c>
      <c r="I2683">
        <f>-40566738/10^6</f>
      </c>
      <c r="J2683">
        <f>0</f>
      </c>
    </row>
    <row r="2684">
      <c r="A2684" t="s">
        <v>2693</v>
      </c>
      <c r="B2684" t="s">
        <v>11</v>
      </c>
      <c r="C2684">
        <f>113653640625/10^6</f>
      </c>
      <c r="D2684">
        <f>0</f>
      </c>
      <c r="E2684">
        <f>764630066/10^6</f>
      </c>
      <c r="F2684">
        <f>0</f>
      </c>
      <c r="G2684">
        <f>257839233/10^6</f>
      </c>
      <c r="H2684">
        <f>0</f>
      </c>
      <c r="I2684">
        <f>-3852956/10^5</f>
      </c>
      <c r="J2684">
        <f>0</f>
      </c>
    </row>
    <row r="2685">
      <c r="A2685" t="s">
        <v>2694</v>
      </c>
      <c r="B2685" t="s">
        <v>11</v>
      </c>
      <c r="C2685">
        <f>114436335938/10^6</f>
      </c>
      <c r="D2685">
        <f>0</f>
      </c>
      <c r="E2685">
        <f>763168945/10^6</f>
      </c>
      <c r="F2685">
        <f>0</f>
      </c>
      <c r="G2685">
        <f>256425964/10^6</f>
      </c>
      <c r="H2685">
        <f>0</f>
      </c>
      <c r="I2685">
        <f>-35797489/10^6</f>
      </c>
      <c r="J2685">
        <f>0</f>
      </c>
    </row>
    <row r="2686">
      <c r="A2686" t="s">
        <v>2695</v>
      </c>
      <c r="B2686" t="s">
        <v>11</v>
      </c>
      <c r="C2686">
        <f>115035007813/10^6</f>
      </c>
      <c r="D2686">
        <f>0</f>
      </c>
      <c r="E2686">
        <f>764701599/10^6</f>
      </c>
      <c r="F2686">
        <f>0</f>
      </c>
      <c r="G2686">
        <f>256889069/10^6</f>
      </c>
      <c r="H2686">
        <f>0</f>
      </c>
      <c r="I2686">
        <f>-35336658/10^6</f>
      </c>
      <c r="J2686">
        <f>0</f>
      </c>
    </row>
    <row r="2687">
      <c r="A2687" t="s">
        <v>2696</v>
      </c>
      <c r="B2687" t="s">
        <v>11</v>
      </c>
      <c r="C2687">
        <f>115453617188/10^6</f>
      </c>
      <c r="D2687">
        <f>0</f>
      </c>
      <c r="E2687">
        <f>765338989/10^6</f>
      </c>
      <c r="F2687">
        <f>0</f>
      </c>
      <c r="G2687">
        <f>259103638/10^6</f>
      </c>
      <c r="H2687">
        <f>0</f>
      </c>
      <c r="I2687">
        <f>-3615966/10^5</f>
      </c>
      <c r="J2687">
        <f>0</f>
      </c>
    </row>
    <row r="2688">
      <c r="A2688" t="s">
        <v>2697</v>
      </c>
      <c r="B2688" t="s">
        <v>11</v>
      </c>
      <c r="C2688">
        <f>115874507813/10^6</f>
      </c>
      <c r="D2688">
        <f>0</f>
      </c>
      <c r="E2688">
        <f>765256104/10^6</f>
      </c>
      <c r="F2688">
        <f>0</f>
      </c>
      <c r="G2688">
        <f>260415161/10^6</f>
      </c>
      <c r="H2688">
        <f>0</f>
      </c>
      <c r="I2688">
        <f>-36382061/10^6</f>
      </c>
      <c r="J2688">
        <f>0</f>
      </c>
    </row>
    <row r="2689">
      <c r="A2689" t="s">
        <v>2698</v>
      </c>
      <c r="B2689" t="s">
        <v>11</v>
      </c>
      <c r="C2689">
        <f>116289203125/10^6</f>
      </c>
      <c r="D2689">
        <f>0</f>
      </c>
      <c r="E2689">
        <f>764798828/10^6</f>
      </c>
      <c r="F2689">
        <f>0</f>
      </c>
      <c r="G2689">
        <f>26114621/10^5</f>
      </c>
      <c r="H2689">
        <f>0</f>
      </c>
      <c r="I2689">
        <f>-36417213/10^6</f>
      </c>
      <c r="J2689">
        <f>0</f>
      </c>
    </row>
    <row r="2690">
      <c r="A2690" t="s">
        <v>2699</v>
      </c>
      <c r="B2690" t="s">
        <v>11</v>
      </c>
      <c r="C2690">
        <f>116619789063/10^6</f>
      </c>
      <c r="D2690">
        <f>0</f>
      </c>
      <c r="E2690">
        <f>764554382/10^6</f>
      </c>
      <c r="F2690">
        <f>0</f>
      </c>
      <c r="G2690">
        <f>262092316/10^6</f>
      </c>
      <c r="H2690">
        <f>0</f>
      </c>
      <c r="I2690">
        <f>-36562473/10^6</f>
      </c>
      <c r="J2690">
        <f>0</f>
      </c>
    </row>
    <row r="2691">
      <c r="A2691" t="s">
        <v>2700</v>
      </c>
      <c r="B2691" t="s">
        <v>11</v>
      </c>
      <c r="C2691">
        <f>116904828125/10^6</f>
      </c>
      <c r="D2691">
        <f>0</f>
      </c>
      <c r="E2691">
        <f>764500183/10^6</f>
      </c>
      <c r="F2691">
        <f>0</f>
      </c>
      <c r="G2691">
        <f>262727753/10^6</f>
      </c>
      <c r="H2691">
        <f>0</f>
      </c>
      <c r="I2691">
        <f>-36647087/10^6</f>
      </c>
      <c r="J2691">
        <f>0</f>
      </c>
    </row>
    <row r="2692">
      <c r="A2692" t="s">
        <v>2701</v>
      </c>
      <c r="B2692" t="s">
        <v>11</v>
      </c>
      <c r="C2692">
        <f>117244101563/10^6</f>
      </c>
      <c r="D2692">
        <f>0</f>
      </c>
      <c r="E2692">
        <f>76370636/10^5</f>
      </c>
      <c r="F2692">
        <f>0</f>
      </c>
      <c r="G2692">
        <f>263348999/10^6</f>
      </c>
      <c r="H2692">
        <f>0</f>
      </c>
      <c r="I2692">
        <f>-36844265/10^6</f>
      </c>
      <c r="J2692">
        <f>0</f>
      </c>
    </row>
    <row r="2693">
      <c r="A2693" t="s">
        <v>2702</v>
      </c>
      <c r="B2693" t="s">
        <v>11</v>
      </c>
      <c r="C2693">
        <f>117646851563/10^6</f>
      </c>
      <c r="D2693">
        <f>0</f>
      </c>
      <c r="E2693">
        <f>761799194/10^6</f>
      </c>
      <c r="F2693">
        <f>0</f>
      </c>
      <c r="G2693">
        <f>263881561/10^6</f>
      </c>
      <c r="H2693">
        <f>0</f>
      </c>
      <c r="I2693">
        <f>-36936543/10^6</f>
      </c>
      <c r="J2693">
        <f>0</f>
      </c>
    </row>
    <row r="2694">
      <c r="A2694" t="s">
        <v>2703</v>
      </c>
      <c r="B2694" t="s">
        <v>11</v>
      </c>
      <c r="C2694">
        <f>118107382813/10^6</f>
      </c>
      <c r="D2694">
        <f>0</f>
      </c>
      <c r="E2694">
        <f>759205322/10^6</f>
      </c>
      <c r="F2694">
        <f>0</f>
      </c>
      <c r="G2694">
        <f>264159119/10^6</f>
      </c>
      <c r="H2694">
        <f>0</f>
      </c>
      <c r="I2694">
        <f>-36510784/10^6</f>
      </c>
      <c r="J2694">
        <f>0</f>
      </c>
    </row>
    <row r="2695">
      <c r="A2695" t="s">
        <v>2704</v>
      </c>
      <c r="B2695" t="s">
        <v>11</v>
      </c>
      <c r="C2695">
        <f>118622507813/10^6</f>
      </c>
      <c r="D2695">
        <f>0</f>
      </c>
      <c r="E2695">
        <f>756356873/10^6</f>
      </c>
      <c r="F2695">
        <f>0</f>
      </c>
      <c r="G2695">
        <f>264443542/10^6</f>
      </c>
      <c r="H2695">
        <f>0</f>
      </c>
      <c r="I2695">
        <f>-36023911/10^6</f>
      </c>
      <c r="J2695">
        <f>0</f>
      </c>
    </row>
    <row r="2696">
      <c r="A2696" t="s">
        <v>2705</v>
      </c>
      <c r="B2696" t="s">
        <v>11</v>
      </c>
      <c r="C2696">
        <f>119130601563/10^6</f>
      </c>
      <c r="D2696">
        <f>0</f>
      </c>
      <c r="E2696">
        <f>753589478/10^6</f>
      </c>
      <c r="F2696">
        <f>0</f>
      </c>
      <c r="G2696">
        <f>264674194/10^6</f>
      </c>
      <c r="H2696">
        <f>0</f>
      </c>
      <c r="I2696">
        <f>-3581041/10^5</f>
      </c>
      <c r="J2696">
        <f>0</f>
      </c>
    </row>
    <row r="2697">
      <c r="A2697" t="s">
        <v>2706</v>
      </c>
      <c r="B2697" t="s">
        <v>11</v>
      </c>
      <c r="C2697">
        <f>119558375/10^3</f>
      </c>
      <c r="D2697">
        <f>0</f>
      </c>
      <c r="E2697">
        <f>751231384/10^6</f>
      </c>
      <c r="F2697">
        <f>0</f>
      </c>
      <c r="G2697">
        <f>264962555/10^6</f>
      </c>
      <c r="H2697">
        <f>0</f>
      </c>
      <c r="I2697">
        <f>-35478725/10^6</f>
      </c>
      <c r="J2697">
        <f>0</f>
      </c>
    </row>
    <row r="2698">
      <c r="A2698" t="s">
        <v>2707</v>
      </c>
      <c r="B2698" t="s">
        <v>11</v>
      </c>
      <c r="C2698">
        <f>1198705625/10^4</f>
      </c>
      <c r="D2698">
        <f>0</f>
      </c>
      <c r="E2698">
        <f>749393311/10^6</f>
      </c>
      <c r="F2698">
        <f>0</f>
      </c>
      <c r="G2698">
        <f>265164764/10^6</f>
      </c>
      <c r="H2698">
        <f>0</f>
      </c>
      <c r="I2698">
        <f>-35246342/10^6</f>
      </c>
      <c r="J2698">
        <f>0</f>
      </c>
    </row>
    <row r="2699">
      <c r="A2699" t="s">
        <v>2708</v>
      </c>
      <c r="B2699" t="s">
        <v>11</v>
      </c>
      <c r="C2699">
        <f>1200800625/10^4</f>
      </c>
      <c r="D2699">
        <f>0</f>
      </c>
      <c r="E2699">
        <f>748082275/10^6</f>
      </c>
      <c r="F2699">
        <f>0</f>
      </c>
      <c r="G2699">
        <f>265120941/10^6</f>
      </c>
      <c r="H2699">
        <f>0</f>
      </c>
      <c r="I2699">
        <f>-35491333/10^6</f>
      </c>
      <c r="J2699">
        <f>0</f>
      </c>
    </row>
    <row r="2700">
      <c r="A2700" t="s">
        <v>2709</v>
      </c>
      <c r="B2700" t="s">
        <v>11</v>
      </c>
      <c r="C2700">
        <f>120200289063/10^6</f>
      </c>
      <c r="D2700">
        <f>0</f>
      </c>
      <c r="E2700">
        <f>747198364/10^6</f>
      </c>
      <c r="F2700">
        <f>0</f>
      </c>
      <c r="G2700">
        <f>265088684/10^6</f>
      </c>
      <c r="H2700">
        <f>0</f>
      </c>
      <c r="I2700">
        <f>-35784843/10^6</f>
      </c>
      <c r="J2700">
        <f>0</f>
      </c>
    </row>
    <row r="2701">
      <c r="A2701" t="s">
        <v>2710</v>
      </c>
      <c r="B2701" t="s">
        <v>11</v>
      </c>
      <c r="C2701">
        <f>120220804688/10^6</f>
      </c>
      <c r="D2701">
        <f>0</f>
      </c>
      <c r="E2701">
        <f>746615112/10^6</f>
      </c>
      <c r="F2701">
        <f>0</f>
      </c>
      <c r="G2701">
        <f>264989655/10^6</f>
      </c>
      <c r="H2701">
        <f>0</f>
      </c>
      <c r="I2701">
        <f>-35922729/10^6</f>
      </c>
      <c r="J2701">
        <f>0</f>
      </c>
    </row>
    <row r="2702">
      <c r="A2702" t="s">
        <v>2711</v>
      </c>
      <c r="B2702" t="s">
        <v>11</v>
      </c>
      <c r="C2702">
        <f>120163679688/10^6</f>
      </c>
      <c r="D2702">
        <f>0</f>
      </c>
      <c r="E2702">
        <f>746283386/10^6</f>
      </c>
      <c r="F2702">
        <f>0</f>
      </c>
      <c r="G2702">
        <f>264774963/10^6</f>
      </c>
      <c r="H2702">
        <f>0</f>
      </c>
      <c r="I2702">
        <f>-36077541/10^6</f>
      </c>
      <c r="J2702">
        <f>0</f>
      </c>
    </row>
    <row r="2703">
      <c r="A2703" t="s">
        <v>2712</v>
      </c>
      <c r="B2703" t="s">
        <v>11</v>
      </c>
      <c r="C2703">
        <f>120058789063/10^6</f>
      </c>
      <c r="D2703">
        <f>0</f>
      </c>
      <c r="E2703">
        <f>746194153/10^6</f>
      </c>
      <c r="F2703">
        <f>0</f>
      </c>
      <c r="G2703">
        <f>264609528/10^6</f>
      </c>
      <c r="H2703">
        <f>0</f>
      </c>
      <c r="I2703">
        <f>-36244946/10^6</f>
      </c>
      <c r="J2703">
        <f>0</f>
      </c>
    </row>
    <row r="2704">
      <c r="A2704" t="s">
        <v>2713</v>
      </c>
      <c r="B2704" t="s">
        <v>11</v>
      </c>
      <c r="C2704">
        <f>11988725/10^2</f>
      </c>
      <c r="D2704">
        <f>0</f>
      </c>
      <c r="E2704">
        <f>746699463/10^6</f>
      </c>
      <c r="F2704">
        <f>0</f>
      </c>
      <c r="G2704">
        <f>264305969/10^6</f>
      </c>
      <c r="H2704">
        <f>0</f>
      </c>
      <c r="I2704">
        <f>-36488853/10^6</f>
      </c>
      <c r="J2704">
        <f>0</f>
      </c>
    </row>
    <row r="2705">
      <c r="A2705" t="s">
        <v>2714</v>
      </c>
      <c r="B2705" t="s">
        <v>11</v>
      </c>
      <c r="C2705">
        <f>119651359375/10^6</f>
      </c>
      <c r="D2705">
        <f>0</f>
      </c>
      <c r="E2705">
        <f>74786615/10^5</f>
      </c>
      <c r="F2705">
        <f>0</f>
      </c>
      <c r="G2705">
        <f>263936859/10^6</f>
      </c>
      <c r="H2705">
        <f>0</f>
      </c>
      <c r="I2705">
        <f>-36725582/10^6</f>
      </c>
      <c r="J2705">
        <f>0</f>
      </c>
    </row>
    <row r="2706">
      <c r="A2706" t="s">
        <v>2715</v>
      </c>
      <c r="B2706" t="s">
        <v>11</v>
      </c>
      <c r="C2706">
        <f>119407015625/10^6</f>
      </c>
      <c r="D2706">
        <f>0</f>
      </c>
      <c r="E2706">
        <f>749041748/10^6</f>
      </c>
      <c r="F2706">
        <f>0</f>
      </c>
      <c r="G2706">
        <f>263768402/10^6</f>
      </c>
      <c r="H2706">
        <f>0</f>
      </c>
      <c r="I2706">
        <f>-370173/10^4</f>
      </c>
      <c r="J2706">
        <f>0</f>
      </c>
    </row>
    <row r="2707">
      <c r="A2707" t="s">
        <v>2716</v>
      </c>
      <c r="B2707" t="s">
        <v>11</v>
      </c>
      <c r="C2707">
        <f>1191744375/10^4</f>
      </c>
      <c r="D2707">
        <f>0</f>
      </c>
      <c r="E2707">
        <f>750031555/10^6</f>
      </c>
      <c r="F2707">
        <f>0</f>
      </c>
      <c r="G2707">
        <f>2636604/10^4</f>
      </c>
      <c r="H2707">
        <f>0</f>
      </c>
      <c r="I2707">
        <f>-37482063/10^6</f>
      </c>
      <c r="J2707">
        <f>0</f>
      </c>
    </row>
    <row r="2708">
      <c r="A2708" t="s">
        <v>2717</v>
      </c>
      <c r="B2708" t="s">
        <v>11</v>
      </c>
      <c r="C2708">
        <f>118912617188/10^6</f>
      </c>
      <c r="D2708">
        <f>0</f>
      </c>
      <c r="E2708">
        <f>751273926/10^6</f>
      </c>
      <c r="F2708">
        <f>0</f>
      </c>
      <c r="G2708">
        <f>263527161/10^6</f>
      </c>
      <c r="H2708">
        <f>0</f>
      </c>
      <c r="I2708">
        <f>-37859146/10^6</f>
      </c>
      <c r="J2708">
        <f>0</f>
      </c>
    </row>
    <row r="2709">
      <c r="A2709" t="s">
        <v>2718</v>
      </c>
      <c r="B2709" t="s">
        <v>11</v>
      </c>
      <c r="C2709">
        <f>118592375/10^3</f>
      </c>
      <c r="D2709">
        <f>0</f>
      </c>
      <c r="E2709">
        <f>752957397/10^6</f>
      </c>
      <c r="F2709">
        <f>0</f>
      </c>
      <c r="G2709">
        <f>263386536/10^6</f>
      </c>
      <c r="H2709">
        <f>0</f>
      </c>
      <c r="I2709">
        <f>-38212528/10^6</f>
      </c>
      <c r="J2709">
        <f>0</f>
      </c>
    </row>
    <row r="2710">
      <c r="A2710" t="s">
        <v>2719</v>
      </c>
      <c r="B2710" t="s">
        <v>11</v>
      </c>
      <c r="C2710">
        <f>118234242188/10^6</f>
      </c>
      <c r="D2710">
        <f>0</f>
      </c>
      <c r="E2710">
        <f>754994141/10^6</f>
      </c>
      <c r="F2710">
        <f>0</f>
      </c>
      <c r="G2710">
        <f>263262817/10^6</f>
      </c>
      <c r="H2710">
        <f>0</f>
      </c>
      <c r="I2710">
        <f>-38566925/10^6</f>
      </c>
      <c r="J2710">
        <f>0</f>
      </c>
    </row>
    <row r="2711">
      <c r="A2711" t="s">
        <v>2720</v>
      </c>
      <c r="B2711" t="s">
        <v>11</v>
      </c>
      <c r="C2711">
        <f>117858070313/10^6</f>
      </c>
      <c r="D2711">
        <f>0</f>
      </c>
      <c r="E2711">
        <f>757234314/10^6</f>
      </c>
      <c r="F2711">
        <f>0</f>
      </c>
      <c r="G2711">
        <f>263088074/10^6</f>
      </c>
      <c r="H2711">
        <f>0</f>
      </c>
      <c r="I2711">
        <f>-39006767/10^6</f>
      </c>
      <c r="J2711">
        <f>0</f>
      </c>
    </row>
    <row r="2712">
      <c r="A2712" t="s">
        <v>2721</v>
      </c>
      <c r="B2712" t="s">
        <v>11</v>
      </c>
      <c r="C2712">
        <f>117451828125/10^6</f>
      </c>
      <c r="D2712">
        <f>0</f>
      </c>
      <c r="E2712">
        <f>759468567/10^6</f>
      </c>
      <c r="F2712">
        <f>0</f>
      </c>
      <c r="G2712">
        <f>262787323/10^6</f>
      </c>
      <c r="H2712">
        <f>0</f>
      </c>
      <c r="I2712">
        <f>-39681419/10^6</f>
      </c>
      <c r="J2712">
        <f>0</f>
      </c>
    </row>
    <row r="2713">
      <c r="A2713" t="s">
        <v>2722</v>
      </c>
      <c r="B2713" t="s">
        <v>11</v>
      </c>
      <c r="C2713">
        <f>117017921875/10^6</f>
      </c>
      <c r="D2713">
        <f>0</f>
      </c>
      <c r="E2713">
        <f>76176062/10^5</f>
      </c>
      <c r="F2713">
        <f>0</f>
      </c>
      <c r="G2713">
        <f>262558624/10^6</f>
      </c>
      <c r="H2713">
        <f>0</f>
      </c>
      <c r="I2713">
        <f>-40223068/10^6</f>
      </c>
      <c r="J2713">
        <f>0</f>
      </c>
    </row>
    <row r="2714">
      <c r="A2714" t="s">
        <v>2723</v>
      </c>
      <c r="B2714" t="s">
        <v>11</v>
      </c>
      <c r="C2714">
        <f>116561664063/10^6</f>
      </c>
      <c r="D2714">
        <f>0</f>
      </c>
      <c r="E2714">
        <f>764460815/10^6</f>
      </c>
      <c r="F2714">
        <f>0</f>
      </c>
      <c r="G2714">
        <f>26241394/10^5</f>
      </c>
      <c r="H2714">
        <f>0</f>
      </c>
      <c r="I2714">
        <f>-4075264/10^5</f>
      </c>
      <c r="J2714">
        <f>0</f>
      </c>
    </row>
    <row r="2715">
      <c r="A2715" t="s">
        <v>2724</v>
      </c>
      <c r="B2715" t="s">
        <v>11</v>
      </c>
      <c r="C2715">
        <f>116063875/10^3</f>
      </c>
      <c r="D2715">
        <f>0</f>
      </c>
      <c r="E2715">
        <f>767580994/10^6</f>
      </c>
      <c r="F2715">
        <f>0</f>
      </c>
      <c r="G2715">
        <f>262268158/10^6</f>
      </c>
      <c r="H2715">
        <f>0</f>
      </c>
      <c r="I2715">
        <f>-41298744/10^6</f>
      </c>
      <c r="J2715">
        <f>0</f>
      </c>
    </row>
    <row r="2716">
      <c r="A2716" t="s">
        <v>2725</v>
      </c>
      <c r="B2716" t="s">
        <v>11</v>
      </c>
      <c r="C2716">
        <f>115523046875/10^6</f>
      </c>
      <c r="D2716">
        <f>0</f>
      </c>
      <c r="E2716">
        <f>770668762/10^6</f>
      </c>
      <c r="F2716">
        <f>0</f>
      </c>
      <c r="G2716">
        <f>26205899/10^5</f>
      </c>
      <c r="H2716">
        <f>0</f>
      </c>
      <c r="I2716">
        <f>-41826324/10^6</f>
      </c>
      <c r="J2716">
        <f>0</f>
      </c>
    </row>
    <row r="2717">
      <c r="A2717" t="s">
        <v>2726</v>
      </c>
      <c r="B2717" t="s">
        <v>11</v>
      </c>
      <c r="C2717">
        <f>114974140625/10^6</f>
      </c>
      <c r="D2717">
        <f>0</f>
      </c>
      <c r="E2717">
        <f>773651367/10^6</f>
      </c>
      <c r="F2717">
        <f>0</f>
      </c>
      <c r="G2717">
        <f>261774231/10^6</f>
      </c>
      <c r="H2717">
        <f>0</f>
      </c>
      <c r="I2717">
        <f>-42729366/10^6</f>
      </c>
      <c r="J2717">
        <f>0</f>
      </c>
    </row>
    <row r="2718">
      <c r="A2718" t="s">
        <v>2727</v>
      </c>
      <c r="B2718" t="s">
        <v>11</v>
      </c>
      <c r="C2718">
        <f>114475257813/10^6</f>
      </c>
      <c r="D2718">
        <f>0</f>
      </c>
      <c r="E2718">
        <f>776138/10^3</f>
      </c>
      <c r="F2718">
        <f>0</f>
      </c>
      <c r="G2718">
        <f>261533173/10^6</f>
      </c>
      <c r="H2718">
        <f>0</f>
      </c>
      <c r="I2718">
        <f>-43319145/10^6</f>
      </c>
      <c r="J2718">
        <f>0</f>
      </c>
    </row>
    <row r="2719">
      <c r="A2719" t="s">
        <v>2728</v>
      </c>
      <c r="B2719" t="s">
        <v>11</v>
      </c>
      <c r="C2719">
        <f>114116929688/10^6</f>
      </c>
      <c r="D2719">
        <f>0</f>
      </c>
      <c r="E2719">
        <f>776176697/10^6</f>
      </c>
      <c r="F2719">
        <f>0</f>
      </c>
      <c r="G2719">
        <f>261144562/10^6</f>
      </c>
      <c r="H2719">
        <f>0</f>
      </c>
      <c r="I2719">
        <f>-43335503/10^6</f>
      </c>
      <c r="J2719">
        <f>0</f>
      </c>
    </row>
    <row r="2720">
      <c r="A2720" t="s">
        <v>2729</v>
      </c>
      <c r="B2720" t="s">
        <v>11</v>
      </c>
      <c r="C2720">
        <f>113938617188/10^6</f>
      </c>
      <c r="D2720">
        <f>0</f>
      </c>
      <c r="E2720">
        <f>77478949/10^5</f>
      </c>
      <c r="F2720">
        <f>0</f>
      </c>
      <c r="G2720">
        <f>26069516/10^5</f>
      </c>
      <c r="H2720">
        <f>0</f>
      </c>
      <c r="I2720">
        <f>-43448872/10^6</f>
      </c>
      <c r="J2720">
        <f>0</f>
      </c>
    </row>
    <row r="2721">
      <c r="A2721" t="s">
        <v>2730</v>
      </c>
      <c r="B2721" t="s">
        <v>11</v>
      </c>
      <c r="C2721">
        <f>113776671875/10^6</f>
      </c>
      <c r="D2721">
        <f>0</f>
      </c>
      <c r="E2721">
        <f>776209045/10^6</f>
      </c>
      <c r="F2721">
        <f>0</f>
      </c>
      <c r="G2721">
        <f>260398254/10^6</f>
      </c>
      <c r="H2721">
        <f>0</f>
      </c>
      <c r="I2721">
        <f>-43082218/10^6</f>
      </c>
      <c r="J2721">
        <f>0</f>
      </c>
    </row>
    <row r="2722">
      <c r="A2722" t="s">
        <v>2731</v>
      </c>
      <c r="B2722" t="s">
        <v>11</v>
      </c>
      <c r="C2722">
        <f>113536765625/10^6</f>
      </c>
      <c r="D2722">
        <f>0</f>
      </c>
      <c r="E2722">
        <f>777977356/10^6</f>
      </c>
      <c r="F2722">
        <f>0</f>
      </c>
      <c r="G2722">
        <f>260105133/10^6</f>
      </c>
      <c r="H2722">
        <f>0</f>
      </c>
      <c r="I2722">
        <f>-42358505/10^6</f>
      </c>
      <c r="J2722">
        <f>0</f>
      </c>
    </row>
    <row r="2723">
      <c r="A2723" t="s">
        <v>2732</v>
      </c>
      <c r="B2723" t="s">
        <v>11</v>
      </c>
      <c r="C2723">
        <f>113482539063/10^6</f>
      </c>
      <c r="D2723">
        <f>0</f>
      </c>
      <c r="E2723">
        <f>77518103/10^5</f>
      </c>
      <c r="F2723">
        <f>0</f>
      </c>
      <c r="G2723">
        <f>259875977/10^6</f>
      </c>
      <c r="H2723">
        <f>0</f>
      </c>
      <c r="I2723">
        <f>-41788361/10^6</f>
      </c>
      <c r="J2723">
        <f>0</f>
      </c>
    </row>
    <row r="2724">
      <c r="A2724" t="s">
        <v>2733</v>
      </c>
      <c r="B2724" t="s">
        <v>11</v>
      </c>
      <c r="C2724">
        <f>113759078125/10^6</f>
      </c>
      <c r="D2724">
        <f>0</f>
      </c>
      <c r="E2724">
        <f>771000488/10^6</f>
      </c>
      <c r="F2724">
        <f>0</f>
      </c>
      <c r="G2724">
        <f>259359528/10^6</f>
      </c>
      <c r="H2724">
        <f>0</f>
      </c>
      <c r="I2724">
        <f>-39958939/10^6</f>
      </c>
      <c r="J2724">
        <f>0</f>
      </c>
    </row>
    <row r="2725">
      <c r="A2725" t="s">
        <v>2734</v>
      </c>
      <c r="B2725" t="s">
        <v>11</v>
      </c>
      <c r="C2725">
        <f>11414409375/10^5</f>
      </c>
      <c r="D2725">
        <f>0</f>
      </c>
      <c r="E2725">
        <f>769262207/10^6</f>
      </c>
      <c r="F2725">
        <f>0</f>
      </c>
      <c r="G2725">
        <f>258590454/10^6</f>
      </c>
      <c r="H2725">
        <f>0</f>
      </c>
      <c r="I2725">
        <f>-37617245/10^6</f>
      </c>
      <c r="J2725">
        <f>0</f>
      </c>
    </row>
    <row r="2726">
      <c r="A2726" t="s">
        <v>2735</v>
      </c>
      <c r="B2726" t="s">
        <v>11</v>
      </c>
      <c r="C2726">
        <f>114489320313/10^6</f>
      </c>
      <c r="D2726">
        <f>0</f>
      </c>
      <c r="E2726">
        <f>769521179/10^6</f>
      </c>
      <c r="F2726">
        <f>0</f>
      </c>
      <c r="G2726">
        <f>258822998/10^6</f>
      </c>
      <c r="H2726">
        <f>0</f>
      </c>
      <c r="I2726">
        <f>-3704977/10^5</f>
      </c>
      <c r="J2726">
        <f>0</f>
      </c>
    </row>
    <row r="2727">
      <c r="A2727" t="s">
        <v>2736</v>
      </c>
      <c r="B2727" t="s">
        <v>11</v>
      </c>
      <c r="C2727">
        <f>1148101875/10^4</f>
      </c>
      <c r="D2727">
        <f>0</f>
      </c>
      <c r="E2727">
        <f>770408081/10^6</f>
      </c>
      <c r="F2727">
        <f>0</f>
      </c>
      <c r="G2727">
        <f>259864349/10^6</f>
      </c>
      <c r="H2727">
        <f>0</f>
      </c>
      <c r="I2727">
        <f>-37327297/10^6</f>
      </c>
      <c r="J2727">
        <f>0</f>
      </c>
    </row>
    <row r="2728">
      <c r="A2728" t="s">
        <v>2737</v>
      </c>
      <c r="B2728" t="s">
        <v>11</v>
      </c>
      <c r="C2728">
        <f>115109703125/10^6</f>
      </c>
      <c r="D2728">
        <f>0</f>
      </c>
      <c r="E2728">
        <f>770578857/10^6</f>
      </c>
      <c r="F2728">
        <f>0</f>
      </c>
      <c r="G2728">
        <f>260504303/10^6</f>
      </c>
      <c r="H2728">
        <f>0</f>
      </c>
      <c r="I2728">
        <f>-37229263/10^6</f>
      </c>
      <c r="J2728">
        <f>0</f>
      </c>
    </row>
    <row r="2729">
      <c r="A2729" t="s">
        <v>2738</v>
      </c>
      <c r="B2729" t="s">
        <v>11</v>
      </c>
      <c r="C2729">
        <f>115408125/10^3</f>
      </c>
      <c r="D2729">
        <f>0</f>
      </c>
      <c r="E2729">
        <f>770066467/10^6</f>
      </c>
      <c r="F2729">
        <f>0</f>
      </c>
      <c r="G2729">
        <f>261134216/10^6</f>
      </c>
      <c r="H2729">
        <f>0</f>
      </c>
      <c r="I2729">
        <f>-37169899/10^6</f>
      </c>
      <c r="J2729">
        <f>0</f>
      </c>
    </row>
    <row r="2730">
      <c r="A2730" t="s">
        <v>2739</v>
      </c>
      <c r="B2730" t="s">
        <v>11</v>
      </c>
      <c r="C2730">
        <f>115742859375/10^6</f>
      </c>
      <c r="D2730">
        <f>0</f>
      </c>
      <c r="E2730">
        <f>769318115/10^6</f>
      </c>
      <c r="F2730">
        <f>0</f>
      </c>
      <c r="G2730">
        <f>261909241/10^6</f>
      </c>
      <c r="H2730">
        <f>0</f>
      </c>
      <c r="I2730">
        <f>-37218075/10^6</f>
      </c>
      <c r="J2730">
        <f>0</f>
      </c>
    </row>
    <row r="2731">
      <c r="A2731" t="s">
        <v>2740</v>
      </c>
      <c r="B2731" t="s">
        <v>11</v>
      </c>
      <c r="C2731">
        <f>116118929688/10^6</f>
      </c>
      <c r="D2731">
        <f>0</f>
      </c>
      <c r="E2731">
        <f>768181274/10^6</f>
      </c>
      <c r="F2731">
        <f>0</f>
      </c>
      <c r="G2731">
        <f>262423096/10^6</f>
      </c>
      <c r="H2731">
        <f>0</f>
      </c>
      <c r="I2731">
        <f>-37139194/10^6</f>
      </c>
      <c r="J2731">
        <f>0</f>
      </c>
    </row>
    <row r="2732">
      <c r="A2732" t="s">
        <v>2741</v>
      </c>
      <c r="B2732" t="s">
        <v>11</v>
      </c>
      <c r="C2732">
        <f>116524109375/10^6</f>
      </c>
      <c r="D2732">
        <f>0</f>
      </c>
      <c r="E2732">
        <f>766953796/10^6</f>
      </c>
      <c r="F2732">
        <f>0</f>
      </c>
      <c r="G2732">
        <f>262946167/10^6</f>
      </c>
      <c r="H2732">
        <f>0</f>
      </c>
      <c r="I2732">
        <f>-36959187/10^6</f>
      </c>
      <c r="J2732">
        <f>0</f>
      </c>
    </row>
    <row r="2733">
      <c r="A2733" t="s">
        <v>2742</v>
      </c>
      <c r="B2733" t="s">
        <v>11</v>
      </c>
      <c r="C2733">
        <f>116952632813/10^6</f>
      </c>
      <c r="D2733">
        <f>0</f>
      </c>
      <c r="E2733">
        <f>765853271/10^6</f>
      </c>
      <c r="F2733">
        <f>0</f>
      </c>
      <c r="G2733">
        <f>263414825/10^6</f>
      </c>
      <c r="H2733">
        <f>0</f>
      </c>
      <c r="I2733">
        <f>-36826485/10^6</f>
      </c>
      <c r="J2733">
        <f>0</f>
      </c>
    </row>
    <row r="2734">
      <c r="A2734" t="s">
        <v>2743</v>
      </c>
      <c r="B2734" t="s">
        <v>11</v>
      </c>
      <c r="C2734">
        <f>117400742188/10^6</f>
      </c>
      <c r="D2734">
        <f>0</f>
      </c>
      <c r="E2734">
        <f>764335999/10^6</f>
      </c>
      <c r="F2734">
        <f>0</f>
      </c>
      <c r="G2734">
        <f>263938873/10^6</f>
      </c>
      <c r="H2734">
        <f>0</f>
      </c>
      <c r="I2734">
        <f>-3673296/10^5</f>
      </c>
      <c r="J2734">
        <f>0</f>
      </c>
    </row>
    <row r="2735">
      <c r="A2735" t="s">
        <v>2744</v>
      </c>
      <c r="B2735" t="s">
        <v>11</v>
      </c>
      <c r="C2735">
        <f>117875945313/10^6</f>
      </c>
      <c r="D2735">
        <f>0</f>
      </c>
      <c r="E2735">
        <f>761893433/10^6</f>
      </c>
      <c r="F2735">
        <f>0</f>
      </c>
      <c r="G2735">
        <f>264536957/10^6</f>
      </c>
      <c r="H2735">
        <f>0</f>
      </c>
      <c r="I2735">
        <f>-3665667/10^5</f>
      </c>
      <c r="J2735">
        <f>0</f>
      </c>
    </row>
    <row r="2736">
      <c r="A2736" t="s">
        <v>2745</v>
      </c>
      <c r="B2736" t="s">
        <v>11</v>
      </c>
      <c r="C2736">
        <f>118384859375/10^6</f>
      </c>
      <c r="D2736">
        <f>0</f>
      </c>
      <c r="E2736">
        <f>759073425/10^6</f>
      </c>
      <c r="F2736">
        <f>0</f>
      </c>
      <c r="G2736">
        <f>264848907/10^6</f>
      </c>
      <c r="H2736">
        <f>0</f>
      </c>
      <c r="I2736">
        <f>-36486149/10^6</f>
      </c>
      <c r="J2736">
        <f>0</f>
      </c>
    </row>
    <row r="2737">
      <c r="A2737" t="s">
        <v>2746</v>
      </c>
      <c r="B2737" t="s">
        <v>11</v>
      </c>
      <c r="C2737">
        <f>118890398438/10^6</f>
      </c>
      <c r="D2737">
        <f>0</f>
      </c>
      <c r="E2737">
        <f>756352112/10^6</f>
      </c>
      <c r="F2737">
        <f>0</f>
      </c>
      <c r="G2737">
        <f>265136078/10^6</f>
      </c>
      <c r="H2737">
        <f>0</f>
      </c>
      <c r="I2737">
        <f>-36138248/10^6</f>
      </c>
      <c r="J2737">
        <f>0</f>
      </c>
    </row>
    <row r="2738">
      <c r="A2738" t="s">
        <v>2747</v>
      </c>
      <c r="B2738" t="s">
        <v>11</v>
      </c>
      <c r="C2738">
        <f>119345578125/10^6</f>
      </c>
      <c r="D2738">
        <f>0</f>
      </c>
      <c r="E2738">
        <f>753552734/10^6</f>
      </c>
      <c r="F2738">
        <f>0</f>
      </c>
      <c r="G2738">
        <f>265382782/10^6</f>
      </c>
      <c r="H2738">
        <f>0</f>
      </c>
      <c r="I2738">
        <f>-35899742/10^6</f>
      </c>
      <c r="J2738">
        <f>0</f>
      </c>
    </row>
    <row r="2739">
      <c r="A2739" t="s">
        <v>2748</v>
      </c>
      <c r="B2739" t="s">
        <v>11</v>
      </c>
      <c r="C2739">
        <f>11974271875/10^5</f>
      </c>
      <c r="D2739">
        <f>0</f>
      </c>
      <c r="E2739">
        <f>750996826/10^6</f>
      </c>
      <c r="F2739">
        <f>0</f>
      </c>
      <c r="G2739">
        <f>26540451/10^5</f>
      </c>
      <c r="H2739">
        <f>0</f>
      </c>
      <c r="I2739">
        <f>-35827885/10^6</f>
      </c>
      <c r="J2739">
        <f>0</f>
      </c>
    </row>
    <row r="2740">
      <c r="A2740" t="s">
        <v>2749</v>
      </c>
      <c r="B2740" t="s">
        <v>11</v>
      </c>
      <c r="C2740">
        <f>120098648438/10^6</f>
      </c>
      <c r="D2740">
        <f>0</f>
      </c>
      <c r="E2740">
        <f>748792542/10^6</f>
      </c>
      <c r="F2740">
        <f>0</f>
      </c>
      <c r="G2740">
        <f>265426514/10^6</f>
      </c>
      <c r="H2740">
        <f>0</f>
      </c>
      <c r="I2740">
        <f>-35753593/10^6</f>
      </c>
      <c r="J2740">
        <f>0</f>
      </c>
    </row>
    <row r="2741">
      <c r="A2741" t="s">
        <v>2750</v>
      </c>
      <c r="B2741" t="s">
        <v>11</v>
      </c>
      <c r="C2741">
        <f>1204216875/10^4</f>
      </c>
      <c r="D2741">
        <f>0</f>
      </c>
      <c r="E2741">
        <f>746625/10^3</f>
      </c>
      <c r="F2741">
        <f>0</f>
      </c>
      <c r="G2741">
        <f>265417267/10^6</f>
      </c>
      <c r="H2741">
        <f>0</f>
      </c>
      <c r="I2741">
        <f>-35661243/10^6</f>
      </c>
      <c r="J2741">
        <f>0</f>
      </c>
    </row>
    <row r="2742">
      <c r="A2742" t="s">
        <v>2751</v>
      </c>
      <c r="B2742" t="s">
        <v>11</v>
      </c>
      <c r="C2742">
        <f>12068790625/10^5</f>
      </c>
      <c r="D2742">
        <f>0</f>
      </c>
      <c r="E2742">
        <f>744753845/10^6</f>
      </c>
      <c r="F2742">
        <f>0</f>
      </c>
      <c r="G2742">
        <f>26532486/10^5</f>
      </c>
      <c r="H2742">
        <f>0</f>
      </c>
      <c r="I2742">
        <f>-35499157/10^6</f>
      </c>
      <c r="J2742">
        <f>0</f>
      </c>
    </row>
    <row r="2743">
      <c r="A2743" t="s">
        <v>2752</v>
      </c>
      <c r="B2743" t="s">
        <v>11</v>
      </c>
      <c r="C2743">
        <f>1208788125/10^4</f>
      </c>
      <c r="D2743">
        <f>0</f>
      </c>
      <c r="E2743">
        <f>743426697/10^6</f>
      </c>
      <c r="F2743">
        <f>0</f>
      </c>
      <c r="G2743">
        <f>265263275/10^6</f>
      </c>
      <c r="H2743">
        <f>0</f>
      </c>
      <c r="I2743">
        <f>-35398937/10^6</f>
      </c>
      <c r="J2743">
        <f>0</f>
      </c>
    </row>
    <row r="2744">
      <c r="A2744" t="s">
        <v>2753</v>
      </c>
      <c r="B2744" t="s">
        <v>11</v>
      </c>
      <c r="C2744">
        <f>121018046875/10^6</f>
      </c>
      <c r="D2744">
        <f>0</f>
      </c>
      <c r="E2744">
        <f>742449402/10^6</f>
      </c>
      <c r="F2744">
        <f>0</f>
      </c>
      <c r="G2744">
        <f>265207062/10^6</f>
      </c>
      <c r="H2744">
        <f>0</f>
      </c>
      <c r="I2744">
        <f>-35504181/10^6</f>
      </c>
      <c r="J2744">
        <f>0</f>
      </c>
    </row>
    <row r="2745">
      <c r="A2745" t="s">
        <v>2754</v>
      </c>
      <c r="B2745" t="s">
        <v>11</v>
      </c>
      <c r="C2745">
        <f>121134039063/10^6</f>
      </c>
      <c r="D2745">
        <f>0</f>
      </c>
      <c r="E2745">
        <f>741607788/10^6</f>
      </c>
      <c r="F2745">
        <f>0</f>
      </c>
      <c r="G2745">
        <f>265142853/10^6</f>
      </c>
      <c r="H2745">
        <f>0</f>
      </c>
      <c r="I2745">
        <f>-35630329/10^6</f>
      </c>
      <c r="J2745">
        <f>0</f>
      </c>
    </row>
    <row r="2746">
      <c r="A2746" t="s">
        <v>2755</v>
      </c>
      <c r="B2746" t="s">
        <v>11</v>
      </c>
      <c r="C2746">
        <f>121224601563/10^6</f>
      </c>
      <c r="D2746">
        <f>0</f>
      </c>
      <c r="E2746">
        <f>740860718/10^6</f>
      </c>
      <c r="F2746">
        <f>0</f>
      </c>
      <c r="G2746">
        <f>265076263/10^6</f>
      </c>
      <c r="H2746">
        <f>0</f>
      </c>
      <c r="I2746">
        <f>-35686359/10^6</f>
      </c>
      <c r="J2746">
        <f>0</f>
      </c>
    </row>
    <row r="2747">
      <c r="A2747" t="s">
        <v>2756</v>
      </c>
      <c r="B2747" t="s">
        <v>11</v>
      </c>
      <c r="C2747">
        <f>12126590625/10^5</f>
      </c>
      <c r="D2747">
        <f>0</f>
      </c>
      <c r="E2747">
        <f>740312683/10^6</f>
      </c>
      <c r="F2747">
        <f>0</f>
      </c>
      <c r="G2747">
        <f>264998383/10^6</f>
      </c>
      <c r="H2747">
        <f>0</f>
      </c>
      <c r="I2747">
        <f>-35720036/10^6</f>
      </c>
      <c r="J2747">
        <f>0</f>
      </c>
    </row>
    <row r="2748">
      <c r="A2748" t="s">
        <v>2757</v>
      </c>
      <c r="B2748" t="s">
        <v>11</v>
      </c>
      <c r="C2748">
        <f>121242953125/10^6</f>
      </c>
      <c r="D2748">
        <f>0</f>
      </c>
      <c r="E2748">
        <f>740045044/10^6</f>
      </c>
      <c r="F2748">
        <f>0</f>
      </c>
      <c r="G2748">
        <f>264921967/10^6</f>
      </c>
      <c r="H2748">
        <f>0</f>
      </c>
      <c r="I2748">
        <f>-35777653/10^6</f>
      </c>
      <c r="J2748">
        <f>0</f>
      </c>
    </row>
    <row r="2749">
      <c r="A2749" t="s">
        <v>2758</v>
      </c>
      <c r="B2749" t="s">
        <v>11</v>
      </c>
      <c r="C2749">
        <f>1211591875/10^4</f>
      </c>
      <c r="D2749">
        <f>0</f>
      </c>
      <c r="E2749">
        <f>740112061/10^6</f>
      </c>
      <c r="F2749">
        <f>0</f>
      </c>
      <c r="G2749">
        <f>264787262/10^6</f>
      </c>
      <c r="H2749">
        <f>0</f>
      </c>
      <c r="I2749">
        <f>-35971233/10^6</f>
      </c>
      <c r="J2749">
        <f>0</f>
      </c>
    </row>
    <row r="2750">
      <c r="A2750" t="s">
        <v>2759</v>
      </c>
      <c r="B2750" t="s">
        <v>11</v>
      </c>
      <c r="C2750">
        <f>121028140625/10^6</f>
      </c>
      <c r="D2750">
        <f>0</f>
      </c>
      <c r="E2750">
        <f>74050824/10^5</f>
      </c>
      <c r="F2750">
        <f>0</f>
      </c>
      <c r="G2750">
        <f>264650024/10^6</f>
      </c>
      <c r="H2750">
        <f>0</f>
      </c>
      <c r="I2750">
        <f>-36188141/10^6</f>
      </c>
      <c r="J2750">
        <f>0</f>
      </c>
    </row>
    <row r="2751">
      <c r="A2751" t="s">
        <v>2760</v>
      </c>
      <c r="B2751" t="s">
        <v>11</v>
      </c>
      <c r="C2751">
        <f>120875101563/10^6</f>
      </c>
      <c r="D2751">
        <f>0</f>
      </c>
      <c r="E2751">
        <f>741040833/10^6</f>
      </c>
      <c r="F2751">
        <f>0</f>
      </c>
      <c r="G2751">
        <f>264516388/10^6</f>
      </c>
      <c r="H2751">
        <f>0</f>
      </c>
      <c r="I2751">
        <f>-363386/10^4</f>
      </c>
      <c r="J2751">
        <f>0</f>
      </c>
    </row>
    <row r="2752">
      <c r="A2752" t="s">
        <v>2761</v>
      </c>
      <c r="B2752" t="s">
        <v>11</v>
      </c>
      <c r="C2752">
        <f>12071584375/10^5</f>
      </c>
      <c r="D2752">
        <f>0</f>
      </c>
      <c r="E2752">
        <f>741695251/10^6</f>
      </c>
      <c r="F2752">
        <f>0</f>
      </c>
      <c r="G2752">
        <f>264286591/10^6</f>
      </c>
      <c r="H2752">
        <f>0</f>
      </c>
      <c r="I2752">
        <f>-36496124/10^6</f>
      </c>
      <c r="J2752">
        <f>0</f>
      </c>
    </row>
    <row r="2753">
      <c r="A2753" t="s">
        <v>2762</v>
      </c>
      <c r="B2753" t="s">
        <v>11</v>
      </c>
      <c r="C2753">
        <f>120540414063/10^6</f>
      </c>
      <c r="D2753">
        <f>0</f>
      </c>
      <c r="E2753">
        <f>742681519/10^6</f>
      </c>
      <c r="F2753">
        <f>0</f>
      </c>
      <c r="G2753">
        <f>264119476/10^6</f>
      </c>
      <c r="H2753">
        <f>0</f>
      </c>
      <c r="I2753">
        <f>-36658279/10^6</f>
      </c>
      <c r="J2753">
        <f>0</f>
      </c>
    </row>
    <row r="2754">
      <c r="A2754" t="s">
        <v>2763</v>
      </c>
      <c r="B2754" t="s">
        <v>11</v>
      </c>
      <c r="C2754">
        <f>12034878125/10^5</f>
      </c>
      <c r="D2754">
        <f>0</f>
      </c>
      <c r="E2754">
        <f>74388501/10^5</f>
      </c>
      <c r="F2754">
        <f>0</f>
      </c>
      <c r="G2754">
        <f>264079285/10^6</f>
      </c>
      <c r="H2754">
        <f>0</f>
      </c>
      <c r="I2754">
        <f>-36924072/10^6</f>
      </c>
      <c r="J2754">
        <f>0</f>
      </c>
    </row>
    <row r="2755">
      <c r="A2755" t="s">
        <v>2764</v>
      </c>
      <c r="B2755" t="s">
        <v>11</v>
      </c>
      <c r="C2755">
        <f>120157359375/10^6</f>
      </c>
      <c r="D2755">
        <f>0</f>
      </c>
      <c r="E2755">
        <f>745013855/10^6</f>
      </c>
      <c r="F2755">
        <f>0</f>
      </c>
      <c r="G2755">
        <f>264042664/10^6</f>
      </c>
      <c r="H2755">
        <f>0</f>
      </c>
      <c r="I2755">
        <f>-37196987/10^6</f>
      </c>
      <c r="J2755">
        <f>0</f>
      </c>
    </row>
    <row r="2756">
      <c r="A2756" t="s">
        <v>2765</v>
      </c>
      <c r="B2756" t="s">
        <v>11</v>
      </c>
      <c r="C2756">
        <f>119968375/10^3</f>
      </c>
      <c r="D2756">
        <f>0</f>
      </c>
      <c r="E2756">
        <f>746000244/10^6</f>
      </c>
      <c r="F2756">
        <f>0</f>
      </c>
      <c r="G2756">
        <f>263971375/10^6</f>
      </c>
      <c r="H2756">
        <f>0</f>
      </c>
      <c r="I2756">
        <f>-37465145/10^6</f>
      </c>
      <c r="J2756">
        <f>0</f>
      </c>
    </row>
    <row r="2757">
      <c r="A2757" t="s">
        <v>2766</v>
      </c>
      <c r="B2757" t="s">
        <v>11</v>
      </c>
      <c r="C2757">
        <f>119779601563/10^6</f>
      </c>
      <c r="D2757">
        <f>0</f>
      </c>
      <c r="E2757">
        <f>747004028/10^6</f>
      </c>
      <c r="F2757">
        <f>0</f>
      </c>
      <c r="G2757">
        <f>263862885/10^6</f>
      </c>
      <c r="H2757">
        <f>0</f>
      </c>
      <c r="I2757">
        <f>-37876377/10^6</f>
      </c>
      <c r="J2757">
        <f>0</f>
      </c>
    </row>
    <row r="2758">
      <c r="A2758" t="s">
        <v>2767</v>
      </c>
      <c r="B2758" t="s">
        <v>11</v>
      </c>
      <c r="C2758">
        <f>119603929688/10^6</f>
      </c>
      <c r="D2758">
        <f>0</f>
      </c>
      <c r="E2758">
        <f>748145508/10^6</f>
      </c>
      <c r="F2758">
        <f>0</f>
      </c>
      <c r="G2758">
        <f>263784241/10^6</f>
      </c>
      <c r="H2758">
        <f>0</f>
      </c>
      <c r="I2758">
        <f>-38199665/10^6</f>
      </c>
      <c r="J2758">
        <f>0</f>
      </c>
    </row>
    <row r="2759">
      <c r="A2759" t="s">
        <v>2768</v>
      </c>
      <c r="B2759" t="s">
        <v>11</v>
      </c>
      <c r="C2759">
        <f>11945959375/10^5</f>
      </c>
      <c r="D2759">
        <f>0</f>
      </c>
      <c r="E2759">
        <f>749321167/10^6</f>
      </c>
      <c r="F2759">
        <f>0</f>
      </c>
      <c r="G2759">
        <f>263744385/10^6</f>
      </c>
      <c r="H2759">
        <f>0</f>
      </c>
      <c r="I2759">
        <f>-3845121/10^5</f>
      </c>
      <c r="J2759">
        <f>0</f>
      </c>
    </row>
    <row r="2760">
      <c r="A2760" t="s">
        <v>2769</v>
      </c>
      <c r="B2760" t="s">
        <v>11</v>
      </c>
      <c r="C2760">
        <f>11933721875/10^5</f>
      </c>
      <c r="D2760">
        <f>0</f>
      </c>
      <c r="E2760">
        <f>750271118/10^6</f>
      </c>
      <c r="F2760">
        <f>0</f>
      </c>
      <c r="G2760">
        <f>263699219/10^6</f>
      </c>
      <c r="H2760">
        <f>0</f>
      </c>
      <c r="I2760">
        <f>-38721298/10^6</f>
      </c>
      <c r="J2760">
        <f>0</f>
      </c>
    </row>
    <row r="2761">
      <c r="A2761" t="s">
        <v>2770</v>
      </c>
      <c r="B2761" t="s">
        <v>11</v>
      </c>
      <c r="C2761">
        <f>119206148438/10^6</f>
      </c>
      <c r="D2761">
        <f>0</f>
      </c>
      <c r="E2761">
        <f>750988525/10^6</f>
      </c>
      <c r="F2761">
        <f>0</f>
      </c>
      <c r="G2761">
        <f>263654083/10^6</f>
      </c>
      <c r="H2761">
        <f>0</f>
      </c>
      <c r="I2761">
        <f>-3897039/10^5</f>
      </c>
      <c r="J2761">
        <f>0</f>
      </c>
    </row>
    <row r="2762">
      <c r="A2762" t="s">
        <v>2771</v>
      </c>
      <c r="B2762" t="s">
        <v>11</v>
      </c>
      <c r="C2762">
        <f>119063070313/10^6</f>
      </c>
      <c r="D2762">
        <f>0</f>
      </c>
      <c r="E2762">
        <f>751779114/10^6</f>
      </c>
      <c r="F2762">
        <f>0</f>
      </c>
      <c r="G2762">
        <f>263612488/10^6</f>
      </c>
      <c r="H2762">
        <f>0</f>
      </c>
      <c r="I2762">
        <f>-39301125/10^6</f>
      </c>
      <c r="J2762">
        <f>0</f>
      </c>
    </row>
    <row r="2763">
      <c r="A2763" t="s">
        <v>2772</v>
      </c>
      <c r="B2763" t="s">
        <v>11</v>
      </c>
      <c r="C2763">
        <f>118918789063/10^6</f>
      </c>
      <c r="D2763">
        <f>0</f>
      </c>
      <c r="E2763">
        <f>752557312/10^6</f>
      </c>
      <c r="F2763">
        <f>0</f>
      </c>
      <c r="G2763">
        <f>263571136/10^6</f>
      </c>
      <c r="H2763">
        <f>0</f>
      </c>
      <c r="I2763">
        <f>-39569012/10^6</f>
      </c>
      <c r="J2763">
        <f>0</f>
      </c>
    </row>
    <row r="2764">
      <c r="A2764" t="s">
        <v>2773</v>
      </c>
      <c r="B2764" t="s">
        <v>11</v>
      </c>
      <c r="C2764">
        <f>118778039063/10^6</f>
      </c>
      <c r="D2764">
        <f>0</f>
      </c>
      <c r="E2764">
        <f>753289795/10^6</f>
      </c>
      <c r="F2764">
        <f>0</f>
      </c>
      <c r="G2764">
        <f>263477783/10^6</f>
      </c>
      <c r="H2764">
        <f>0</f>
      </c>
      <c r="I2764">
        <f>-39778988/10^6</f>
      </c>
      <c r="J2764">
        <f>0</f>
      </c>
    </row>
    <row r="2765">
      <c r="A2765" t="s">
        <v>2774</v>
      </c>
      <c r="B2765" t="s">
        <v>11</v>
      </c>
      <c r="C2765">
        <f>118641835938/10^6</f>
      </c>
      <c r="D2765">
        <f>0</f>
      </c>
      <c r="E2765">
        <f>754247925/10^6</f>
      </c>
      <c r="F2765">
        <f>0</f>
      </c>
      <c r="G2765">
        <f>263369568/10^6</f>
      </c>
      <c r="H2765">
        <f>0</f>
      </c>
      <c r="I2765">
        <f>-40001476/10^6</f>
      </c>
      <c r="J2765">
        <f>0</f>
      </c>
    </row>
    <row r="2766">
      <c r="A2766" t="s">
        <v>2775</v>
      </c>
      <c r="B2766" t="s">
        <v>11</v>
      </c>
      <c r="C2766">
        <f>118496820313/10^6</f>
      </c>
      <c r="D2766">
        <f>0</f>
      </c>
      <c r="E2766">
        <f>755204956/10^6</f>
      </c>
      <c r="F2766">
        <f>0</f>
      </c>
      <c r="G2766">
        <f>263315399/10^6</f>
      </c>
      <c r="H2766">
        <f>0</f>
      </c>
      <c r="I2766">
        <f>-40206532/10^6</f>
      </c>
      <c r="J2766">
        <f>0</f>
      </c>
    </row>
    <row r="2767">
      <c r="A2767" t="s">
        <v>2776</v>
      </c>
      <c r="B2767" t="s">
        <v>11</v>
      </c>
      <c r="C2767">
        <f>1183435625/10^4</f>
      </c>
      <c r="D2767">
        <f>0</f>
      </c>
      <c r="E2767">
        <f>755999695/10^6</f>
      </c>
      <c r="F2767">
        <f>0</f>
      </c>
      <c r="G2767">
        <f>263261658/10^6</f>
      </c>
      <c r="H2767">
        <f>0</f>
      </c>
      <c r="I2767">
        <f>-40483101/10^6</f>
      </c>
      <c r="J2767">
        <f>0</f>
      </c>
    </row>
    <row r="2768">
      <c r="A2768" t="s">
        <v>2777</v>
      </c>
      <c r="B2768" t="s">
        <v>11</v>
      </c>
      <c r="C2768">
        <f>118195851563/10^6</f>
      </c>
      <c r="D2768">
        <f>0</f>
      </c>
      <c r="E2768">
        <f>756752502/10^6</f>
      </c>
      <c r="F2768">
        <f>0</f>
      </c>
      <c r="G2768">
        <f>263212158/10^6</f>
      </c>
      <c r="H2768">
        <f>0</f>
      </c>
      <c r="I2768">
        <f>-40706799/10^6</f>
      </c>
      <c r="J2768">
        <f>0</f>
      </c>
    </row>
    <row r="2769">
      <c r="A2769" t="s">
        <v>2778</v>
      </c>
      <c r="B2769" t="s">
        <v>11</v>
      </c>
      <c r="C2769">
        <f>118039046875/10^6</f>
      </c>
      <c r="D2769">
        <f>0</f>
      </c>
      <c r="E2769">
        <f>757599915/10^6</f>
      </c>
      <c r="F2769">
        <f>0</f>
      </c>
      <c r="G2769">
        <f>263199921/10^6</f>
      </c>
      <c r="H2769">
        <f>0</f>
      </c>
      <c r="I2769">
        <f>-40855953/10^6</f>
      </c>
      <c r="J2769">
        <f>0</f>
      </c>
    </row>
    <row r="2770">
      <c r="A2770" t="s">
        <v>2779</v>
      </c>
      <c r="B2770" t="s">
        <v>11</v>
      </c>
      <c r="C2770">
        <f>117862078125/10^6</f>
      </c>
      <c r="D2770">
        <f>0</f>
      </c>
      <c r="E2770">
        <f>758715088/10^6</f>
      </c>
      <c r="F2770">
        <f>0</f>
      </c>
      <c r="G2770">
        <f>263193848/10^6</f>
      </c>
      <c r="H2770">
        <f>0</f>
      </c>
      <c r="I2770">
        <f>-41004837/10^6</f>
      </c>
      <c r="J2770">
        <f>0</f>
      </c>
    </row>
    <row r="2771">
      <c r="A2771" t="s">
        <v>2780</v>
      </c>
      <c r="B2771" t="s">
        <v>11</v>
      </c>
      <c r="C2771">
        <f>117689585938/10^6</f>
      </c>
      <c r="D2771">
        <f>0</f>
      </c>
      <c r="E2771">
        <f>759871948/10^6</f>
      </c>
      <c r="F2771">
        <f>0</f>
      </c>
      <c r="G2771">
        <f>263157013/10^6</f>
      </c>
      <c r="H2771">
        <f>0</f>
      </c>
      <c r="I2771">
        <f>-41190784/10^6</f>
      </c>
      <c r="J2771">
        <f>0</f>
      </c>
    </row>
    <row r="2772">
      <c r="A2772" t="s">
        <v>2781</v>
      </c>
      <c r="B2772" t="s">
        <v>11</v>
      </c>
      <c r="C2772">
        <f>117526640625/10^6</f>
      </c>
      <c r="D2772">
        <f>0</f>
      </c>
      <c r="E2772">
        <f>760939697/10^6</f>
      </c>
      <c r="F2772">
        <f>0</f>
      </c>
      <c r="G2772">
        <f>26311203/10^5</f>
      </c>
      <c r="H2772">
        <f>0</f>
      </c>
      <c r="I2772">
        <f>-41452953/10^6</f>
      </c>
      <c r="J2772">
        <f>0</f>
      </c>
    </row>
    <row r="2773">
      <c r="A2773" t="s">
        <v>2782</v>
      </c>
      <c r="B2773" t="s">
        <v>11</v>
      </c>
      <c r="C2773">
        <f>117335882813/10^6</f>
      </c>
      <c r="D2773">
        <f>0</f>
      </c>
      <c r="E2773">
        <f>762063965/10^6</f>
      </c>
      <c r="F2773">
        <f>0</f>
      </c>
      <c r="G2773">
        <f>263057037/10^6</f>
      </c>
      <c r="H2773">
        <f>0</f>
      </c>
      <c r="I2773">
        <f>-416782/10^4</f>
      </c>
      <c r="J2773">
        <f>0</f>
      </c>
    </row>
    <row r="2774">
      <c r="A2774" t="s">
        <v>2783</v>
      </c>
      <c r="B2774" t="s">
        <v>11</v>
      </c>
      <c r="C2774">
        <f>11708071875/10^5</f>
      </c>
      <c r="D2774">
        <f>0</f>
      </c>
      <c r="E2774">
        <f>763385803/10^6</f>
      </c>
      <c r="F2774">
        <f>0</f>
      </c>
      <c r="G2774">
        <f>262949677/10^6</f>
      </c>
      <c r="H2774">
        <f>0</f>
      </c>
      <c r="I2774">
        <f>-41909252/10^6</f>
      </c>
      <c r="J2774">
        <f>0</f>
      </c>
    </row>
    <row r="2775">
      <c r="A2775" t="s">
        <v>2784</v>
      </c>
      <c r="B2775" t="s">
        <v>11</v>
      </c>
      <c r="C2775">
        <f>116736773438/10^6</f>
      </c>
      <c r="D2775">
        <f>0</f>
      </c>
      <c r="E2775">
        <f>765239502/10^6</f>
      </c>
      <c r="F2775">
        <f>0</f>
      </c>
      <c r="G2775">
        <f>26286087/10^5</f>
      </c>
      <c r="H2775">
        <f>0</f>
      </c>
      <c r="I2775">
        <f>-42119801/10^6</f>
      </c>
      <c r="J2775">
        <f>0</f>
      </c>
    </row>
    <row r="2776">
      <c r="A2776" t="s">
        <v>2785</v>
      </c>
      <c r="B2776" t="s">
        <v>11</v>
      </c>
      <c r="C2776">
        <f>1162840625/10^4</f>
      </c>
      <c r="D2776">
        <f>0</f>
      </c>
      <c r="E2776">
        <f>767607056/10^6</f>
      </c>
      <c r="F2776">
        <f>0</f>
      </c>
      <c r="G2776">
        <f>26264975/10^5</f>
      </c>
      <c r="H2776">
        <f>0</f>
      </c>
      <c r="I2776">
        <f>-42431587/10^6</f>
      </c>
      <c r="J2776">
        <f>0</f>
      </c>
    </row>
    <row r="2777">
      <c r="A2777" t="s">
        <v>2786</v>
      </c>
      <c r="B2777" t="s">
        <v>11</v>
      </c>
      <c r="C2777">
        <f>115728015625/10^6</f>
      </c>
      <c r="D2777">
        <f>0</f>
      </c>
      <c r="E2777">
        <f>77032135/10^5</f>
      </c>
      <c r="F2777">
        <f>0</f>
      </c>
      <c r="G2777">
        <f>262302979/10^6</f>
      </c>
      <c r="H2777">
        <f>0</f>
      </c>
      <c r="I2777">
        <f>-4303941/10^5</f>
      </c>
      <c r="J2777">
        <f>0</f>
      </c>
    </row>
    <row r="2778">
      <c r="A2778" t="s">
        <v>2787</v>
      </c>
      <c r="B2778" t="s">
        <v>11</v>
      </c>
      <c r="C2778">
        <f>115129796875/10^6</f>
      </c>
      <c r="D2778">
        <f>0</f>
      </c>
      <c r="E2778">
        <f>773346436/10^6</f>
      </c>
      <c r="F2778">
        <f>0</f>
      </c>
      <c r="G2778">
        <f>26201416/10^5</f>
      </c>
      <c r="H2778">
        <f>0</f>
      </c>
      <c r="I2778">
        <f>-43407909/10^6</f>
      </c>
      <c r="J2778">
        <f>0</f>
      </c>
    </row>
    <row r="2779">
      <c r="A2779" t="s">
        <v>2788</v>
      </c>
      <c r="B2779" t="s">
        <v>11</v>
      </c>
      <c r="C2779">
        <f>114623070313/10^6</f>
      </c>
      <c r="D2779">
        <f>0</f>
      </c>
      <c r="E2779">
        <f>775028198/10^6</f>
      </c>
      <c r="F2779">
        <f>0</f>
      </c>
      <c r="G2779">
        <f>261529938/10^6</f>
      </c>
      <c r="H2779">
        <f>0</f>
      </c>
      <c r="I2779">
        <f>-43555794/10^6</f>
      </c>
      <c r="J2779">
        <f>0</f>
      </c>
    </row>
    <row r="2780">
      <c r="A2780" t="s">
        <v>2789</v>
      </c>
      <c r="B2780" t="s">
        <v>11</v>
      </c>
      <c r="C2780">
        <f>11431178125/10^5</f>
      </c>
      <c r="D2780">
        <f>0</f>
      </c>
      <c r="E2780">
        <f>774360291/10^6</f>
      </c>
      <c r="F2780">
        <f>0</f>
      </c>
      <c r="G2780">
        <f>260978699/10^6</f>
      </c>
      <c r="H2780">
        <f>0</f>
      </c>
      <c r="I2780">
        <f>-43876492/10^6</f>
      </c>
      <c r="J2780">
        <f>0</f>
      </c>
    </row>
    <row r="2781">
      <c r="A2781" t="s">
        <v>2790</v>
      </c>
      <c r="B2781" t="s">
        <v>11</v>
      </c>
      <c r="C2781">
        <f>114091867188/10^6</f>
      </c>
      <c r="D2781">
        <f>0</f>
      </c>
      <c r="E2781">
        <f>774515076/10^6</f>
      </c>
      <c r="F2781">
        <f>0</f>
      </c>
      <c r="G2781">
        <f>260556244/10^6</f>
      </c>
      <c r="H2781">
        <f>0</f>
      </c>
      <c r="I2781">
        <f>-43491989/10^6</f>
      </c>
      <c r="J2781">
        <f>0</f>
      </c>
    </row>
    <row r="2782">
      <c r="A2782" t="s">
        <v>2791</v>
      </c>
      <c r="B2782" t="s">
        <v>11</v>
      </c>
      <c r="C2782">
        <f>113825726563/10^6</f>
      </c>
      <c r="D2782">
        <f>0</f>
      </c>
      <c r="E2782">
        <f>775583679/10^6</f>
      </c>
      <c r="F2782">
        <f>0</f>
      </c>
      <c r="G2782">
        <f>260099274/10^6</f>
      </c>
      <c r="H2782">
        <f>0</f>
      </c>
      <c r="I2782">
        <f>-42493305/10^6</f>
      </c>
      <c r="J2782">
        <f>0</f>
      </c>
    </row>
    <row r="2783">
      <c r="A2783" t="s">
        <v>2792</v>
      </c>
      <c r="B2783" t="s">
        <v>11</v>
      </c>
      <c r="C2783">
        <f>113592375/10^3</f>
      </c>
      <c r="D2783">
        <f>0</f>
      </c>
      <c r="E2783">
        <f>773466858/10^6</f>
      </c>
      <c r="F2783">
        <f>0</f>
      </c>
      <c r="G2783">
        <f>259713562/10^6</f>
      </c>
      <c r="H2783">
        <f>0</f>
      </c>
      <c r="I2783">
        <f>-41798893/10^6</f>
      </c>
      <c r="J2783">
        <f>0</f>
      </c>
    </row>
    <row r="2784">
      <c r="A2784" t="s">
        <v>2793</v>
      </c>
      <c r="B2784" t="s">
        <v>11</v>
      </c>
      <c r="C2784">
        <f>113514921875/10^6</f>
      </c>
      <c r="D2784">
        <f>0</f>
      </c>
      <c r="E2784">
        <f>770478271/10^6</f>
      </c>
      <c r="F2784">
        <f>0</f>
      </c>
      <c r="G2784">
        <f>258889954/10^6</f>
      </c>
      <c r="H2784">
        <f>0</f>
      </c>
      <c r="I2784">
        <f>-40506271/10^6</f>
      </c>
      <c r="J2784">
        <f>0</f>
      </c>
    </row>
    <row r="2785">
      <c r="A2785" t="s">
        <v>2794</v>
      </c>
      <c r="B2785" t="s">
        <v>11</v>
      </c>
      <c r="C2785">
        <f>113642476563/10^6</f>
      </c>
      <c r="D2785">
        <f>0</f>
      </c>
      <c r="E2785">
        <f>770049622/10^6</f>
      </c>
      <c r="F2785">
        <f>0</f>
      </c>
      <c r="G2785">
        <f>25780188/10^5</f>
      </c>
      <c r="H2785">
        <f>0</f>
      </c>
      <c r="I2785">
        <f>-38870968/10^6</f>
      </c>
      <c r="J2785">
        <f>0</f>
      </c>
    </row>
    <row r="2786">
      <c r="A2786" t="s">
        <v>2795</v>
      </c>
      <c r="B2786" t="s">
        <v>11</v>
      </c>
      <c r="C2786">
        <f>113935640625/10^6</f>
      </c>
      <c r="D2786">
        <f>0</f>
      </c>
      <c r="E2786">
        <f>769783447/10^6</f>
      </c>
      <c r="F2786">
        <f>0</f>
      </c>
      <c r="G2786">
        <f>257778259/10^6</f>
      </c>
      <c r="H2786">
        <f>0</f>
      </c>
      <c r="I2786">
        <f>-38335796/10^6</f>
      </c>
      <c r="J2786">
        <f>0</f>
      </c>
    </row>
    <row r="2787">
      <c r="A2787" t="s">
        <v>2796</v>
      </c>
      <c r="B2787" t="s">
        <v>11</v>
      </c>
      <c r="C2787">
        <f>114260890625/10^6</f>
      </c>
      <c r="D2787">
        <f>0</f>
      </c>
      <c r="E2787">
        <f>769173157/10^6</f>
      </c>
      <c r="F2787">
        <f>0</f>
      </c>
      <c r="G2787">
        <f>258325592/10^6</f>
      </c>
      <c r="H2787">
        <f>0</f>
      </c>
      <c r="I2787">
        <f>-38217438/10^6</f>
      </c>
      <c r="J2787">
        <f>0</f>
      </c>
    </row>
    <row r="2788">
      <c r="A2788" t="s">
        <v>2797</v>
      </c>
      <c r="B2788" t="s">
        <v>11</v>
      </c>
      <c r="C2788">
        <f>114575804688/10^6</f>
      </c>
      <c r="D2788">
        <f>0</f>
      </c>
      <c r="E2788">
        <f>769582642/10^6</f>
      </c>
      <c r="F2788">
        <f>0</f>
      </c>
      <c r="G2788">
        <f>258655243/10^6</f>
      </c>
      <c r="H2788">
        <f>0</f>
      </c>
      <c r="I2788">
        <f>-37955536/10^6</f>
      </c>
      <c r="J2788">
        <f>0</f>
      </c>
    </row>
    <row r="2789">
      <c r="A2789" t="s">
        <v>2798</v>
      </c>
      <c r="B2789" t="s">
        <v>11</v>
      </c>
      <c r="C2789">
        <f>114926179688/10^6</f>
      </c>
      <c r="D2789">
        <f>0</f>
      </c>
      <c r="E2789">
        <f>769869812/10^6</f>
      </c>
      <c r="F2789">
        <f>0</f>
      </c>
      <c r="G2789">
        <f>259518829/10^6</f>
      </c>
      <c r="H2789">
        <f>0</f>
      </c>
      <c r="I2789">
        <f>-37982616/10^6</f>
      </c>
      <c r="J2789">
        <f>0</f>
      </c>
    </row>
    <row r="2790">
      <c r="A2790" t="s">
        <v>2799</v>
      </c>
      <c r="B2790" t="s">
        <v>11</v>
      </c>
      <c r="C2790">
        <f>115309398438/10^6</f>
      </c>
      <c r="D2790">
        <f>0</f>
      </c>
      <c r="E2790">
        <f>769462952/10^6</f>
      </c>
      <c r="F2790">
        <f>0</f>
      </c>
      <c r="G2790">
        <f>260532745/10^6</f>
      </c>
      <c r="H2790">
        <f>0</f>
      </c>
      <c r="I2790">
        <f>-3809605/10^5</f>
      </c>
      <c r="J2790">
        <f>0</f>
      </c>
    </row>
    <row r="2791">
      <c r="A2791" t="s">
        <v>2800</v>
      </c>
      <c r="B2791" t="s">
        <v>11</v>
      </c>
      <c r="C2791">
        <f>115717257813/10^6</f>
      </c>
      <c r="D2791">
        <f>0</f>
      </c>
      <c r="E2791">
        <f>769011597/10^6</f>
      </c>
      <c r="F2791">
        <f>0</f>
      </c>
      <c r="G2791">
        <f>261228546/10^6</f>
      </c>
      <c r="H2791">
        <f>0</f>
      </c>
      <c r="I2791">
        <f>-38018559/10^6</f>
      </c>
      <c r="J2791">
        <f>0</f>
      </c>
    </row>
    <row r="2792">
      <c r="A2792" t="s">
        <v>2801</v>
      </c>
      <c r="B2792" t="s">
        <v>11</v>
      </c>
      <c r="C2792">
        <f>11615425/10^2</f>
      </c>
      <c r="D2792">
        <f>0</f>
      </c>
      <c r="E2792">
        <f>768144836/10^6</f>
      </c>
      <c r="F2792">
        <f>0</f>
      </c>
      <c r="G2792">
        <f>262140869/10^6</f>
      </c>
      <c r="H2792">
        <f>0</f>
      </c>
      <c r="I2792">
        <f>-3787957/10^5</f>
      </c>
      <c r="J2792">
        <f>0</f>
      </c>
    </row>
    <row r="2793">
      <c r="A2793" t="s">
        <v>2802</v>
      </c>
      <c r="B2793" t="s">
        <v>11</v>
      </c>
      <c r="C2793">
        <f>11662271875/10^5</f>
      </c>
      <c r="D2793">
        <f>0</f>
      </c>
      <c r="E2793">
        <f>766450562/10^6</f>
      </c>
      <c r="F2793">
        <f>0</f>
      </c>
      <c r="G2793">
        <f>262901154/10^6</f>
      </c>
      <c r="H2793">
        <f>0</f>
      </c>
      <c r="I2793">
        <f>-37763977/10^6</f>
      </c>
      <c r="J2793">
        <f>0</f>
      </c>
    </row>
    <row r="2794">
      <c r="A2794" t="s">
        <v>2803</v>
      </c>
      <c r="B2794" t="s">
        <v>11</v>
      </c>
      <c r="C2794">
        <f>117155382813/10^6</f>
      </c>
      <c r="D2794">
        <f>0</f>
      </c>
      <c r="E2794">
        <f>764418213/10^6</f>
      </c>
      <c r="F2794">
        <f>0</f>
      </c>
      <c r="G2794">
        <f>26346524/10^5</f>
      </c>
      <c r="H2794">
        <f>0</f>
      </c>
      <c r="I2794">
        <f>-37532806/10^6</f>
      </c>
      <c r="J2794">
        <f>0</f>
      </c>
    </row>
    <row r="2795">
      <c r="A2795" t="s">
        <v>2804</v>
      </c>
      <c r="B2795" t="s">
        <v>11</v>
      </c>
      <c r="C2795">
        <f>117779226563/10^6</f>
      </c>
      <c r="D2795">
        <f>0</f>
      </c>
      <c r="E2795">
        <f>762193542/10^6</f>
      </c>
      <c r="F2795">
        <f>0</f>
      </c>
      <c r="G2795">
        <f>264049286/10^6</f>
      </c>
      <c r="H2795">
        <f>0</f>
      </c>
      <c r="I2795">
        <f>-37290577/10^6</f>
      </c>
      <c r="J2795">
        <f>0</f>
      </c>
    </row>
    <row r="2796">
      <c r="A2796" t="s">
        <v>2805</v>
      </c>
      <c r="B2796" t="s">
        <v>11</v>
      </c>
      <c r="C2796">
        <f>118488140625/10^6</f>
      </c>
      <c r="D2796">
        <f>0</f>
      </c>
      <c r="E2796">
        <f>759301514/10^6</f>
      </c>
      <c r="F2796">
        <f>0</f>
      </c>
      <c r="G2796">
        <f>264588837/10^6</f>
      </c>
      <c r="H2796">
        <f>0</f>
      </c>
      <c r="I2796">
        <f>-37021805/10^6</f>
      </c>
      <c r="J2796">
        <f>0</f>
      </c>
    </row>
    <row r="2797">
      <c r="A2797" t="s">
        <v>2806</v>
      </c>
      <c r="B2797" t="s">
        <v>11</v>
      </c>
      <c r="C2797">
        <f>119260882813/10^6</f>
      </c>
      <c r="D2797">
        <f>0</f>
      </c>
      <c r="E2797">
        <f>755486755/10^6</f>
      </c>
      <c r="F2797">
        <f>0</f>
      </c>
      <c r="G2797">
        <f>265387268/10^6</f>
      </c>
      <c r="H2797">
        <f>0</f>
      </c>
      <c r="I2797">
        <f>-3662075/10^5</f>
      </c>
      <c r="J2797">
        <f>0</f>
      </c>
    </row>
    <row r="2798">
      <c r="A2798" t="s">
        <v>2807</v>
      </c>
      <c r="B2798" t="s">
        <v>11</v>
      </c>
      <c r="C2798">
        <f>120046039063/10^6</f>
      </c>
      <c r="D2798">
        <f>0</f>
      </c>
      <c r="E2798">
        <f>751123169/10^6</f>
      </c>
      <c r="F2798">
        <f>0</f>
      </c>
      <c r="G2798">
        <f>265961243/10^6</f>
      </c>
      <c r="H2798">
        <f>0</f>
      </c>
      <c r="I2798">
        <f>-36301773/10^6</f>
      </c>
      <c r="J2798">
        <f>0</f>
      </c>
    </row>
    <row r="2799">
      <c r="A2799" t="s">
        <v>2808</v>
      </c>
      <c r="B2799" t="s">
        <v>11</v>
      </c>
      <c r="C2799">
        <f>1207708125/10^4</f>
      </c>
      <c r="D2799">
        <f>0</f>
      </c>
      <c r="E2799">
        <f>746833008/10^6</f>
      </c>
      <c r="F2799">
        <f>0</f>
      </c>
      <c r="G2799">
        <f>266102539/10^6</f>
      </c>
      <c r="H2799">
        <f>0</f>
      </c>
      <c r="I2799">
        <f>-3586985/10^5</f>
      </c>
      <c r="J2799">
        <f>0</f>
      </c>
    </row>
    <row r="2800">
      <c r="A2800" t="s">
        <v>2809</v>
      </c>
      <c r="B2800" t="s">
        <v>11</v>
      </c>
      <c r="C2800">
        <f>121362335938/10^6</f>
      </c>
      <c r="D2800">
        <f>0</f>
      </c>
      <c r="E2800">
        <f>743113953/10^6</f>
      </c>
      <c r="F2800">
        <f>0</f>
      </c>
      <c r="G2800">
        <f>266290405/10^6</f>
      </c>
      <c r="H2800">
        <f>0</f>
      </c>
      <c r="I2800">
        <f>-35355438/10^6</f>
      </c>
      <c r="J2800">
        <f>0</f>
      </c>
    </row>
    <row r="2801">
      <c r="A2801" t="s">
        <v>2810</v>
      </c>
      <c r="B2801" t="s">
        <v>11</v>
      </c>
      <c r="C2801">
        <f>121771859375/10^6</f>
      </c>
      <c r="D2801">
        <f>0</f>
      </c>
      <c r="E2801">
        <f>740297241/10^6</f>
      </c>
      <c r="F2801">
        <f>0</f>
      </c>
      <c r="G2801">
        <f>266317535/10^6</f>
      </c>
      <c r="H2801">
        <f>0</f>
      </c>
      <c r="I2801">
        <f>-3513625/10^5</f>
      </c>
      <c r="J2801">
        <f>0</f>
      </c>
    </row>
    <row r="2802">
      <c r="A2802" t="s">
        <v>2811</v>
      </c>
      <c r="B2802" t="s">
        <v>11</v>
      </c>
      <c r="C2802">
        <f>122001742188/10^6</f>
      </c>
      <c r="D2802">
        <f>0</f>
      </c>
      <c r="E2802">
        <f>738251526/10^6</f>
      </c>
      <c r="F2802">
        <f>0</f>
      </c>
      <c r="G2802">
        <f>266197388/10^6</f>
      </c>
      <c r="H2802">
        <f>0</f>
      </c>
      <c r="I2802">
        <f>-34944645/10^6</f>
      </c>
      <c r="J2802">
        <f>0</f>
      </c>
    </row>
    <row r="2803">
      <c r="A2803" t="s">
        <v>2812</v>
      </c>
      <c r="B2803" t="s">
        <v>11</v>
      </c>
      <c r="C2803">
        <f>122098117188/10^6</f>
      </c>
      <c r="D2803">
        <f>0</f>
      </c>
      <c r="E2803">
        <f>73675/10^2</f>
      </c>
      <c r="F2803">
        <f>0</f>
      </c>
      <c r="G2803">
        <f>266108124/10^6</f>
      </c>
      <c r="H2803">
        <f>0</f>
      </c>
      <c r="I2803">
        <f>-34790329/10^6</f>
      </c>
      <c r="J2803">
        <f>0</f>
      </c>
    </row>
    <row r="2804">
      <c r="A2804" t="s">
        <v>2813</v>
      </c>
      <c r="B2804" t="s">
        <v>11</v>
      </c>
      <c r="C2804">
        <f>122125039063/10^6</f>
      </c>
      <c r="D2804">
        <f>0</f>
      </c>
      <c r="E2804">
        <f>735960388/10^6</f>
      </c>
      <c r="F2804">
        <f>0</f>
      </c>
      <c r="G2804">
        <f>265781952/10^6</f>
      </c>
      <c r="H2804">
        <f>0</f>
      </c>
      <c r="I2804">
        <f>-34944805/10^6</f>
      </c>
      <c r="J2804">
        <f>0</f>
      </c>
    </row>
    <row r="2805">
      <c r="A2805" t="s">
        <v>2814</v>
      </c>
      <c r="B2805" t="s">
        <v>11</v>
      </c>
      <c r="C2805">
        <f>122119101563/10^6</f>
      </c>
      <c r="D2805">
        <f>0</f>
      </c>
      <c r="E2805">
        <f>735723206/10^6</f>
      </c>
      <c r="F2805">
        <f>0</f>
      </c>
      <c r="G2805">
        <f>265398071/10^6</f>
      </c>
      <c r="H2805">
        <f>0</f>
      </c>
      <c r="I2805">
        <f>-35124249/10^6</f>
      </c>
      <c r="J2805">
        <f>0</f>
      </c>
    </row>
    <row r="2806">
      <c r="A2806" t="s">
        <v>2815</v>
      </c>
      <c r="B2806" t="s">
        <v>11</v>
      </c>
      <c r="C2806">
        <f>122066765625/10^6</f>
      </c>
      <c r="D2806">
        <f>0</f>
      </c>
      <c r="E2806">
        <f>735513184/10^6</f>
      </c>
      <c r="F2806">
        <f>0</f>
      </c>
      <c r="G2806">
        <f>265145844/10^6</f>
      </c>
      <c r="H2806">
        <f>0</f>
      </c>
      <c r="I2806">
        <f>-35285061/10^6</f>
      </c>
      <c r="J2806">
        <f>0</f>
      </c>
    </row>
    <row r="2807">
      <c r="A2807" t="s">
        <v>2816</v>
      </c>
      <c r="B2807" t="s">
        <v>11</v>
      </c>
      <c r="C2807">
        <f>12192175/10^2</f>
      </c>
      <c r="D2807">
        <f>0</f>
      </c>
      <c r="E2807">
        <f>735426208/10^6</f>
      </c>
      <c r="F2807">
        <f>0</f>
      </c>
      <c r="G2807">
        <f>264873047/10^6</f>
      </c>
      <c r="H2807">
        <f>0</f>
      </c>
      <c r="I2807">
        <f>-35499729/10^6</f>
      </c>
      <c r="J2807">
        <f>0</f>
      </c>
    </row>
    <row r="2808">
      <c r="A2808" t="s">
        <v>2817</v>
      </c>
      <c r="B2808" t="s">
        <v>11</v>
      </c>
      <c r="C2808">
        <f>121650320313/10^6</f>
      </c>
      <c r="D2808">
        <f>0</f>
      </c>
      <c r="E2808">
        <f>735992432/10^6</f>
      </c>
      <c r="F2808">
        <f>0</f>
      </c>
      <c r="G2808">
        <f>264619659/10^6</f>
      </c>
      <c r="H2808">
        <f>0</f>
      </c>
      <c r="I2808">
        <f>-35722412/10^6</f>
      </c>
      <c r="J2808">
        <f>0</f>
      </c>
    </row>
    <row r="2809">
      <c r="A2809" t="s">
        <v>2818</v>
      </c>
      <c r="B2809" t="s">
        <v>11</v>
      </c>
      <c r="C2809">
        <f>12128340625/10^5</f>
      </c>
      <c r="D2809">
        <f>0</f>
      </c>
      <c r="E2809">
        <f>737322449/10^6</f>
      </c>
      <c r="F2809">
        <f>0</f>
      </c>
      <c r="G2809">
        <f>264216217/10^6</f>
      </c>
      <c r="H2809">
        <f>0</f>
      </c>
      <c r="I2809">
        <f>-36168018/10^6</f>
      </c>
      <c r="J2809">
        <f>0</f>
      </c>
    </row>
    <row r="2810">
      <c r="A2810" t="s">
        <v>2819</v>
      </c>
      <c r="B2810" t="s">
        <v>11</v>
      </c>
      <c r="C2810">
        <f>120873695313/10^6</f>
      </c>
      <c r="D2810">
        <f>0</f>
      </c>
      <c r="E2810">
        <f>739300293/10^6</f>
      </c>
      <c r="F2810">
        <f>0</f>
      </c>
      <c r="G2810">
        <f>263742615/10^6</f>
      </c>
      <c r="H2810">
        <f>0</f>
      </c>
      <c r="I2810">
        <f>-36625748/10^6</f>
      </c>
      <c r="J2810">
        <f>0</f>
      </c>
    </row>
    <row r="2811">
      <c r="A2811" t="s">
        <v>2820</v>
      </c>
      <c r="B2811" t="s">
        <v>11</v>
      </c>
      <c r="C2811">
        <f>120417117188/10^6</f>
      </c>
      <c r="D2811">
        <f>0</f>
      </c>
      <c r="E2811">
        <f>741802063/10^6</f>
      </c>
      <c r="F2811">
        <f>0</f>
      </c>
      <c r="G2811">
        <f>263500885/10^6</f>
      </c>
      <c r="H2811">
        <f>0</f>
      </c>
      <c r="I2811">
        <f>-37126347/10^6</f>
      </c>
      <c r="J2811">
        <f>0</f>
      </c>
    </row>
    <row r="2812">
      <c r="A2812" t="s">
        <v>2821</v>
      </c>
      <c r="B2812" t="s">
        <v>11</v>
      </c>
      <c r="C2812">
        <f>119913015625/10^6</f>
      </c>
      <c r="D2812">
        <f>0</f>
      </c>
      <c r="E2812">
        <f>744525085/10^6</f>
      </c>
      <c r="F2812">
        <f>0</f>
      </c>
      <c r="G2812">
        <f>263335114/10^6</f>
      </c>
      <c r="H2812">
        <f>0</f>
      </c>
      <c r="I2812">
        <f>-37863869/10^6</f>
      </c>
      <c r="J2812">
        <f>0</f>
      </c>
    </row>
    <row r="2813">
      <c r="A2813" t="s">
        <v>2822</v>
      </c>
      <c r="B2813" t="s">
        <v>11</v>
      </c>
      <c r="C2813">
        <f>119386195313/10^6</f>
      </c>
      <c r="D2813">
        <f>0</f>
      </c>
      <c r="E2813">
        <f>747381348/10^6</f>
      </c>
      <c r="F2813">
        <f>0</f>
      </c>
      <c r="G2813">
        <f>263135193/10^6</f>
      </c>
      <c r="H2813">
        <f>0</f>
      </c>
      <c r="I2813">
        <f>-38492435/10^6</f>
      </c>
      <c r="J2813">
        <f>0</f>
      </c>
    </row>
    <row r="2814">
      <c r="A2814" t="s">
        <v>2823</v>
      </c>
      <c r="B2814" t="s">
        <v>11</v>
      </c>
      <c r="C2814">
        <f>118795671875/10^6</f>
      </c>
      <c r="D2814">
        <f>0</f>
      </c>
      <c r="E2814">
        <f>750588318/10^6</f>
      </c>
      <c r="F2814">
        <f>0</f>
      </c>
      <c r="G2814">
        <f>262864288/10^6</f>
      </c>
      <c r="H2814">
        <f>0</f>
      </c>
      <c r="I2814">
        <f>-3925499/10^5</f>
      </c>
      <c r="J2814">
        <f>0</f>
      </c>
    </row>
    <row r="2815">
      <c r="A2815" t="s">
        <v>2824</v>
      </c>
      <c r="B2815" t="s">
        <v>11</v>
      </c>
      <c r="C2815">
        <f>118091375/10^3</f>
      </c>
      <c r="D2815">
        <f>0</f>
      </c>
      <c r="E2815">
        <f>754215637/10^6</f>
      </c>
      <c r="F2815">
        <f>0</f>
      </c>
      <c r="G2815">
        <f>262587402/10^6</f>
      </c>
      <c r="H2815">
        <f>0</f>
      </c>
      <c r="I2815">
        <f>-40030487/10^6</f>
      </c>
      <c r="J2815">
        <f>0</f>
      </c>
    </row>
    <row r="2816">
      <c r="A2816" t="s">
        <v>2825</v>
      </c>
      <c r="B2816" t="s">
        <v>11</v>
      </c>
      <c r="C2816">
        <f>117304578125/10^6</f>
      </c>
      <c r="D2816">
        <f>0</f>
      </c>
      <c r="E2816">
        <f>758615356/10^6</f>
      </c>
      <c r="F2816">
        <f>0</f>
      </c>
      <c r="G2816">
        <f>262255676/10^6</f>
      </c>
      <c r="H2816">
        <f>0</f>
      </c>
      <c r="I2816">
        <f>-40807308/10^6</f>
      </c>
      <c r="J2816">
        <f>0</f>
      </c>
    </row>
    <row r="2817">
      <c r="A2817" t="s">
        <v>2826</v>
      </c>
      <c r="B2817" t="s">
        <v>11</v>
      </c>
      <c r="C2817">
        <f>116445375/10^3</f>
      </c>
      <c r="D2817">
        <f>0</f>
      </c>
      <c r="E2817">
        <f>764237305/10^6</f>
      </c>
      <c r="F2817">
        <f>0</f>
      </c>
      <c r="G2817">
        <f>261893127/10^6</f>
      </c>
      <c r="H2817">
        <f>0</f>
      </c>
      <c r="I2817">
        <f>-42169441/10^6</f>
      </c>
      <c r="J2817">
        <f>0</f>
      </c>
    </row>
    <row r="2818">
      <c r="A2818" t="s">
        <v>2827</v>
      </c>
      <c r="B2818" t="s">
        <v>11</v>
      </c>
      <c r="C2818">
        <f>11550171875/10^5</f>
      </c>
      <c r="D2818">
        <f>0</f>
      </c>
      <c r="E2818">
        <f>769181274/10^6</f>
      </c>
      <c r="F2818">
        <f>0</f>
      </c>
      <c r="G2818">
        <f>261552826/10^6</f>
      </c>
      <c r="H2818">
        <f>0</f>
      </c>
      <c r="I2818">
        <f>-43064545/10^6</f>
      </c>
      <c r="J2818">
        <f>0</f>
      </c>
    </row>
    <row r="2819">
      <c r="A2819" t="s">
        <v>2828</v>
      </c>
      <c r="B2819" t="s">
        <v>11</v>
      </c>
      <c r="C2819">
        <f>114643828125/10^6</f>
      </c>
      <c r="D2819">
        <f>0</f>
      </c>
      <c r="E2819">
        <f>771346375/10^6</f>
      </c>
      <c r="F2819">
        <f>0</f>
      </c>
      <c r="G2819">
        <f>260545074/10^6</f>
      </c>
      <c r="H2819">
        <f>0</f>
      </c>
      <c r="I2819">
        <f>-43196995/10^6</f>
      </c>
      <c r="J2819">
        <f>0</f>
      </c>
    </row>
    <row r="2820">
      <c r="A2820" t="s">
        <v>2829</v>
      </c>
      <c r="B2820" t="s">
        <v>11</v>
      </c>
      <c r="C2820">
        <f>114059625/10^3</f>
      </c>
      <c r="D2820">
        <f>0</f>
      </c>
      <c r="E2820">
        <f>772764893/10^6</f>
      </c>
      <c r="F2820">
        <f>0</f>
      </c>
      <c r="G2820">
        <f>259286438/10^6</f>
      </c>
      <c r="H2820">
        <f>0</f>
      </c>
      <c r="I2820">
        <f>-43524521/10^6</f>
      </c>
      <c r="J2820">
        <f>0</f>
      </c>
    </row>
    <row r="2821">
      <c r="A2821" t="s">
        <v>2830</v>
      </c>
      <c r="B2821" t="s">
        <v>11</v>
      </c>
      <c r="C2821">
        <f>113661117188/10^6</f>
      </c>
      <c r="D2821">
        <f>0</f>
      </c>
      <c r="E2821">
        <f>773906799/10^6</f>
      </c>
      <c r="F2821">
        <f>0</f>
      </c>
      <c r="G2821">
        <f>258893707/10^6</f>
      </c>
      <c r="H2821">
        <f>0</f>
      </c>
      <c r="I2821">
        <f>-43112045/10^6</f>
      </c>
      <c r="J2821">
        <f>0</f>
      </c>
    </row>
    <row r="2822">
      <c r="A2822" t="s">
        <v>2831</v>
      </c>
      <c r="B2822" t="s">
        <v>11</v>
      </c>
      <c r="C2822">
        <f>113448820313/10^6</f>
      </c>
      <c r="D2822">
        <f>0</f>
      </c>
      <c r="E2822">
        <f>772104858/10^6</f>
      </c>
      <c r="F2822">
        <f>0</f>
      </c>
      <c r="G2822">
        <f>258910767/10^6</f>
      </c>
      <c r="H2822">
        <f>0</f>
      </c>
      <c r="I2822">
        <f>-41890873/10^6</f>
      </c>
      <c r="J2822">
        <f>0</f>
      </c>
    </row>
    <row r="2823">
      <c r="A2823" t="s">
        <v>2832</v>
      </c>
      <c r="B2823" t="s">
        <v>11</v>
      </c>
      <c r="C2823">
        <f>113641101563/10^6</f>
      </c>
      <c r="D2823">
        <f>0</f>
      </c>
      <c r="E2823">
        <f>768614624/10^6</f>
      </c>
      <c r="F2823">
        <f>0</f>
      </c>
      <c r="G2823">
        <f>258805389/10^6</f>
      </c>
      <c r="H2823">
        <f>0</f>
      </c>
      <c r="I2823">
        <f>-41071667/10^6</f>
      </c>
      <c r="J2823">
        <f>0</f>
      </c>
    </row>
    <row r="2824">
      <c r="A2824" t="s">
        <v>2833</v>
      </c>
      <c r="B2824" t="s">
        <v>11</v>
      </c>
      <c r="C2824">
        <f>114127929688/10^6</f>
      </c>
      <c r="D2824">
        <f>0</f>
      </c>
      <c r="E2824">
        <f>765872925/10^6</f>
      </c>
      <c r="F2824">
        <f>0</f>
      </c>
      <c r="G2824">
        <f>258361176/10^6</f>
      </c>
      <c r="H2824">
        <f>0</f>
      </c>
      <c r="I2824">
        <f>-39758736/10^6</f>
      </c>
      <c r="J2824">
        <f>0</f>
      </c>
    </row>
    <row r="2825">
      <c r="A2825" t="s">
        <v>2834</v>
      </c>
      <c r="B2825" t="s">
        <v>11</v>
      </c>
      <c r="C2825">
        <f>114591140625/10^6</f>
      </c>
      <c r="D2825">
        <f>0</f>
      </c>
      <c r="E2825">
        <f>76455304/10^5</f>
      </c>
      <c r="F2825">
        <f>0</f>
      </c>
      <c r="G2825">
        <f>257678528/10^6</f>
      </c>
      <c r="H2825">
        <f>0</f>
      </c>
      <c r="I2825">
        <f>-38052296/10^6</f>
      </c>
      <c r="J2825">
        <f>0</f>
      </c>
    </row>
    <row r="2826">
      <c r="A2826" t="s">
        <v>2835</v>
      </c>
      <c r="B2826" t="s">
        <v>11</v>
      </c>
      <c r="C2826">
        <f>11497515625/10^5</f>
      </c>
      <c r="D2826">
        <f>0</f>
      </c>
      <c r="E2826">
        <f>765222412/10^6</f>
      </c>
      <c r="F2826">
        <f>0</f>
      </c>
      <c r="G2826">
        <f>258061188/10^6</f>
      </c>
      <c r="H2826">
        <f>0</f>
      </c>
      <c r="I2826">
        <f>-37584927/10^6</f>
      </c>
      <c r="J2826">
        <f>0</f>
      </c>
    </row>
    <row r="2827">
      <c r="A2827" t="s">
        <v>2836</v>
      </c>
      <c r="B2827" t="s">
        <v>11</v>
      </c>
      <c r="C2827">
        <f>115332992188/10^6</f>
      </c>
      <c r="D2827">
        <f>0</f>
      </c>
      <c r="E2827">
        <f>766375488/10^6</f>
      </c>
      <c r="F2827">
        <f>0</f>
      </c>
      <c r="G2827">
        <f>259425842/10^6</f>
      </c>
      <c r="H2827">
        <f>0</f>
      </c>
      <c r="I2827">
        <f>-37747288/10^6</f>
      </c>
      <c r="J2827">
        <f>0</f>
      </c>
    </row>
    <row r="2828">
      <c r="A2828" t="s">
        <v>2837</v>
      </c>
      <c r="B2828" t="s">
        <v>11</v>
      </c>
      <c r="C2828">
        <f>115662523438/10^6</f>
      </c>
      <c r="D2828">
        <f>0</f>
      </c>
      <c r="E2828">
        <f>766268005/10^6</f>
      </c>
      <c r="F2828">
        <f>0</f>
      </c>
      <c r="G2828">
        <f>260279907/10^6</f>
      </c>
      <c r="H2828">
        <f>0</f>
      </c>
      <c r="I2828">
        <f>-37654533/10^6</f>
      </c>
      <c r="J2828">
        <f>0</f>
      </c>
    </row>
    <row r="2829">
      <c r="A2829" t="s">
        <v>2838</v>
      </c>
      <c r="B2829" t="s">
        <v>11</v>
      </c>
      <c r="C2829">
        <f>115956359375/10^6</f>
      </c>
      <c r="D2829">
        <f>0</f>
      </c>
      <c r="E2829">
        <f>765660156/10^6</f>
      </c>
      <c r="F2829">
        <f>0</f>
      </c>
      <c r="G2829">
        <f>260865784/10^6</f>
      </c>
      <c r="H2829">
        <f>0</f>
      </c>
      <c r="I2829">
        <f>-37614517/10^6</f>
      </c>
      <c r="J2829">
        <f>0</f>
      </c>
    </row>
    <row r="2830">
      <c r="A2830" t="s">
        <v>2839</v>
      </c>
      <c r="B2830" t="s">
        <v>11</v>
      </c>
      <c r="C2830">
        <f>116222851563/10^6</f>
      </c>
      <c r="D2830">
        <f>0</f>
      </c>
      <c r="E2830">
        <f>76554541/10^5</f>
      </c>
      <c r="F2830">
        <f>0</f>
      </c>
      <c r="G2830">
        <f>261571472/10^6</f>
      </c>
      <c r="H2830">
        <f>0</f>
      </c>
      <c r="I2830">
        <f>-37629494/10^6</f>
      </c>
      <c r="J2830">
        <f>0</f>
      </c>
    </row>
    <row r="2831">
      <c r="A2831" t="s">
        <v>2840</v>
      </c>
      <c r="B2831" t="s">
        <v>11</v>
      </c>
      <c r="C2831">
        <f>11650990625/10^5</f>
      </c>
      <c r="D2831">
        <f>0</f>
      </c>
      <c r="E2831">
        <f>765542908/10^6</f>
      </c>
      <c r="F2831">
        <f>0</f>
      </c>
      <c r="G2831">
        <f>262137299/10^6</f>
      </c>
      <c r="H2831">
        <f>0</f>
      </c>
      <c r="I2831">
        <f>-37606422/10^6</f>
      </c>
      <c r="J2831">
        <f>0</f>
      </c>
    </row>
    <row r="2832">
      <c r="A2832" t="s">
        <v>2841</v>
      </c>
      <c r="B2832" t="s">
        <v>11</v>
      </c>
      <c r="C2832">
        <f>116848210938/10^6</f>
      </c>
      <c r="D2832">
        <f>0</f>
      </c>
      <c r="E2832">
        <f>764924622/10^6</f>
      </c>
      <c r="F2832">
        <f>0</f>
      </c>
      <c r="G2832">
        <f>262811707/10^6</f>
      </c>
      <c r="H2832">
        <f>0</f>
      </c>
      <c r="I2832">
        <f>-37662189/10^6</f>
      </c>
      <c r="J2832">
        <f>0</f>
      </c>
    </row>
    <row r="2833">
      <c r="A2833" t="s">
        <v>2842</v>
      </c>
      <c r="B2833" t="s">
        <v>11</v>
      </c>
      <c r="C2833">
        <f>11724015625/10^5</f>
      </c>
      <c r="D2833">
        <f>0</f>
      </c>
      <c r="E2833">
        <f>763599426/10^6</f>
      </c>
      <c r="F2833">
        <f>0</f>
      </c>
      <c r="G2833">
        <f>263359161/10^6</f>
      </c>
      <c r="H2833">
        <f>0</f>
      </c>
      <c r="I2833">
        <f>-37652504/10^6</f>
      </c>
      <c r="J2833">
        <f>0</f>
      </c>
    </row>
    <row r="2834">
      <c r="A2834" t="s">
        <v>2843</v>
      </c>
      <c r="B2834" t="s">
        <v>11</v>
      </c>
      <c r="C2834">
        <f>117690796875/10^6</f>
      </c>
      <c r="D2834">
        <f>0</f>
      </c>
      <c r="E2834">
        <f>761722168/10^6</f>
      </c>
      <c r="F2834">
        <f>0</f>
      </c>
      <c r="G2834">
        <f>263809906/10^6</f>
      </c>
      <c r="H2834">
        <f>0</f>
      </c>
      <c r="I2834">
        <f>-37325294/10^6</f>
      </c>
      <c r="J2834">
        <f>0</f>
      </c>
    </row>
    <row r="2835">
      <c r="A2835" t="s">
        <v>2844</v>
      </c>
      <c r="B2835" t="s">
        <v>11</v>
      </c>
      <c r="C2835">
        <f>118155125/10^3</f>
      </c>
      <c r="D2835">
        <f>0</f>
      </c>
      <c r="E2835">
        <f>759393127/10^6</f>
      </c>
      <c r="F2835">
        <f>0</f>
      </c>
      <c r="G2835">
        <f>2643349/10^4</f>
      </c>
      <c r="H2835">
        <f>0</f>
      </c>
      <c r="I2835">
        <f>-3697876/10^5</f>
      </c>
      <c r="J2835">
        <f>0</f>
      </c>
    </row>
    <row r="2836">
      <c r="A2836" t="s">
        <v>2845</v>
      </c>
      <c r="B2836" t="s">
        <v>11</v>
      </c>
      <c r="C2836">
        <f>118589421875/10^6</f>
      </c>
      <c r="D2836">
        <f>0</f>
      </c>
      <c r="E2836">
        <f>756910034/10^6</f>
      </c>
      <c r="F2836">
        <f>0</f>
      </c>
      <c r="G2836">
        <f>264595032/10^6</f>
      </c>
      <c r="H2836">
        <f>0</f>
      </c>
      <c r="I2836">
        <f>-36728836/10^6</f>
      </c>
      <c r="J2836">
        <f>0</f>
      </c>
    </row>
    <row r="2837">
      <c r="A2837" t="s">
        <v>2846</v>
      </c>
      <c r="B2837" t="s">
        <v>11</v>
      </c>
      <c r="C2837">
        <f>11900384375/10^5</f>
      </c>
      <c r="D2837">
        <f>0</f>
      </c>
      <c r="E2837">
        <f>754504944/10^6</f>
      </c>
      <c r="F2837">
        <f>0</f>
      </c>
      <c r="G2837">
        <f>264787201/10^6</f>
      </c>
      <c r="H2837">
        <f>0</f>
      </c>
      <c r="I2837">
        <f>-36275864/10^6</f>
      </c>
      <c r="J2837">
        <f>0</f>
      </c>
    </row>
    <row r="2838">
      <c r="A2838" t="s">
        <v>2847</v>
      </c>
      <c r="B2838" t="s">
        <v>11</v>
      </c>
      <c r="C2838">
        <f>1193585/10^1</f>
      </c>
      <c r="D2838">
        <f>0</f>
      </c>
      <c r="E2838">
        <f>752306091/10^6</f>
      </c>
      <c r="F2838">
        <f>0</f>
      </c>
      <c r="G2838">
        <f>264963104/10^6</f>
      </c>
      <c r="H2838">
        <f>0</f>
      </c>
      <c r="I2838">
        <f>-35969746/10^6</f>
      </c>
      <c r="J2838">
        <f>0</f>
      </c>
    </row>
    <row r="2839">
      <c r="A2839" t="s">
        <v>2848</v>
      </c>
      <c r="B2839" t="s">
        <v>11</v>
      </c>
      <c r="C2839">
        <f>119598179688/10^6</f>
      </c>
      <c r="D2839">
        <f>0</f>
      </c>
      <c r="E2839">
        <f>750605713/10^6</f>
      </c>
      <c r="F2839">
        <f>0</f>
      </c>
      <c r="G2839">
        <f>26493219/10^5</f>
      </c>
      <c r="H2839">
        <f>0</f>
      </c>
      <c r="I2839">
        <f>-3604974/10^5</f>
      </c>
      <c r="J2839">
        <f>0</f>
      </c>
    </row>
    <row r="2840">
      <c r="A2840" t="s">
        <v>2849</v>
      </c>
      <c r="B2840" t="s">
        <v>11</v>
      </c>
      <c r="C2840">
        <f>119750257813/10^6</f>
      </c>
      <c r="D2840">
        <f>0</f>
      </c>
      <c r="E2840">
        <f>749551941/10^6</f>
      </c>
      <c r="F2840">
        <f>0</f>
      </c>
      <c r="G2840">
        <f>26488681/10^5</f>
      </c>
      <c r="H2840">
        <f>0</f>
      </c>
      <c r="I2840">
        <f>-36122875/10^6</f>
      </c>
      <c r="J2840">
        <f>0</f>
      </c>
    </row>
    <row r="2841">
      <c r="A2841" t="s">
        <v>2850</v>
      </c>
      <c r="B2841" t="s">
        <v>11</v>
      </c>
      <c r="C2841">
        <f>119849226563/10^6</f>
      </c>
      <c r="D2841">
        <f>0</f>
      </c>
      <c r="E2841">
        <f>748852966/10^6</f>
      </c>
      <c r="F2841">
        <f>0</f>
      </c>
      <c r="G2841">
        <f>264853851/10^6</f>
      </c>
      <c r="H2841">
        <f>0</f>
      </c>
      <c r="I2841">
        <f>-36195545/10^6</f>
      </c>
      <c r="J2841">
        <f>0</f>
      </c>
    </row>
    <row r="2842">
      <c r="A2842" t="s">
        <v>2851</v>
      </c>
      <c r="B2842" t="s">
        <v>11</v>
      </c>
      <c r="C2842">
        <f>119912007813/10^6</f>
      </c>
      <c r="D2842">
        <f>0</f>
      </c>
      <c r="E2842">
        <f>748221069/10^6</f>
      </c>
      <c r="F2842">
        <f>0</f>
      </c>
      <c r="G2842">
        <f>264776642/10^6</f>
      </c>
      <c r="H2842">
        <f>0</f>
      </c>
      <c r="I2842">
        <f>-36403004/10^6</f>
      </c>
      <c r="J2842">
        <f>0</f>
      </c>
    </row>
    <row r="2843">
      <c r="A2843" t="s">
        <v>2852</v>
      </c>
      <c r="B2843" t="s">
        <v>11</v>
      </c>
      <c r="C2843">
        <f>1199710625/10^4</f>
      </c>
      <c r="D2843">
        <f>0</f>
      </c>
      <c r="E2843">
        <f>747705505/10^6</f>
      </c>
      <c r="F2843">
        <f>0</f>
      </c>
      <c r="G2843">
        <f>264705383/10^6</f>
      </c>
      <c r="H2843">
        <f>0</f>
      </c>
      <c r="I2843">
        <f>-3655204/10^5</f>
      </c>
      <c r="J2843">
        <f>0</f>
      </c>
    </row>
    <row r="2844">
      <c r="A2844" t="s">
        <v>2853</v>
      </c>
      <c r="B2844" t="s">
        <v>11</v>
      </c>
      <c r="C2844">
        <f>120021742188/10^6</f>
      </c>
      <c r="D2844">
        <f>0</f>
      </c>
      <c r="E2844">
        <f>747271606/10^6</f>
      </c>
      <c r="F2844">
        <f>0</f>
      </c>
      <c r="G2844">
        <f>264612701/10^6</f>
      </c>
      <c r="H2844">
        <f>0</f>
      </c>
      <c r="I2844">
        <f>-36612404/10^6</f>
      </c>
      <c r="J2844">
        <f>0</f>
      </c>
    </row>
    <row r="2845">
      <c r="A2845" t="s">
        <v>2854</v>
      </c>
      <c r="B2845" t="s">
        <v>11</v>
      </c>
      <c r="C2845">
        <f>12001075/10^2</f>
      </c>
      <c r="D2845">
        <f>0</f>
      </c>
      <c r="E2845">
        <f>746881287/10^6</f>
      </c>
      <c r="F2845">
        <f>0</f>
      </c>
      <c r="G2845">
        <f>264532776/10^6</f>
      </c>
      <c r="H2845">
        <f>0</f>
      </c>
      <c r="I2845">
        <f>-36671494/10^6</f>
      </c>
      <c r="J2845">
        <f>0</f>
      </c>
    </row>
    <row r="2846">
      <c r="A2846" t="s">
        <v>2855</v>
      </c>
      <c r="B2846" t="s">
        <v>11</v>
      </c>
      <c r="C2846">
        <f>119902953125/10^6</f>
      </c>
      <c r="D2846">
        <f>0</f>
      </c>
      <c r="E2846">
        <f>74686322/10^5</f>
      </c>
      <c r="F2846">
        <f>0</f>
      </c>
      <c r="G2846">
        <f>264381317/10^6</f>
      </c>
      <c r="H2846">
        <f>0</f>
      </c>
      <c r="I2846">
        <f>-36803005/10^6</f>
      </c>
      <c r="J2846">
        <f>0</f>
      </c>
    </row>
    <row r="2847">
      <c r="A2847" t="s">
        <v>2856</v>
      </c>
      <c r="B2847" t="s">
        <v>11</v>
      </c>
      <c r="C2847">
        <f>119723554688/10^6</f>
      </c>
      <c r="D2847">
        <f>0</f>
      </c>
      <c r="E2847">
        <f>747384338/10^6</f>
      </c>
      <c r="F2847">
        <f>0</f>
      </c>
      <c r="G2847">
        <f>264098145/10^6</f>
      </c>
      <c r="H2847">
        <f>0</f>
      </c>
      <c r="I2847">
        <f>-36959892/10^6</f>
      </c>
      <c r="J2847">
        <f>0</f>
      </c>
    </row>
    <row r="2848">
      <c r="A2848" t="s">
        <v>2857</v>
      </c>
      <c r="B2848" t="s">
        <v>11</v>
      </c>
      <c r="C2848">
        <f>11951746875/10^5</f>
      </c>
      <c r="D2848">
        <f>0</f>
      </c>
      <c r="E2848">
        <f>748275269/10^6</f>
      </c>
      <c r="F2848">
        <f>0</f>
      </c>
      <c r="G2848">
        <f>263897156/10^6</f>
      </c>
      <c r="H2848">
        <f>0</f>
      </c>
      <c r="I2848">
        <f>-37111286/10^6</f>
      </c>
      <c r="J2848">
        <f>0</f>
      </c>
    </row>
    <row r="2849">
      <c r="A2849" t="s">
        <v>2858</v>
      </c>
      <c r="B2849" t="s">
        <v>11</v>
      </c>
      <c r="C2849">
        <f>11929453125/10^5</f>
      </c>
      <c r="D2849">
        <f>0</f>
      </c>
      <c r="E2849">
        <f>749492554/10^6</f>
      </c>
      <c r="F2849">
        <f>0</f>
      </c>
      <c r="G2849">
        <f>263718628/10^6</f>
      </c>
      <c r="H2849">
        <f>0</f>
      </c>
      <c r="I2849">
        <f>-37510818/10^6</f>
      </c>
      <c r="J2849">
        <f>0</f>
      </c>
    </row>
    <row r="2850">
      <c r="A2850" t="s">
        <v>2859</v>
      </c>
      <c r="B2850" t="s">
        <v>11</v>
      </c>
      <c r="C2850">
        <f>119063265625/10^6</f>
      </c>
      <c r="D2850">
        <f>0</f>
      </c>
      <c r="E2850">
        <f>750878174/10^6</f>
      </c>
      <c r="F2850">
        <f>0</f>
      </c>
      <c r="G2850">
        <f>263491547/10^6</f>
      </c>
      <c r="H2850">
        <f>0</f>
      </c>
      <c r="I2850">
        <f>-37970554/10^6</f>
      </c>
      <c r="J2850">
        <f>0</f>
      </c>
    </row>
    <row r="2851">
      <c r="A2851" t="s">
        <v>2860</v>
      </c>
      <c r="B2851" t="s">
        <v>11</v>
      </c>
      <c r="C2851">
        <f>118838476563/10^6</f>
      </c>
      <c r="D2851">
        <f>0</f>
      </c>
      <c r="E2851">
        <f>752090393/10^6</f>
      </c>
      <c r="F2851">
        <f>0</f>
      </c>
      <c r="G2851">
        <f>263406525/10^6</f>
      </c>
      <c r="H2851">
        <f>0</f>
      </c>
      <c r="I2851">
        <f>-38247509/10^6</f>
      </c>
      <c r="J2851">
        <f>0</f>
      </c>
    </row>
    <row r="2852">
      <c r="A2852" t="s">
        <v>2861</v>
      </c>
      <c r="B2852" t="s">
        <v>11</v>
      </c>
      <c r="C2852">
        <f>118621320313/10^6</f>
      </c>
      <c r="D2852">
        <f>0</f>
      </c>
      <c r="E2852">
        <f>753197144/10^6</f>
      </c>
      <c r="F2852">
        <f>0</f>
      </c>
      <c r="G2852">
        <f>263410461/10^6</f>
      </c>
      <c r="H2852">
        <f>0</f>
      </c>
      <c r="I2852">
        <f>-38547806/10^6</f>
      </c>
      <c r="J2852">
        <f>0</f>
      </c>
    </row>
    <row r="2853">
      <c r="A2853" t="s">
        <v>2862</v>
      </c>
      <c r="B2853" t="s">
        <v>11</v>
      </c>
      <c r="C2853">
        <f>11842559375/10^5</f>
      </c>
      <c r="D2853">
        <f>0</f>
      </c>
      <c r="E2853">
        <f>754451599/10^6</f>
      </c>
      <c r="F2853">
        <f>0</f>
      </c>
      <c r="G2853">
        <f>26337561/10^5</f>
      </c>
      <c r="H2853">
        <f>0</f>
      </c>
      <c r="I2853">
        <f>-38824158/10^6</f>
      </c>
      <c r="J2853">
        <f>0</f>
      </c>
    </row>
    <row r="2854">
      <c r="A2854" t="s">
        <v>2863</v>
      </c>
      <c r="B2854" t="s">
        <v>11</v>
      </c>
      <c r="C2854">
        <f>118244398438/10^6</f>
      </c>
      <c r="D2854">
        <f>0</f>
      </c>
      <c r="E2854">
        <f>75577301/10^5</f>
      </c>
      <c r="F2854">
        <f>0</f>
      </c>
      <c r="G2854">
        <f>263313354/10^6</f>
      </c>
      <c r="H2854">
        <f>0</f>
      </c>
      <c r="I2854">
        <f>-39101604/10^6</f>
      </c>
      <c r="J2854">
        <f>0</f>
      </c>
    </row>
    <row r="2855">
      <c r="A2855" t="s">
        <v>2864</v>
      </c>
      <c r="B2855" t="s">
        <v>11</v>
      </c>
      <c r="C2855">
        <f>118028835938/10^6</f>
      </c>
      <c r="D2855">
        <f>0</f>
      </c>
      <c r="E2855">
        <f>757073914/10^6</f>
      </c>
      <c r="F2855">
        <f>0</f>
      </c>
      <c r="G2855">
        <f>263263885/10^6</f>
      </c>
      <c r="H2855">
        <f>0</f>
      </c>
      <c r="I2855">
        <f>-39396816/10^6</f>
      </c>
      <c r="J2855">
        <f>0</f>
      </c>
    </row>
    <row r="2856">
      <c r="A2856" t="s">
        <v>2865</v>
      </c>
      <c r="B2856" t="s">
        <v>11</v>
      </c>
      <c r="C2856">
        <f>117767234375/10^6</f>
      </c>
      <c r="D2856">
        <f>0</f>
      </c>
      <c r="E2856">
        <f>758530396/10^6</f>
      </c>
      <c r="F2856">
        <f>0</f>
      </c>
      <c r="G2856">
        <f>263186859/10^6</f>
      </c>
      <c r="H2856">
        <f>0</f>
      </c>
      <c r="I2856">
        <f>-39659473/10^6</f>
      </c>
      <c r="J2856">
        <f>0</f>
      </c>
    </row>
    <row r="2857">
      <c r="A2857" t="s">
        <v>2866</v>
      </c>
      <c r="B2857" t="s">
        <v>11</v>
      </c>
      <c r="C2857">
        <f>11751140625/10^5</f>
      </c>
      <c r="D2857">
        <f>0</f>
      </c>
      <c r="E2857">
        <f>76015918/10^5</f>
      </c>
      <c r="F2857">
        <f>0</f>
      </c>
      <c r="G2857">
        <f>263044312/10^6</f>
      </c>
      <c r="H2857">
        <f>0</f>
      </c>
      <c r="I2857">
        <f>-39968292/10^6</f>
      </c>
      <c r="J2857">
        <f>0</f>
      </c>
    </row>
    <row r="2858">
      <c r="A2858" t="s">
        <v>2867</v>
      </c>
      <c r="B2858" t="s">
        <v>11</v>
      </c>
      <c r="C2858">
        <f>117299992188/10^6</f>
      </c>
      <c r="D2858">
        <f>0</f>
      </c>
      <c r="E2858">
        <f>761563049/10^6</f>
      </c>
      <c r="F2858">
        <f>0</f>
      </c>
      <c r="G2858">
        <f>262938538/10^6</f>
      </c>
      <c r="H2858">
        <f>0</f>
      </c>
      <c r="I2858">
        <f>-40249279/10^6</f>
      </c>
      <c r="J2858">
        <f>0</f>
      </c>
    </row>
    <row r="2859">
      <c r="A2859" t="s">
        <v>2868</v>
      </c>
      <c r="B2859" t="s">
        <v>11</v>
      </c>
      <c r="C2859">
        <f>11709803125/10^5</f>
      </c>
      <c r="D2859">
        <f>0</f>
      </c>
      <c r="E2859">
        <f>762661682/10^6</f>
      </c>
      <c r="F2859">
        <f>0</f>
      </c>
      <c r="G2859">
        <f>262875458/10^6</f>
      </c>
      <c r="H2859">
        <f>0</f>
      </c>
      <c r="I2859">
        <f>-40637093/10^6</f>
      </c>
      <c r="J2859">
        <f>0</f>
      </c>
    </row>
    <row r="2860">
      <c r="A2860" t="s">
        <v>2869</v>
      </c>
      <c r="B2860" t="s">
        <v>11</v>
      </c>
      <c r="C2860">
        <f>116862/10^0</f>
      </c>
      <c r="D2860">
        <f>0</f>
      </c>
      <c r="E2860">
        <f>764034485/10^6</f>
      </c>
      <c r="F2860">
        <f>0</f>
      </c>
      <c r="G2860">
        <f>262810547/10^6</f>
      </c>
      <c r="H2860">
        <f>0</f>
      </c>
      <c r="I2860">
        <f>-41050251/10^6</f>
      </c>
      <c r="J2860">
        <f>0</f>
      </c>
    </row>
    <row r="2861">
      <c r="A2861" t="s">
        <v>2870</v>
      </c>
      <c r="B2861" t="s">
        <v>11</v>
      </c>
      <c r="C2861">
        <f>116619164063/10^6</f>
      </c>
      <c r="D2861">
        <f>0</f>
      </c>
      <c r="E2861">
        <f>765799072/10^6</f>
      </c>
      <c r="F2861">
        <f>0</f>
      </c>
      <c r="G2861">
        <f>262726196/10^6</f>
      </c>
      <c r="H2861">
        <f>0</f>
      </c>
      <c r="I2861">
        <f>-41406643/10^6</f>
      </c>
      <c r="J2861">
        <f>0</f>
      </c>
    </row>
    <row r="2862">
      <c r="A2862" t="s">
        <v>2871</v>
      </c>
      <c r="B2862" t="s">
        <v>11</v>
      </c>
      <c r="C2862">
        <f>116403882813/10^6</f>
      </c>
      <c r="D2862">
        <f>0</f>
      </c>
      <c r="E2862">
        <f>767234131/10^6</f>
      </c>
      <c r="F2862">
        <f>0</f>
      </c>
      <c r="G2862">
        <f>262608948/10^6</f>
      </c>
      <c r="H2862">
        <f>0</f>
      </c>
      <c r="I2862">
        <f>-41910725/10^6</f>
      </c>
      <c r="J2862">
        <f>0</f>
      </c>
    </row>
    <row r="2863">
      <c r="A2863" t="s">
        <v>2872</v>
      </c>
      <c r="B2863" t="s">
        <v>11</v>
      </c>
      <c r="C2863">
        <f>116187554688/10^6</f>
      </c>
      <c r="D2863">
        <f>0</f>
      </c>
      <c r="E2863">
        <f>768238953/10^6</f>
      </c>
      <c r="F2863">
        <f>0</f>
      </c>
      <c r="G2863">
        <f>262508392/10^6</f>
      </c>
      <c r="H2863">
        <f>0</f>
      </c>
      <c r="I2863">
        <f>-42308392/10^6</f>
      </c>
      <c r="J2863">
        <f>0</f>
      </c>
    </row>
    <row r="2864">
      <c r="A2864" t="s">
        <v>2873</v>
      </c>
      <c r="B2864" t="s">
        <v>11</v>
      </c>
      <c r="C2864">
        <f>115921625/10^3</f>
      </c>
      <c r="D2864">
        <f>0</f>
      </c>
      <c r="E2864">
        <f>769656921/10^6</f>
      </c>
      <c r="F2864">
        <f>0</f>
      </c>
      <c r="G2864">
        <f>26240036/10^5</f>
      </c>
      <c r="H2864">
        <f>0</f>
      </c>
      <c r="I2864">
        <f>-42629063/10^6</f>
      </c>
      <c r="J2864">
        <f>0</f>
      </c>
    </row>
    <row r="2865">
      <c r="A2865" t="s">
        <v>2874</v>
      </c>
      <c r="B2865" t="s">
        <v>11</v>
      </c>
      <c r="C2865">
        <f>115607742188/10^6</f>
      </c>
      <c r="D2865">
        <f>0</f>
      </c>
      <c r="E2865">
        <f>771307739/10^6</f>
      </c>
      <c r="F2865">
        <f>0</f>
      </c>
      <c r="G2865">
        <f>26227829/10^5</f>
      </c>
      <c r="H2865">
        <f>0</f>
      </c>
      <c r="I2865">
        <f>-42968185/10^6</f>
      </c>
      <c r="J2865">
        <f>0</f>
      </c>
    </row>
    <row r="2866">
      <c r="A2866" t="s">
        <v>2875</v>
      </c>
      <c r="B2866" t="s">
        <v>11</v>
      </c>
      <c r="C2866">
        <f>115304351563/10^6</f>
      </c>
      <c r="D2866">
        <f>0</f>
      </c>
      <c r="E2866">
        <f>772941162/10^6</f>
      </c>
      <c r="F2866">
        <f>0</f>
      </c>
      <c r="G2866">
        <f>262091003/10^6</f>
      </c>
      <c r="H2866">
        <f>0</f>
      </c>
      <c r="I2866">
        <f>-43128811/10^6</f>
      </c>
      <c r="J2866">
        <f>0</f>
      </c>
    </row>
    <row r="2867">
      <c r="A2867" t="s">
        <v>2876</v>
      </c>
      <c r="B2867" t="s">
        <v>11</v>
      </c>
      <c r="C2867">
        <f>11502371875/10^5</f>
      </c>
      <c r="D2867">
        <f>0</f>
      </c>
      <c r="E2867">
        <f>775317505/10^6</f>
      </c>
      <c r="F2867">
        <f>0</f>
      </c>
      <c r="G2867">
        <f>261965851/10^6</f>
      </c>
      <c r="H2867">
        <f>0</f>
      </c>
      <c r="I2867">
        <f>-43543625/10^6</f>
      </c>
      <c r="J2867">
        <f>0</f>
      </c>
    </row>
    <row r="2868">
      <c r="A2868" t="s">
        <v>2877</v>
      </c>
      <c r="B2868" t="s">
        <v>11</v>
      </c>
      <c r="C2868">
        <f>11477184375/10^5</f>
      </c>
      <c r="D2868">
        <f>0</f>
      </c>
      <c r="E2868">
        <f>775561584/10^6</f>
      </c>
      <c r="F2868">
        <f>0</f>
      </c>
      <c r="G2868">
        <f>261849854/10^6</f>
      </c>
      <c r="H2868">
        <f>0</f>
      </c>
      <c r="I2868">
        <f>-43774239/10^6</f>
      </c>
      <c r="J2868">
        <f>0</f>
      </c>
    </row>
    <row r="2869">
      <c r="A2869" t="s">
        <v>2878</v>
      </c>
      <c r="B2869" t="s">
        <v>11</v>
      </c>
      <c r="C2869">
        <f>114684914063/10^6</f>
      </c>
      <c r="D2869">
        <f>0</f>
      </c>
      <c r="E2869">
        <f>771806885/10^6</f>
      </c>
      <c r="F2869">
        <f>0</f>
      </c>
      <c r="G2869">
        <f>260822205/10^6</f>
      </c>
      <c r="H2869">
        <f>0</f>
      </c>
      <c r="I2869">
        <f>-42557861/10^6</f>
      </c>
      <c r="J2869">
        <f>0</f>
      </c>
    </row>
    <row r="2870">
      <c r="A2870" t="s">
        <v>2879</v>
      </c>
      <c r="B2870" t="s">
        <v>11</v>
      </c>
      <c r="C2870">
        <f>114764976563/10^6</f>
      </c>
      <c r="D2870">
        <f>0</f>
      </c>
      <c r="E2870">
        <f>770354431/10^6</f>
      </c>
      <c r="F2870">
        <f>0</f>
      </c>
      <c r="G2870">
        <f>259350616/10^6</f>
      </c>
      <c r="H2870">
        <f>0</f>
      </c>
      <c r="I2870">
        <f>-40946388/10^6</f>
      </c>
      <c r="J2870">
        <f>0</f>
      </c>
    </row>
    <row r="2871">
      <c r="A2871" t="s">
        <v>2880</v>
      </c>
      <c r="B2871" t="s">
        <v>11</v>
      </c>
      <c r="C2871">
        <f>114750320313/10^6</f>
      </c>
      <c r="D2871">
        <f>0</f>
      </c>
      <c r="E2871">
        <f>773581116/10^6</f>
      </c>
      <c r="F2871">
        <f>0</f>
      </c>
      <c r="G2871">
        <f>259486023/10^6</f>
      </c>
      <c r="H2871">
        <f>0</f>
      </c>
      <c r="I2871">
        <f>-40794571/10^6</f>
      </c>
      <c r="J2871">
        <f>0</f>
      </c>
    </row>
    <row r="2872">
      <c r="A2872" t="s">
        <v>2881</v>
      </c>
      <c r="B2872" t="s">
        <v>11</v>
      </c>
      <c r="C2872">
        <f>114530351563/10^6</f>
      </c>
      <c r="D2872">
        <f>0</f>
      </c>
      <c r="E2872">
        <f>776561707/10^6</f>
      </c>
      <c r="F2872">
        <f>0</f>
      </c>
      <c r="G2872">
        <f>260970581/10^6</f>
      </c>
      <c r="H2872">
        <f>0</f>
      </c>
      <c r="I2872">
        <f>-41520679/10^6</f>
      </c>
      <c r="J2872">
        <f>0</f>
      </c>
    </row>
    <row r="2873">
      <c r="A2873" t="s">
        <v>2882</v>
      </c>
      <c r="B2873" t="s">
        <v>11</v>
      </c>
      <c r="C2873">
        <f>11422565625/10^5</f>
      </c>
      <c r="D2873">
        <f>0</f>
      </c>
      <c r="E2873">
        <f>778588318/10^6</f>
      </c>
      <c r="F2873">
        <f>0</f>
      </c>
      <c r="G2873">
        <f>261674683/10^6</f>
      </c>
      <c r="H2873">
        <f>0</f>
      </c>
      <c r="I2873">
        <f>-41713779/10^6</f>
      </c>
      <c r="J2873">
        <f>0</f>
      </c>
    </row>
    <row r="2874">
      <c r="A2874" t="s">
        <v>2883</v>
      </c>
      <c r="B2874" t="s">
        <v>11</v>
      </c>
      <c r="C2874">
        <f>113963671875/10^6</f>
      </c>
      <c r="D2874">
        <f>0</f>
      </c>
      <c r="E2874">
        <f>779405212/10^6</f>
      </c>
      <c r="F2874">
        <f>0</f>
      </c>
      <c r="G2874">
        <f>261508362/10^6</f>
      </c>
      <c r="H2874">
        <f>0</f>
      </c>
      <c r="I2874">
        <f>-41528255/10^6</f>
      </c>
      <c r="J2874">
        <f>0</f>
      </c>
    </row>
    <row r="2875">
      <c r="A2875" t="s">
        <v>2884</v>
      </c>
      <c r="B2875" t="s">
        <v>11</v>
      </c>
      <c r="C2875">
        <f>113864242188/10^6</f>
      </c>
      <c r="D2875">
        <f>0</f>
      </c>
      <c r="E2875">
        <f>776350403/10^6</f>
      </c>
      <c r="F2875">
        <f>0</f>
      </c>
      <c r="G2875">
        <f>261559845/10^6</f>
      </c>
      <c r="H2875">
        <f>0</f>
      </c>
      <c r="I2875">
        <f>-41613087/10^6</f>
      </c>
      <c r="J2875">
        <f>0</f>
      </c>
    </row>
    <row r="2876">
      <c r="A2876" t="s">
        <v>2885</v>
      </c>
      <c r="B2876" t="s">
        <v>11</v>
      </c>
      <c r="C2876">
        <f>113919195313/10^6</f>
      </c>
      <c r="D2876">
        <f>0</f>
      </c>
      <c r="E2876">
        <f>77263092/10^5</f>
      </c>
      <c r="F2876">
        <f>0</f>
      </c>
      <c r="G2876">
        <f>261172058/10^6</f>
      </c>
      <c r="H2876">
        <f>0</f>
      </c>
      <c r="I2876">
        <f>-40977379/10^6</f>
      </c>
      <c r="J2876">
        <f>0</f>
      </c>
    </row>
    <row r="2877">
      <c r="A2877" t="s">
        <v>2886</v>
      </c>
      <c r="B2877" t="s">
        <v>11</v>
      </c>
      <c r="C2877">
        <f>113965429688/10^6</f>
      </c>
      <c r="D2877">
        <f>0</f>
      </c>
      <c r="E2877">
        <f>771992432/10^6</f>
      </c>
      <c r="F2877">
        <f>0</f>
      </c>
      <c r="G2877">
        <f>259917603/10^6</f>
      </c>
      <c r="H2877">
        <f>0</f>
      </c>
      <c r="I2877">
        <f>-39166153/10^6</f>
      </c>
      <c r="J2877">
        <f>0</f>
      </c>
    </row>
    <row r="2878">
      <c r="A2878" t="s">
        <v>2887</v>
      </c>
      <c r="B2878" t="s">
        <v>11</v>
      </c>
      <c r="C2878">
        <f>113914234375/10^6</f>
      </c>
      <c r="D2878">
        <f>0</f>
      </c>
      <c r="E2878">
        <f>772159424/10^6</f>
      </c>
      <c r="F2878">
        <f>0</f>
      </c>
      <c r="G2878">
        <f>259187195/10^6</f>
      </c>
      <c r="H2878">
        <f>0</f>
      </c>
      <c r="I2878">
        <f>-38053608/10^6</f>
      </c>
      <c r="J2878">
        <f>0</f>
      </c>
    </row>
    <row r="2879">
      <c r="A2879" t="s">
        <v>2888</v>
      </c>
      <c r="B2879" t="s">
        <v>11</v>
      </c>
      <c r="C2879">
        <f>113820289063/10^6</f>
      </c>
      <c r="D2879">
        <f>0</f>
      </c>
      <c r="E2879">
        <f>771861206/10^6</f>
      </c>
      <c r="F2879">
        <f>0</f>
      </c>
      <c r="G2879">
        <f>259085754/10^6</f>
      </c>
      <c r="H2879">
        <f>0</f>
      </c>
      <c r="I2879">
        <f>-38016613/10^6</f>
      </c>
      <c r="J2879">
        <f>0</f>
      </c>
    </row>
    <row r="2880">
      <c r="A2880" t="s">
        <v>2889</v>
      </c>
      <c r="B2880" t="s">
        <v>11</v>
      </c>
      <c r="C2880">
        <f>11384675/10^2</f>
      </c>
      <c r="D2880">
        <f>0</f>
      </c>
      <c r="E2880">
        <f>772643677/10^6</f>
      </c>
      <c r="F2880">
        <f>0</f>
      </c>
      <c r="G2880">
        <f>258755005/10^6</f>
      </c>
      <c r="H2880">
        <f>0</f>
      </c>
      <c r="I2880">
        <f>-37870911/10^6</f>
      </c>
      <c r="J2880">
        <f>0</f>
      </c>
    </row>
    <row r="2881">
      <c r="A2881" t="s">
        <v>2890</v>
      </c>
      <c r="B2881" t="s">
        <v>11</v>
      </c>
      <c r="C2881">
        <f>114075828125/10^6</f>
      </c>
      <c r="D2881">
        <f>0</f>
      </c>
      <c r="E2881">
        <f>774197449/10^6</f>
      </c>
      <c r="F2881">
        <f>0</f>
      </c>
      <c r="G2881">
        <f>259110229/10^6</f>
      </c>
      <c r="H2881">
        <f>0</f>
      </c>
      <c r="I2881">
        <f>-37864494/10^6</f>
      </c>
      <c r="J2881">
        <f>0</f>
      </c>
    </row>
    <row r="2882">
      <c r="A2882" t="s">
        <v>2891</v>
      </c>
      <c r="B2882" t="s">
        <v>11</v>
      </c>
      <c r="C2882">
        <f>114375875/10^3</f>
      </c>
      <c r="D2882">
        <f>0</f>
      </c>
      <c r="E2882">
        <f>774977966/10^6</f>
      </c>
      <c r="F2882">
        <f>0</f>
      </c>
      <c r="G2882">
        <f>260375061/10^6</f>
      </c>
      <c r="H2882">
        <f>0</f>
      </c>
      <c r="I2882">
        <f>-38224194/10^6</f>
      </c>
      <c r="J2882">
        <f>0</f>
      </c>
    </row>
    <row r="2883">
      <c r="A2883" t="s">
        <v>2892</v>
      </c>
      <c r="B2883" t="s">
        <v>11</v>
      </c>
      <c r="C2883">
        <f>114657742188/10^6</f>
      </c>
      <c r="D2883">
        <f>0</f>
      </c>
      <c r="E2883">
        <f>774591064/10^6</f>
      </c>
      <c r="F2883">
        <f>0</f>
      </c>
      <c r="G2883">
        <f>261182373/10^6</f>
      </c>
      <c r="H2883">
        <f>0</f>
      </c>
      <c r="I2883">
        <f>-38433029/10^6</f>
      </c>
      <c r="J2883">
        <f>0</f>
      </c>
    </row>
    <row r="2884">
      <c r="A2884" t="s">
        <v>2893</v>
      </c>
      <c r="B2884" t="s">
        <v>11</v>
      </c>
      <c r="C2884">
        <f>114954726563/10^6</f>
      </c>
      <c r="D2884">
        <f>0</f>
      </c>
      <c r="E2884">
        <f>773734741/10^6</f>
      </c>
      <c r="F2884">
        <f>0</f>
      </c>
      <c r="G2884">
        <f>261568481/10^6</f>
      </c>
      <c r="H2884">
        <f>0</f>
      </c>
      <c r="I2884">
        <f>-38522667/10^6</f>
      </c>
      <c r="J2884">
        <f>0</f>
      </c>
    </row>
    <row r="2885">
      <c r="A2885" t="s">
        <v>2894</v>
      </c>
      <c r="B2885" t="s">
        <v>11</v>
      </c>
      <c r="C2885">
        <f>11526496875/10^5</f>
      </c>
      <c r="D2885">
        <f>0</f>
      </c>
      <c r="E2885">
        <f>773086731/10^6</f>
      </c>
      <c r="F2885">
        <f>0</f>
      </c>
      <c r="G2885">
        <f>262024048/10^6</f>
      </c>
      <c r="H2885">
        <f>0</f>
      </c>
      <c r="I2885">
        <f>-3864537/10^5</f>
      </c>
      <c r="J2885">
        <f>0</f>
      </c>
    </row>
    <row r="2886">
      <c r="A2886" t="s">
        <v>2895</v>
      </c>
      <c r="B2886" t="s">
        <v>11</v>
      </c>
      <c r="C2886">
        <f>11559321875/10^5</f>
      </c>
      <c r="D2886">
        <f>0</f>
      </c>
      <c r="E2886">
        <f>772568848/10^6</f>
      </c>
      <c r="F2886">
        <f>0</f>
      </c>
      <c r="G2886">
        <f>262480835/10^6</f>
      </c>
      <c r="H2886">
        <f>0</f>
      </c>
      <c r="I2886">
        <f>-38681274/10^6</f>
      </c>
      <c r="J2886">
        <f>0</f>
      </c>
    </row>
    <row r="2887">
      <c r="A2887" t="s">
        <v>2896</v>
      </c>
      <c r="B2887" t="s">
        <v>11</v>
      </c>
      <c r="C2887">
        <f>115988/10^0</f>
      </c>
      <c r="D2887">
        <f>0</f>
      </c>
      <c r="E2887">
        <f>77152533/10^5</f>
      </c>
      <c r="F2887">
        <f>0</f>
      </c>
      <c r="G2887">
        <f>263055695/10^6</f>
      </c>
      <c r="H2887">
        <f>0</f>
      </c>
      <c r="I2887">
        <f>-38751801/10^6</f>
      </c>
      <c r="J2887">
        <f>0</f>
      </c>
    </row>
    <row r="2888">
      <c r="A2888" t="s">
        <v>2897</v>
      </c>
      <c r="B2888" t="s">
        <v>11</v>
      </c>
      <c r="C2888">
        <f>11644353125/10^5</f>
      </c>
      <c r="D2888">
        <f>0</f>
      </c>
      <c r="E2888">
        <f>769670288/10^6</f>
      </c>
      <c r="F2888">
        <f>0</f>
      </c>
      <c r="G2888">
        <f>263522949/10^6</f>
      </c>
      <c r="H2888">
        <f>0</f>
      </c>
      <c r="I2888">
        <f>-38751282/10^6</f>
      </c>
      <c r="J2888">
        <f>0</f>
      </c>
    </row>
    <row r="2889">
      <c r="A2889" t="s">
        <v>2898</v>
      </c>
      <c r="B2889" t="s">
        <v>11</v>
      </c>
      <c r="C2889">
        <f>116920632813/10^6</f>
      </c>
      <c r="D2889">
        <f>0</f>
      </c>
      <c r="E2889">
        <f>767235352/10^6</f>
      </c>
      <c r="F2889">
        <f>0</f>
      </c>
      <c r="G2889">
        <f>263932404/10^6</f>
      </c>
      <c r="H2889">
        <f>0</f>
      </c>
      <c r="I2889">
        <f>-38383789/10^6</f>
      </c>
      <c r="J2889">
        <f>0</f>
      </c>
    </row>
    <row r="2890">
      <c r="A2890" t="s">
        <v>2899</v>
      </c>
      <c r="B2890" t="s">
        <v>11</v>
      </c>
      <c r="C2890">
        <f>11746196875/10^5</f>
      </c>
      <c r="D2890">
        <f>0</f>
      </c>
      <c r="E2890">
        <f>764477966/10^6</f>
      </c>
      <c r="F2890">
        <f>0</f>
      </c>
      <c r="G2890">
        <f>264378662/10^6</f>
      </c>
      <c r="H2890">
        <f>0</f>
      </c>
      <c r="I2890">
        <f>-38009197/10^6</f>
      </c>
      <c r="J2890">
        <f>0</f>
      </c>
    </row>
    <row r="2891">
      <c r="A2891" t="s">
        <v>2900</v>
      </c>
      <c r="B2891" t="s">
        <v>11</v>
      </c>
      <c r="C2891">
        <f>118117078125/10^6</f>
      </c>
      <c r="D2891">
        <f>0</f>
      </c>
      <c r="E2891">
        <f>761335266/10^6</f>
      </c>
      <c r="F2891">
        <f>0</f>
      </c>
      <c r="G2891">
        <f>264744476/10^6</f>
      </c>
      <c r="H2891">
        <f>0</f>
      </c>
      <c r="I2891">
        <f>-37612511/10^6</f>
      </c>
      <c r="J2891">
        <f>0</f>
      </c>
    </row>
    <row r="2892">
      <c r="A2892" t="s">
        <v>2901</v>
      </c>
      <c r="B2892" t="s">
        <v>11</v>
      </c>
      <c r="C2892">
        <f>118849898438/10^6</f>
      </c>
      <c r="D2892">
        <f>0</f>
      </c>
      <c r="E2892">
        <f>7576427/10^4</f>
      </c>
      <c r="F2892">
        <f>0</f>
      </c>
      <c r="G2892">
        <f>265198395/10^6</f>
      </c>
      <c r="H2892">
        <f>0</f>
      </c>
      <c r="I2892">
        <f>-36948818/10^6</f>
      </c>
      <c r="J2892">
        <f>0</f>
      </c>
    </row>
    <row r="2893">
      <c r="A2893" t="s">
        <v>2902</v>
      </c>
      <c r="B2893" t="s">
        <v>11</v>
      </c>
      <c r="C2893">
        <f>11961825/10^2</f>
      </c>
      <c r="D2893">
        <f>0</f>
      </c>
      <c r="E2893">
        <f>75361377/10^5</f>
      </c>
      <c r="F2893">
        <f>0</f>
      </c>
      <c r="G2893">
        <f>265561646/10^6</f>
      </c>
      <c r="H2893">
        <f>0</f>
      </c>
      <c r="I2893">
        <f>-36438/10^3</f>
      </c>
      <c r="J2893">
        <f>0</f>
      </c>
    </row>
    <row r="2894">
      <c r="A2894" t="s">
        <v>2903</v>
      </c>
      <c r="B2894" t="s">
        <v>11</v>
      </c>
      <c r="C2894">
        <f>120398757813/10^6</f>
      </c>
      <c r="D2894">
        <f>0</f>
      </c>
      <c r="E2894">
        <f>749374268/10^6</f>
      </c>
      <c r="F2894">
        <f>0</f>
      </c>
      <c r="G2894">
        <f>265888641/10^6</f>
      </c>
      <c r="H2894">
        <f>0</f>
      </c>
      <c r="I2894">
        <f>-35937946/10^6</f>
      </c>
      <c r="J2894">
        <f>0</f>
      </c>
    </row>
    <row r="2895">
      <c r="A2895" t="s">
        <v>2904</v>
      </c>
      <c r="B2895" t="s">
        <v>11</v>
      </c>
      <c r="C2895">
        <f>12113496875/10^5</f>
      </c>
      <c r="D2895">
        <f>0</f>
      </c>
      <c r="E2895">
        <f>744984741/10^6</f>
      </c>
      <c r="F2895">
        <f>0</f>
      </c>
      <c r="G2895">
        <f>266279236/10^6</f>
      </c>
      <c r="H2895">
        <f>0</f>
      </c>
      <c r="I2895">
        <f>-35367092/10^6</f>
      </c>
      <c r="J2895">
        <f>0</f>
      </c>
    </row>
    <row r="2896">
      <c r="A2896" t="s">
        <v>2905</v>
      </c>
      <c r="B2896" t="s">
        <v>11</v>
      </c>
      <c r="C2896">
        <f>121735351563/10^6</f>
      </c>
      <c r="D2896">
        <f>0</f>
      </c>
      <c r="E2896">
        <f>741135803/10^6</f>
      </c>
      <c r="F2896">
        <f>0</f>
      </c>
      <c r="G2896">
        <f>266407288/10^6</f>
      </c>
      <c r="H2896">
        <f>0</f>
      </c>
      <c r="I2896">
        <f>-35042061/10^6</f>
      </c>
      <c r="J2896">
        <f>0</f>
      </c>
    </row>
    <row r="2897">
      <c r="A2897" t="s">
        <v>2906</v>
      </c>
      <c r="B2897" t="s">
        <v>11</v>
      </c>
      <c r="C2897">
        <f>122124671875/10^6</f>
      </c>
      <c r="D2897">
        <f>0</f>
      </c>
      <c r="E2897">
        <f>738365845/10^6</f>
      </c>
      <c r="F2897">
        <f>0</f>
      </c>
      <c r="G2897">
        <f>266480652/10^6</f>
      </c>
      <c r="H2897">
        <f>0</f>
      </c>
      <c r="I2897">
        <f>-34615856/10^6</f>
      </c>
      <c r="J2897">
        <f>0</f>
      </c>
    </row>
    <row r="2898">
      <c r="A2898" t="s">
        <v>2907</v>
      </c>
      <c r="B2898" t="s">
        <v>11</v>
      </c>
      <c r="C2898">
        <f>122294609375/10^6</f>
      </c>
      <c r="D2898">
        <f>0</f>
      </c>
      <c r="E2898">
        <f>736618469/10^6</f>
      </c>
      <c r="F2898">
        <f>0</f>
      </c>
      <c r="G2898">
        <f>266535553/10^6</f>
      </c>
      <c r="H2898">
        <f>0</f>
      </c>
      <c r="I2898">
        <f>-34315811/10^6</f>
      </c>
      <c r="J2898">
        <f>0</f>
      </c>
    </row>
    <row r="2899">
      <c r="A2899" t="s">
        <v>2908</v>
      </c>
      <c r="B2899" t="s">
        <v>11</v>
      </c>
      <c r="C2899">
        <f>122324953125/10^6</f>
      </c>
      <c r="D2899">
        <f>0</f>
      </c>
      <c r="E2899">
        <f>735812073/10^6</f>
      </c>
      <c r="F2899">
        <f>0</f>
      </c>
      <c r="G2899">
        <f>266182465/10^6</f>
      </c>
      <c r="H2899">
        <f>0</f>
      </c>
      <c r="I2899">
        <f>-34624676/10^6</f>
      </c>
      <c r="J2899">
        <f>0</f>
      </c>
    </row>
    <row r="2900">
      <c r="A2900" t="s">
        <v>2909</v>
      </c>
      <c r="B2900" t="s">
        <v>11</v>
      </c>
      <c r="C2900">
        <f>122319234375/10^6</f>
      </c>
      <c r="D2900">
        <f>0</f>
      </c>
      <c r="E2900">
        <f>735506348/10^6</f>
      </c>
      <c r="F2900">
        <f>0</f>
      </c>
      <c r="G2900">
        <f>265747864/10^6</f>
      </c>
      <c r="H2900">
        <f>0</f>
      </c>
      <c r="I2900">
        <f>-35000572/10^6</f>
      </c>
      <c r="J2900">
        <f>0</f>
      </c>
    </row>
    <row r="2901">
      <c r="A2901" t="s">
        <v>2910</v>
      </c>
      <c r="B2901" t="s">
        <v>11</v>
      </c>
      <c r="C2901">
        <f>1223151875/10^4</f>
      </c>
      <c r="D2901">
        <f>0</f>
      </c>
      <c r="E2901">
        <f>735117981/10^6</f>
      </c>
      <c r="F2901">
        <f>0</f>
      </c>
      <c r="G2901">
        <f>265543091/10^6</f>
      </c>
      <c r="H2901">
        <f>0</f>
      </c>
      <c r="I2901">
        <f>-35156979/10^6</f>
      </c>
      <c r="J2901">
        <f>0</f>
      </c>
    </row>
    <row r="2902">
      <c r="A2902" t="s">
        <v>2911</v>
      </c>
      <c r="B2902" t="s">
        <v>11</v>
      </c>
      <c r="C2902">
        <f>12229634375/10^5</f>
      </c>
      <c r="D2902">
        <f>0</f>
      </c>
      <c r="E2902">
        <f>734614563/10^6</f>
      </c>
      <c r="F2902">
        <f>0</f>
      </c>
      <c r="G2902">
        <f>265388489/10^6</f>
      </c>
      <c r="H2902">
        <f>0</f>
      </c>
      <c r="I2902">
        <f>-35313229/10^6</f>
      </c>
      <c r="J2902">
        <f>0</f>
      </c>
    </row>
    <row r="2903">
      <c r="A2903" t="s">
        <v>2912</v>
      </c>
      <c r="B2903" t="s">
        <v>11</v>
      </c>
      <c r="C2903">
        <f>122198578125/10^6</f>
      </c>
      <c r="D2903">
        <f>0</f>
      </c>
      <c r="E2903">
        <f>734307617/10^6</f>
      </c>
      <c r="F2903">
        <f>0</f>
      </c>
      <c r="G2903">
        <f>26520636/10^5</f>
      </c>
      <c r="H2903">
        <f>0</f>
      </c>
      <c r="I2903">
        <f>-35502193/10^6</f>
      </c>
      <c r="J2903">
        <f>0</f>
      </c>
    </row>
    <row r="2904">
      <c r="A2904" t="s">
        <v>2913</v>
      </c>
      <c r="B2904" t="s">
        <v>11</v>
      </c>
      <c r="C2904">
        <f>121979210938/10^6</f>
      </c>
      <c r="D2904">
        <f>0</f>
      </c>
      <c r="E2904">
        <f>734662231/10^6</f>
      </c>
      <c r="F2904">
        <f>0</f>
      </c>
      <c r="G2904">
        <f>264821411/10^6</f>
      </c>
      <c r="H2904">
        <f>0</f>
      </c>
      <c r="I2904">
        <f>-35770943/10^6</f>
      </c>
      <c r="J2904">
        <f>0</f>
      </c>
    </row>
    <row r="2905">
      <c r="A2905" t="s">
        <v>2914</v>
      </c>
      <c r="B2905" t="s">
        <v>11</v>
      </c>
      <c r="C2905">
        <f>12169140625/10^5</f>
      </c>
      <c r="D2905">
        <f>0</f>
      </c>
      <c r="E2905">
        <f>735849487/10^6</f>
      </c>
      <c r="F2905">
        <f>0</f>
      </c>
      <c r="G2905">
        <f>264376038/10^6</f>
      </c>
      <c r="H2905">
        <f>0</f>
      </c>
      <c r="I2905">
        <f>-36007347/10^6</f>
      </c>
      <c r="J2905">
        <f>0</f>
      </c>
    </row>
    <row r="2906">
      <c r="A2906" t="s">
        <v>2915</v>
      </c>
      <c r="B2906" t="s">
        <v>11</v>
      </c>
      <c r="C2906">
        <f>121366390625/10^6</f>
      </c>
      <c r="D2906">
        <f>0</f>
      </c>
      <c r="E2906">
        <f>737477051/10^6</f>
      </c>
      <c r="F2906">
        <f>0</f>
      </c>
      <c r="G2906">
        <f>264154114/10^6</f>
      </c>
      <c r="H2906">
        <f>0</f>
      </c>
      <c r="I2906">
        <f>-36407372/10^6</f>
      </c>
      <c r="J2906">
        <f>0</f>
      </c>
    </row>
    <row r="2907">
      <c r="A2907" t="s">
        <v>2916</v>
      </c>
      <c r="B2907" t="s">
        <v>11</v>
      </c>
      <c r="C2907">
        <f>1209943125/10^4</f>
      </c>
      <c r="D2907">
        <f>0</f>
      </c>
      <c r="E2907">
        <f>73935083/10^5</f>
      </c>
      <c r="F2907">
        <f>0</f>
      </c>
      <c r="G2907">
        <f>263983643/10^6</f>
      </c>
      <c r="H2907">
        <f>0</f>
      </c>
      <c r="I2907">
        <f>-37088882/10^6</f>
      </c>
      <c r="J2907">
        <f>0</f>
      </c>
    </row>
    <row r="2908">
      <c r="A2908" t="s">
        <v>2917</v>
      </c>
      <c r="B2908" t="s">
        <v>11</v>
      </c>
      <c r="C2908">
        <f>1205849375/10^4</f>
      </c>
      <c r="D2908">
        <f>0</f>
      </c>
      <c r="E2908">
        <f>74161438/10^5</f>
      </c>
      <c r="F2908">
        <f>0</f>
      </c>
      <c r="G2908">
        <f>263794678/10^6</f>
      </c>
      <c r="H2908">
        <f>0</f>
      </c>
      <c r="I2908">
        <f>-37636238/10^6</f>
      </c>
      <c r="J2908">
        <f>0</f>
      </c>
    </row>
    <row r="2909">
      <c r="A2909" t="s">
        <v>2918</v>
      </c>
      <c r="B2909" t="s">
        <v>11</v>
      </c>
      <c r="C2909">
        <f>1201121875/10^4</f>
      </c>
      <c r="D2909">
        <f>0</f>
      </c>
      <c r="E2909">
        <f>744295654/10^6</f>
      </c>
      <c r="F2909">
        <f>0</f>
      </c>
      <c r="G2909">
        <f>263579865/10^6</f>
      </c>
      <c r="H2909">
        <f>0</f>
      </c>
      <c r="I2909">
        <f>-38213604/10^6</f>
      </c>
      <c r="J2909">
        <f>0</f>
      </c>
    </row>
    <row r="2910">
      <c r="A2910" t="s">
        <v>2919</v>
      </c>
      <c r="B2910" t="s">
        <v>11</v>
      </c>
      <c r="C2910">
        <f>119558875/10^3</f>
      </c>
      <c r="D2910">
        <f>0</f>
      </c>
      <c r="E2910">
        <f>747286194/10^6</f>
      </c>
      <c r="F2910">
        <f>0</f>
      </c>
      <c r="G2910">
        <f>263364563/10^6</f>
      </c>
      <c r="H2910">
        <f>0</f>
      </c>
      <c r="I2910">
        <f>-38811619/10^6</f>
      </c>
      <c r="J2910">
        <f>0</f>
      </c>
    </row>
    <row r="2911">
      <c r="A2911" t="s">
        <v>2920</v>
      </c>
      <c r="B2911" t="s">
        <v>11</v>
      </c>
      <c r="C2911">
        <f>118943984375/10^6</f>
      </c>
      <c r="D2911">
        <f>0</f>
      </c>
      <c r="E2911">
        <f>750549561/10^6</f>
      </c>
      <c r="F2911">
        <f>0</f>
      </c>
      <c r="G2911">
        <f>263131256/10^6</f>
      </c>
      <c r="H2911">
        <f>0</f>
      </c>
      <c r="I2911">
        <f>-3951329/10^5</f>
      </c>
      <c r="J2911">
        <f>0</f>
      </c>
    </row>
    <row r="2912">
      <c r="A2912" t="s">
        <v>2921</v>
      </c>
      <c r="B2912" t="s">
        <v>11</v>
      </c>
      <c r="C2912">
        <f>118260109375/10^6</f>
      </c>
      <c r="D2912">
        <f>0</f>
      </c>
      <c r="E2912">
        <f>754166687/10^6</f>
      </c>
      <c r="F2912">
        <f>0</f>
      </c>
      <c r="G2912">
        <f>262841034/10^6</f>
      </c>
      <c r="H2912">
        <f>0</f>
      </c>
      <c r="I2912">
        <f>-40526459/10^6</f>
      </c>
      <c r="J2912">
        <f>0</f>
      </c>
    </row>
    <row r="2913">
      <c r="A2913" t="s">
        <v>2922</v>
      </c>
      <c r="B2913" t="s">
        <v>11</v>
      </c>
      <c r="C2913">
        <f>117500296875/10^6</f>
      </c>
      <c r="D2913">
        <f>0</f>
      </c>
      <c r="E2913">
        <f>758285828/10^6</f>
      </c>
      <c r="F2913">
        <f>0</f>
      </c>
      <c r="G2913">
        <f>262550171/10^6</f>
      </c>
      <c r="H2913">
        <f>0</f>
      </c>
      <c r="I2913">
        <f>-41293453/10^6</f>
      </c>
      <c r="J2913">
        <f>0</f>
      </c>
    </row>
    <row r="2914">
      <c r="A2914" t="s">
        <v>2923</v>
      </c>
      <c r="B2914" t="s">
        <v>11</v>
      </c>
      <c r="C2914">
        <f>11665990625/10^5</f>
      </c>
      <c r="D2914">
        <f>0</f>
      </c>
      <c r="E2914">
        <f>763513428/10^6</f>
      </c>
      <c r="F2914">
        <f>0</f>
      </c>
      <c r="G2914">
        <f>26212442/10^5</f>
      </c>
      <c r="H2914">
        <f>0</f>
      </c>
      <c r="I2914">
        <f>-42445667/10^6</f>
      </c>
      <c r="J2914">
        <f>0</f>
      </c>
    </row>
    <row r="2915">
      <c r="A2915" t="s">
        <v>2924</v>
      </c>
      <c r="B2915" t="s">
        <v>11</v>
      </c>
      <c r="C2915">
        <f>115761890625/10^6</f>
      </c>
      <c r="D2915">
        <f>0</f>
      </c>
      <c r="E2915">
        <f>768592224/10^6</f>
      </c>
      <c r="F2915">
        <f>0</f>
      </c>
      <c r="G2915">
        <f>261755066/10^6</f>
      </c>
      <c r="H2915">
        <f>0</f>
      </c>
      <c r="I2915">
        <f>-43956257/10^6</f>
      </c>
      <c r="J2915">
        <f>0</f>
      </c>
    </row>
    <row r="2916">
      <c r="A2916" t="s">
        <v>2925</v>
      </c>
      <c r="B2916" t="s">
        <v>11</v>
      </c>
      <c r="C2916">
        <f>114951835938/10^6</f>
      </c>
      <c r="D2916">
        <f>0</f>
      </c>
      <c r="E2916">
        <f>770700256/10^6</f>
      </c>
      <c r="F2916">
        <f>0</f>
      </c>
      <c r="G2916">
        <f>261160889/10^6</f>
      </c>
      <c r="H2916">
        <f>0</f>
      </c>
      <c r="I2916">
        <f>-44133533/10^6</f>
      </c>
      <c r="J2916">
        <f>0</f>
      </c>
    </row>
    <row r="2917">
      <c r="A2917" t="s">
        <v>2926</v>
      </c>
      <c r="B2917" t="s">
        <v>11</v>
      </c>
      <c r="C2917">
        <f>11441671875/10^5</f>
      </c>
      <c r="D2917">
        <f>0</f>
      </c>
      <c r="E2917">
        <f>770713013/10^6</f>
      </c>
      <c r="F2917">
        <f>0</f>
      </c>
      <c r="G2917">
        <f>259938477/10^6</f>
      </c>
      <c r="H2917">
        <f>0</f>
      </c>
      <c r="I2917">
        <f>-43653034/10^6</f>
      </c>
      <c r="J2917">
        <f>0</f>
      </c>
    </row>
    <row r="2918">
      <c r="A2918" t="s">
        <v>2927</v>
      </c>
      <c r="B2918" t="s">
        <v>11</v>
      </c>
      <c r="C2918">
        <f>11414471875/10^5</f>
      </c>
      <c r="D2918">
        <f>0</f>
      </c>
      <c r="E2918">
        <f>772131897/10^6</f>
      </c>
      <c r="F2918">
        <f>0</f>
      </c>
      <c r="G2918">
        <f>259119171/10^6</f>
      </c>
      <c r="H2918">
        <f>0</f>
      </c>
      <c r="I2918">
        <f>-43149883/10^6</f>
      </c>
      <c r="J2918">
        <f>0</f>
      </c>
    </row>
    <row r="2919">
      <c r="A2919" t="s">
        <v>2928</v>
      </c>
      <c r="B2919" t="s">
        <v>11</v>
      </c>
      <c r="C2919">
        <f>113721421875/10^6</f>
      </c>
      <c r="D2919">
        <f>0</f>
      </c>
      <c r="E2919">
        <f>77577832/10^5</f>
      </c>
      <c r="F2919">
        <f>0</f>
      </c>
      <c r="G2919">
        <f>259116882/10^6</f>
      </c>
      <c r="H2919">
        <f>0</f>
      </c>
      <c r="I2919">
        <f>-42513046/10^6</f>
      </c>
      <c r="J2919">
        <f>0</f>
      </c>
    </row>
    <row r="2920">
      <c r="A2920" t="s">
        <v>2929</v>
      </c>
      <c r="B2920" t="s">
        <v>11</v>
      </c>
      <c r="C2920">
        <f>113218429688/10^6</f>
      </c>
      <c r="D2920">
        <f>0</f>
      </c>
      <c r="E2920">
        <f>772646484/10^6</f>
      </c>
      <c r="F2920">
        <f>0</f>
      </c>
      <c r="G2920">
        <f>258820526/10^6</f>
      </c>
      <c r="H2920">
        <f>0</f>
      </c>
      <c r="I2920">
        <f>-42475727/10^6</f>
      </c>
      <c r="J2920">
        <f>0</f>
      </c>
    </row>
    <row r="2921">
      <c r="A2921" t="s">
        <v>2930</v>
      </c>
      <c r="B2921" t="s">
        <v>11</v>
      </c>
      <c r="C2921">
        <f>1145780625/10^4</f>
      </c>
      <c r="D2921">
        <f>0</f>
      </c>
      <c r="E2921">
        <f>760170532/10^6</f>
      </c>
      <c r="F2921">
        <f>0</f>
      </c>
      <c r="G2921">
        <f>257903381/10^6</f>
      </c>
      <c r="H2921">
        <f>0</f>
      </c>
      <c r="I2921">
        <f>-38984364/10^6</f>
      </c>
      <c r="J2921">
        <f>0</f>
      </c>
    </row>
    <row r="2922">
      <c r="A2922" t="s">
        <v>2931</v>
      </c>
      <c r="B2922" t="s">
        <v>11</v>
      </c>
      <c r="C2922">
        <f>118844960938/10^6</f>
      </c>
      <c r="D2922">
        <f>0</f>
      </c>
      <c r="E2922">
        <f>750370056/10^6</f>
      </c>
      <c r="F2922">
        <f>0</f>
      </c>
      <c r="G2922">
        <f>259852753/10^6</f>
      </c>
      <c r="H2922">
        <f>0</f>
      </c>
      <c r="I2922">
        <f>-32477219/10^6</f>
      </c>
      <c r="J2922">
        <f>0</f>
      </c>
    </row>
    <row r="2923">
      <c r="A2923" t="s">
        <v>2932</v>
      </c>
      <c r="B2923" t="s">
        <v>11</v>
      </c>
      <c r="C2923">
        <f>12357390625/10^5</f>
      </c>
      <c r="D2923">
        <f>0</f>
      </c>
      <c r="E2923">
        <f>718381104/10^6</f>
      </c>
      <c r="F2923">
        <f>0</f>
      </c>
      <c r="G2923">
        <f>259840363/10^6</f>
      </c>
      <c r="H2923">
        <f>0</f>
      </c>
      <c r="I2923">
        <f>-27789709/10^6</f>
      </c>
      <c r="J2923">
        <f>0</f>
      </c>
    </row>
    <row r="2924">
      <c r="A2924" t="s">
        <v>2933</v>
      </c>
      <c r="B2924" t="s">
        <v>11</v>
      </c>
      <c r="C2924">
        <f>126786140625/10^6</f>
      </c>
      <c r="D2924">
        <f>0</f>
      </c>
      <c r="E2924">
        <f>645079041/10^6</f>
      </c>
      <c r="F2924">
        <f>0</f>
      </c>
      <c r="G2924">
        <f>245498978/10^6</f>
      </c>
      <c r="H2924">
        <f>0</f>
      </c>
      <c r="I2924">
        <f>-17703773/10^6</f>
      </c>
      <c r="J2924">
        <f>0</f>
      </c>
    </row>
    <row r="2925">
      <c r="A2925" t="s">
        <v>2934</v>
      </c>
      <c r="B2925" t="s">
        <v>11</v>
      </c>
      <c r="C2925">
        <f>128192328125/10^6</f>
      </c>
      <c r="D2925">
        <f>0</f>
      </c>
      <c r="E2925">
        <f>582592346/10^6</f>
      </c>
      <c r="F2925">
        <f>0</f>
      </c>
      <c r="G2925">
        <f>227920929/10^6</f>
      </c>
      <c r="H2925">
        <f>0</f>
      </c>
      <c r="I2925">
        <f>-4390017/10^6</f>
      </c>
      <c r="J2925">
        <f>0</f>
      </c>
    </row>
    <row r="2926">
      <c r="A2926" t="s">
        <v>2935</v>
      </c>
      <c r="B2926" t="s">
        <v>11</v>
      </c>
      <c r="C2926">
        <f>127614703125/10^6</f>
      </c>
      <c r="D2926">
        <f>0</f>
      </c>
      <c r="E2926">
        <f>564785339/10^6</f>
      </c>
      <c r="F2926">
        <f>0</f>
      </c>
      <c r="G2926">
        <f>222914063/10^6</f>
      </c>
      <c r="H2926">
        <f>0</f>
      </c>
      <c r="I2926">
        <f>-2318563/10^6</f>
      </c>
      <c r="J2926">
        <f>0</f>
      </c>
    </row>
    <row r="2927">
      <c r="A2927" t="s">
        <v>2936</v>
      </c>
      <c r="B2927" t="s">
        <v>11</v>
      </c>
      <c r="C2927">
        <f>126166890625/10^6</f>
      </c>
      <c r="D2927">
        <f>0</f>
      </c>
      <c r="E2927">
        <f>577174316/10^6</f>
      </c>
      <c r="F2927">
        <f>0</f>
      </c>
      <c r="G2927">
        <f>221191376/10^6</f>
      </c>
      <c r="H2927">
        <f>0</f>
      </c>
      <c r="I2927">
        <f>-6717021/10^6</f>
      </c>
      <c r="J2927">
        <f>0</f>
      </c>
    </row>
    <row r="2928">
      <c r="A2928" t="s">
        <v>2937</v>
      </c>
      <c r="B2928" t="s">
        <v>11</v>
      </c>
      <c r="C2928">
        <f>124845882813/10^6</f>
      </c>
      <c r="D2928">
        <f>0</f>
      </c>
      <c r="E2928">
        <f>595451233/10^6</f>
      </c>
      <c r="F2928">
        <f>0</f>
      </c>
      <c r="G2928">
        <f>218573776/10^6</f>
      </c>
      <c r="H2928">
        <f>0</f>
      </c>
      <c r="I2928">
        <f>-8231821/10^6</f>
      </c>
      <c r="J2928">
        <f>0</f>
      </c>
    </row>
    <row r="2929">
      <c r="A2929" t="s">
        <v>2938</v>
      </c>
      <c r="B2929" t="s">
        <v>11</v>
      </c>
      <c r="C2929">
        <f>1237154375/10^4</f>
      </c>
      <c r="D2929">
        <f>0</f>
      </c>
      <c r="E2929">
        <f>610873962/10^6</f>
      </c>
      <c r="F2929">
        <f>0</f>
      </c>
      <c r="G2929">
        <f>220123276/10^6</f>
      </c>
      <c r="H2929">
        <f>0</f>
      </c>
      <c r="I2929">
        <f>-10188063/10^6</f>
      </c>
      <c r="J2929">
        <f>0</f>
      </c>
    </row>
    <row r="2930">
      <c r="A2930" t="s">
        <v>2939</v>
      </c>
      <c r="B2930" t="s">
        <v>11</v>
      </c>
      <c r="C2930">
        <f>123085460938/10^6</f>
      </c>
      <c r="D2930">
        <f>0</f>
      </c>
      <c r="E2930">
        <f>62503125/10^5</f>
      </c>
      <c r="F2930">
        <f>0</f>
      </c>
      <c r="G2930">
        <f>221889999/10^6</f>
      </c>
      <c r="H2930">
        <f>0</f>
      </c>
      <c r="I2930">
        <f>-13019406/10^6</f>
      </c>
      <c r="J2930">
        <f>0</f>
      </c>
    </row>
    <row r="2931">
      <c r="A2931" t="s">
        <v>2940</v>
      </c>
      <c r="B2931" t="s">
        <v>11</v>
      </c>
      <c r="C2931">
        <f>12284015625/10^5</f>
      </c>
      <c r="D2931">
        <f>0</f>
      </c>
      <c r="E2931">
        <f>637995667/10^6</f>
      </c>
      <c r="F2931">
        <f>0</f>
      </c>
      <c r="G2931">
        <f>224507767/10^6</f>
      </c>
      <c r="H2931">
        <f>0</f>
      </c>
      <c r="I2931">
        <f>-14825753/10^6</f>
      </c>
      <c r="J2931">
        <f>0</f>
      </c>
    </row>
    <row r="2932">
      <c r="A2932" t="s">
        <v>2941</v>
      </c>
      <c r="B2932" t="s">
        <v>11</v>
      </c>
      <c r="C2932">
        <f>122242664063/10^6</f>
      </c>
      <c r="D2932">
        <f>0</f>
      </c>
      <c r="E2932">
        <f>6491875/10^4</f>
      </c>
      <c r="F2932">
        <f>0</f>
      </c>
      <c r="G2932">
        <f>230474228/10^6</f>
      </c>
      <c r="H2932">
        <f>0</f>
      </c>
      <c r="I2932">
        <f>-16704765/10^6</f>
      </c>
      <c r="J2932">
        <f>0</f>
      </c>
    </row>
    <row r="2933">
      <c r="A2933" t="s">
        <v>2942</v>
      </c>
      <c r="B2933" t="s">
        <v>11</v>
      </c>
      <c r="C2933">
        <f>121261179688/10^6</f>
      </c>
      <c r="D2933">
        <f>0</f>
      </c>
      <c r="E2933">
        <f>660562012/10^6</f>
      </c>
      <c r="F2933">
        <f>0</f>
      </c>
      <c r="G2933">
        <f>234595184/10^6</f>
      </c>
      <c r="H2933">
        <f>0</f>
      </c>
      <c r="I2933">
        <f>-18485088/10^6</f>
      </c>
      <c r="J2933">
        <f>0</f>
      </c>
    </row>
    <row r="2934">
      <c r="A2934" t="s">
        <v>2943</v>
      </c>
      <c r="B2934" t="s">
        <v>11</v>
      </c>
      <c r="C2934">
        <f>120338507813/10^6</f>
      </c>
      <c r="D2934">
        <f>0</f>
      </c>
      <c r="E2934">
        <f>672231934/10^6</f>
      </c>
      <c r="F2934">
        <f>0</f>
      </c>
      <c r="G2934">
        <f>236692444/10^6</f>
      </c>
      <c r="H2934">
        <f>0</f>
      </c>
      <c r="I2934">
        <f>-20663614/10^6</f>
      </c>
      <c r="J2934">
        <f>0</f>
      </c>
    </row>
    <row r="2935">
      <c r="A2935" t="s">
        <v>2944</v>
      </c>
      <c r="B2935" t="s">
        <v>11</v>
      </c>
      <c r="C2935">
        <f>119364296875/10^6</f>
      </c>
      <c r="D2935">
        <f>0</f>
      </c>
      <c r="E2935">
        <f>683790039/10^6</f>
      </c>
      <c r="F2935">
        <f>0</f>
      </c>
      <c r="G2935">
        <f>239192841/10^6</f>
      </c>
      <c r="H2935">
        <f>0</f>
      </c>
      <c r="I2935">
        <f>-22929258/10^6</f>
      </c>
      <c r="J2935">
        <f>0</f>
      </c>
    </row>
    <row r="2936">
      <c r="A2936" t="s">
        <v>2945</v>
      </c>
      <c r="B2936" t="s">
        <v>11</v>
      </c>
      <c r="C2936">
        <f>11802146875/10^5</f>
      </c>
      <c r="D2936">
        <f>0</f>
      </c>
      <c r="E2936">
        <f>696144226/10^6</f>
      </c>
      <c r="F2936">
        <f>0</f>
      </c>
      <c r="G2936">
        <f>240831238/10^6</f>
      </c>
      <c r="H2936">
        <f>0</f>
      </c>
      <c r="I2936">
        <f>-24927691/10^6</f>
      </c>
      <c r="J2936">
        <f>0</f>
      </c>
    </row>
    <row r="2937">
      <c r="A2937" t="s">
        <v>2946</v>
      </c>
      <c r="B2937" t="s">
        <v>11</v>
      </c>
      <c r="C2937">
        <f>1162611875/10^4</f>
      </c>
      <c r="D2937">
        <f>0</f>
      </c>
      <c r="E2937">
        <f>712563049/10^6</f>
      </c>
      <c r="F2937">
        <f>0</f>
      </c>
      <c r="G2937">
        <f>242602371/10^6</f>
      </c>
      <c r="H2937">
        <f>0</f>
      </c>
      <c r="I2937">
        <f>-27975197/10^6</f>
      </c>
      <c r="J2937">
        <f>0</f>
      </c>
    </row>
    <row r="2938">
      <c r="A2938" t="s">
        <v>2947</v>
      </c>
      <c r="B2938" t="s">
        <v>11</v>
      </c>
      <c r="C2938">
        <f>114377117188/10^6</f>
      </c>
      <c r="D2938">
        <f>0</f>
      </c>
      <c r="E2938">
        <f>722588562/10^6</f>
      </c>
      <c r="F2938">
        <f>0</f>
      </c>
      <c r="G2938">
        <f>243733154/10^6</f>
      </c>
      <c r="H2938">
        <f>0</f>
      </c>
      <c r="I2938">
        <f>-30055498/10^6</f>
      </c>
      <c r="J2938">
        <f>0</f>
      </c>
    </row>
    <row r="2939">
      <c r="A2939" t="s">
        <v>2948</v>
      </c>
      <c r="B2939" t="s">
        <v>11</v>
      </c>
      <c r="C2939">
        <f>113279265625/10^6</f>
      </c>
      <c r="D2939">
        <f>0</f>
      </c>
      <c r="E2939">
        <f>727312683/10^6</f>
      </c>
      <c r="F2939">
        <f>0</f>
      </c>
      <c r="G2939">
        <f>243501022/10^6</f>
      </c>
      <c r="H2939">
        <f>0</f>
      </c>
      <c r="I2939">
        <f>-31237867/10^6</f>
      </c>
      <c r="J2939">
        <f>0</f>
      </c>
    </row>
    <row r="2940">
      <c r="A2940" t="s">
        <v>2949</v>
      </c>
      <c r="B2940" t="s">
        <v>11</v>
      </c>
      <c r="C2940">
        <f>112122226563/10^6</f>
      </c>
      <c r="D2940">
        <f>0</f>
      </c>
      <c r="E2940">
        <f>752820313/10^6</f>
      </c>
      <c r="F2940">
        <f>0</f>
      </c>
      <c r="G2940">
        <f>243363403/10^6</f>
      </c>
      <c r="H2940">
        <f>0</f>
      </c>
      <c r="I2940">
        <f>-33179382/10^6</f>
      </c>
      <c r="J2940">
        <f>0</f>
      </c>
    </row>
    <row r="2941">
      <c r="A2941" t="s">
        <v>2950</v>
      </c>
      <c r="B2941" t="s">
        <v>11</v>
      </c>
      <c r="C2941">
        <f>110888125/10^3</f>
      </c>
      <c r="D2941">
        <f>0</f>
      </c>
      <c r="E2941">
        <f>712848816/10^6</f>
      </c>
      <c r="F2941">
        <f>0</f>
      </c>
      <c r="G2941">
        <f>239711227/10^6</f>
      </c>
      <c r="H2941">
        <f>0</f>
      </c>
      <c r="I2941">
        <f>-3196302/10^5</f>
      </c>
      <c r="J2941">
        <f>0</f>
      </c>
    </row>
    <row r="2942">
      <c r="A2942" t="s">
        <v>2951</v>
      </c>
      <c r="B2942" t="s">
        <v>11</v>
      </c>
      <c r="C2942">
        <f>114694664063/10^6</f>
      </c>
      <c r="D2942">
        <f>0</f>
      </c>
      <c r="E2942">
        <f>557724487/10^6</f>
      </c>
      <c r="F2942">
        <f>0</f>
      </c>
      <c r="G2942">
        <f>237376129/10^6</f>
      </c>
      <c r="H2942">
        <f>0</f>
      </c>
      <c r="I2942">
        <f>-28067039/10^6</f>
      </c>
      <c r="J2942">
        <f>0</f>
      </c>
    </row>
    <row r="2943">
      <c r="A2943" t="s">
        <v>2952</v>
      </c>
      <c r="B2943" t="s">
        <v>11</v>
      </c>
      <c r="C2943">
        <f>123531742188/10^6</f>
      </c>
      <c r="D2943">
        <f>0</f>
      </c>
      <c r="E2943">
        <f>465954041/10^6</f>
      </c>
      <c r="F2943">
        <f>0</f>
      </c>
      <c r="G2943">
        <f>234860977/10^6</f>
      </c>
      <c r="H2943">
        <f>0</f>
      </c>
      <c r="I2943">
        <f>-2605274/10^5</f>
      </c>
      <c r="J2943">
        <f>0</f>
      </c>
    </row>
    <row r="2944">
      <c r="A2944" t="s">
        <v>2953</v>
      </c>
      <c r="B2944" t="s">
        <v>11</v>
      </c>
      <c r="C2944">
        <f>1292606875/10^4</f>
      </c>
      <c r="D2944">
        <f>0</f>
      </c>
      <c r="E2944">
        <f>465706116/10^6</f>
      </c>
      <c r="F2944">
        <f>0</f>
      </c>
      <c r="G2944">
        <f>205431198/10^6</f>
      </c>
      <c r="H2944">
        <f>0</f>
      </c>
      <c r="I2944">
        <f>-20656525/10^6</f>
      </c>
      <c r="J2944">
        <f>0</f>
      </c>
    </row>
    <row r="2945">
      <c r="A2945" t="s">
        <v>2954</v>
      </c>
      <c r="B2945" t="s">
        <v>11</v>
      </c>
      <c r="C2945">
        <f>129425890625/10^6</f>
      </c>
      <c r="D2945">
        <f>0</f>
      </c>
      <c r="E2945">
        <f>482685883/10^6</f>
      </c>
      <c r="F2945">
        <f>0</f>
      </c>
      <c r="G2945">
        <f>16470079/10^5</f>
      </c>
      <c r="H2945">
        <f>0</f>
      </c>
      <c r="I2945">
        <f>-11636017/10^6</f>
      </c>
      <c r="J2945">
        <f>0</f>
      </c>
    </row>
    <row r="2946">
      <c r="A2946" t="s">
        <v>2955</v>
      </c>
      <c r="B2946" t="s">
        <v>11</v>
      </c>
      <c r="C2946">
        <f>126438398438/10^6</f>
      </c>
      <c r="D2946">
        <f>0</f>
      </c>
      <c r="E2946">
        <f>525572327/10^6</f>
      </c>
      <c r="F2946">
        <f>0</f>
      </c>
      <c r="G2946">
        <f>166091873/10^6</f>
      </c>
      <c r="H2946">
        <f>0</f>
      </c>
      <c r="I2946">
        <f>-14675046/10^6</f>
      </c>
      <c r="J2946">
        <f>0</f>
      </c>
    </row>
    <row r="2947">
      <c r="A2947" t="s">
        <v>2956</v>
      </c>
      <c r="B2947" t="s">
        <v>11</v>
      </c>
      <c r="C2947">
        <f>122977085938/10^6</f>
      </c>
      <c r="D2947">
        <f>0</f>
      </c>
      <c r="E2947">
        <f>585260559/10^6</f>
      </c>
      <c r="F2947">
        <f>0</f>
      </c>
      <c r="G2947">
        <f>196760147/10^6</f>
      </c>
      <c r="H2947">
        <f>0</f>
      </c>
      <c r="I2947">
        <f>-30751301/10^6</f>
      </c>
      <c r="J2947">
        <f>0</f>
      </c>
    </row>
    <row r="2948">
      <c r="A2948" t="s">
        <v>2957</v>
      </c>
      <c r="B2948" t="s">
        <v>11</v>
      </c>
      <c r="C2948">
        <f>121461632813/10^6</f>
      </c>
      <c r="D2948">
        <f>0</f>
      </c>
      <c r="E2948">
        <f>625610229/10^6</f>
      </c>
      <c r="F2948">
        <f>0</f>
      </c>
      <c r="G2948">
        <f>212170715/10^6</f>
      </c>
      <c r="H2948">
        <f>0</f>
      </c>
      <c r="I2948">
        <f>-39480812/10^6</f>
      </c>
      <c r="J2948">
        <f>0</f>
      </c>
    </row>
    <row r="2949">
      <c r="A2949" t="s">
        <v>2958</v>
      </c>
      <c r="B2949" t="s">
        <v>11</v>
      </c>
      <c r="C2949">
        <f>121411851563/10^6</f>
      </c>
      <c r="D2949">
        <f>0</f>
      </c>
      <c r="E2949">
        <f>652294861/10^6</f>
      </c>
      <c r="F2949">
        <f>0</f>
      </c>
      <c r="G2949">
        <f>219807419/10^6</f>
      </c>
      <c r="H2949">
        <f>0</f>
      </c>
      <c r="I2949">
        <f>-35616554/10^6</f>
      </c>
      <c r="J2949">
        <f>0</f>
      </c>
    </row>
    <row r="2950">
      <c r="A2950" t="s">
        <v>2959</v>
      </c>
      <c r="B2950" t="s">
        <v>11</v>
      </c>
      <c r="C2950">
        <f>121132859375/10^6</f>
      </c>
      <c r="D2950">
        <f>0</f>
      </c>
      <c r="E2950">
        <f>670511902/10^6</f>
      </c>
      <c r="F2950">
        <f>0</f>
      </c>
      <c r="G2950">
        <f>231481918/10^6</f>
      </c>
      <c r="H2950">
        <f>0</f>
      </c>
      <c r="I2950">
        <f>-31649092/10^6</f>
      </c>
      <c r="J2950">
        <f>0</f>
      </c>
    </row>
    <row r="2951">
      <c r="A2951" t="s">
        <v>2960</v>
      </c>
      <c r="B2951" t="s">
        <v>11</v>
      </c>
      <c r="C2951">
        <f>120010054688/10^6</f>
      </c>
      <c r="D2951">
        <f>0</f>
      </c>
      <c r="E2951">
        <f>681194031/10^6</f>
      </c>
      <c r="F2951">
        <f>0</f>
      </c>
      <c r="G2951">
        <f>236642838/10^6</f>
      </c>
      <c r="H2951">
        <f>0</f>
      </c>
      <c r="I2951">
        <f>-31125828/10^6</f>
      </c>
      <c r="J2951">
        <f>0</f>
      </c>
    </row>
    <row r="2952">
      <c r="A2952" t="s">
        <v>2961</v>
      </c>
      <c r="B2952" t="s">
        <v>11</v>
      </c>
      <c r="C2952">
        <f>118741476563/10^6</f>
      </c>
      <c r="D2952">
        <f>0</f>
      </c>
      <c r="E2952">
        <f>681025879/10^6</f>
      </c>
      <c r="F2952">
        <f>0</f>
      </c>
      <c r="G2952">
        <f>238755524/10^6</f>
      </c>
      <c r="H2952">
        <f>0</f>
      </c>
      <c r="I2952">
        <f>-30905693/10^6</f>
      </c>
      <c r="J2952">
        <f>0</f>
      </c>
    </row>
    <row r="2953">
      <c r="A2953" t="s">
        <v>2962</v>
      </c>
      <c r="B2953" t="s">
        <v>11</v>
      </c>
      <c r="C2953">
        <f>118224125/10^3</f>
      </c>
      <c r="D2953">
        <f>0</f>
      </c>
      <c r="E2953">
        <f>691582642/10^6</f>
      </c>
      <c r="F2953">
        <f>0</f>
      </c>
      <c r="G2953">
        <f>239814423/10^6</f>
      </c>
      <c r="H2953">
        <f>0</f>
      </c>
      <c r="I2953">
        <f>-29252439/10^6</f>
      </c>
      <c r="J2953">
        <f>0</f>
      </c>
    </row>
    <row r="2954">
      <c r="A2954" t="s">
        <v>2963</v>
      </c>
      <c r="B2954" t="s">
        <v>11</v>
      </c>
      <c r="C2954">
        <f>117003164063/10^6</f>
      </c>
      <c r="D2954">
        <f>0</f>
      </c>
      <c r="E2954">
        <f>711923462/10^6</f>
      </c>
      <c r="F2954">
        <f>0</f>
      </c>
      <c r="G2954">
        <f>240083099/10^6</f>
      </c>
      <c r="H2954">
        <f>0</f>
      </c>
      <c r="I2954">
        <f>-27583269/10^6</f>
      </c>
      <c r="J2954">
        <f>0</f>
      </c>
    </row>
    <row r="2955">
      <c r="A2955" t="s">
        <v>2964</v>
      </c>
      <c r="B2955" t="s">
        <v>11</v>
      </c>
      <c r="C2955">
        <f>11492775/10^2</f>
      </c>
      <c r="D2955">
        <f>0</f>
      </c>
      <c r="E2955">
        <f>638390442/10^6</f>
      </c>
      <c r="F2955">
        <f>0</f>
      </c>
      <c r="G2955">
        <f>245741257/10^6</f>
      </c>
      <c r="H2955">
        <f>0</f>
      </c>
      <c r="I2955">
        <f>-29273476/10^6</f>
      </c>
      <c r="J2955">
        <f>0</f>
      </c>
    </row>
    <row r="2956">
      <c r="A2956" t="s">
        <v>2965</v>
      </c>
      <c r="B2956" t="s">
        <v>11</v>
      </c>
      <c r="C2956">
        <f>115411382813/10^6</f>
      </c>
      <c r="D2956">
        <f>0</f>
      </c>
      <c r="E2956">
        <f>504628906/10^6</f>
      </c>
      <c r="F2956">
        <f>0</f>
      </c>
      <c r="G2956">
        <f>233404129/10^6</f>
      </c>
      <c r="H2956">
        <f>0</f>
      </c>
      <c r="I2956">
        <f>-21141298/10^6</f>
      </c>
      <c r="J2956">
        <f>0</f>
      </c>
    </row>
    <row r="2957">
      <c r="A2957" t="s">
        <v>2966</v>
      </c>
      <c r="B2957" t="s">
        <v>11</v>
      </c>
      <c r="C2957">
        <f>117330328125/10^6</f>
      </c>
      <c r="D2957">
        <f>0</f>
      </c>
      <c r="E2957">
        <f>500051453/10^6</f>
      </c>
      <c r="F2957">
        <f>0</f>
      </c>
      <c r="G2957">
        <f>189785629/10^6</f>
      </c>
      <c r="H2957">
        <f>0</f>
      </c>
      <c r="I2957">
        <f>6456905/10^6</f>
      </c>
      <c r="J2957">
        <f>0</f>
      </c>
    </row>
    <row r="2958">
      <c r="A2958" t="s">
        <v>2967</v>
      </c>
      <c r="B2958" t="s">
        <v>11</v>
      </c>
      <c r="C2958">
        <f>116548765625/10^6</f>
      </c>
      <c r="D2958">
        <f>0</f>
      </c>
      <c r="E2958">
        <f>58886969/10^5</f>
      </c>
      <c r="F2958">
        <f>0</f>
      </c>
      <c r="G2958">
        <f>164611481/10^6</f>
      </c>
      <c r="H2958">
        <f>0</f>
      </c>
      <c r="I2958">
        <f>22558296/10^6</f>
      </c>
      <c r="J2958">
        <f>0</f>
      </c>
    </row>
    <row r="2959">
      <c r="A2959" t="s">
        <v>2968</v>
      </c>
      <c r="B2959" t="s">
        <v>11</v>
      </c>
      <c r="C2959">
        <f>1140785/10^1</f>
      </c>
      <c r="D2959">
        <f>0</f>
      </c>
      <c r="E2959">
        <f>64325885/10^5</f>
      </c>
      <c r="F2959">
        <f>0</f>
      </c>
      <c r="G2959">
        <f>187131393/10^6</f>
      </c>
      <c r="H2959">
        <f>0</f>
      </c>
      <c r="I2959">
        <f>4009497/10^6</f>
      </c>
      <c r="J2959">
        <f>0</f>
      </c>
    </row>
    <row r="2960">
      <c r="A2960" t="s">
        <v>2969</v>
      </c>
      <c r="B2960" t="s">
        <v>11</v>
      </c>
      <c r="C2960">
        <f>112362179688/10^6</f>
      </c>
      <c r="D2960">
        <f>0</f>
      </c>
      <c r="E2960">
        <f>641298218/10^6</f>
      </c>
      <c r="F2960">
        <f>0</f>
      </c>
      <c r="G2960">
        <f>214787811/10^6</f>
      </c>
      <c r="H2960">
        <f>0</f>
      </c>
      <c r="I2960">
        <f>-19876183/10^6</f>
      </c>
      <c r="J2960">
        <f>0</f>
      </c>
    </row>
    <row r="2961">
      <c r="A2961" t="s">
        <v>2970</v>
      </c>
      <c r="B2961" t="s">
        <v>11</v>
      </c>
      <c r="C2961">
        <f>111954140625/10^6</f>
      </c>
      <c r="D2961">
        <f>0</f>
      </c>
      <c r="E2961">
        <f>624381409/10^6</f>
      </c>
      <c r="F2961">
        <f>0</f>
      </c>
      <c r="G2961">
        <f>216727371/10^6</f>
      </c>
      <c r="H2961">
        <f>0</f>
      </c>
      <c r="I2961">
        <f>-20230051/10^6</f>
      </c>
      <c r="J2961">
        <f>0</f>
      </c>
    </row>
    <row r="2962">
      <c r="A2962" t="s">
        <v>2971</v>
      </c>
      <c r="B2962" t="s">
        <v>11</v>
      </c>
      <c r="C2962">
        <f>112066578125/10^6</f>
      </c>
      <c r="D2962">
        <f>0</f>
      </c>
      <c r="E2962">
        <f>625217041/10^6</f>
      </c>
      <c r="F2962">
        <f>0</f>
      </c>
      <c r="G2962">
        <f>209040527/10^6</f>
      </c>
      <c r="H2962">
        <f>0</f>
      </c>
      <c r="I2962">
        <f>-8166585/10^6</f>
      </c>
      <c r="J2962">
        <f>0</f>
      </c>
    </row>
    <row r="2963">
      <c r="A2963" t="s">
        <v>2972</v>
      </c>
      <c r="B2963" t="s">
        <v>11</v>
      </c>
      <c r="C2963">
        <f>111604625/10^3</f>
      </c>
      <c r="D2963">
        <f>0</f>
      </c>
      <c r="E2963">
        <f>635829407/10^6</f>
      </c>
      <c r="F2963">
        <f>0</f>
      </c>
      <c r="G2963">
        <f>207140549/10^6</f>
      </c>
      <c r="H2963">
        <f>0</f>
      </c>
      <c r="I2963">
        <f>-3274895/10^6</f>
      </c>
      <c r="J2963">
        <f>0</f>
      </c>
    </row>
    <row r="2964">
      <c r="A2964" t="s">
        <v>2973</v>
      </c>
      <c r="B2964" t="s">
        <v>11</v>
      </c>
      <c r="C2964">
        <f>110910101563/10^6</f>
      </c>
      <c r="D2964">
        <f>0</f>
      </c>
      <c r="E2964">
        <f>635374146/10^6</f>
      </c>
      <c r="F2964">
        <f>0</f>
      </c>
      <c r="G2964">
        <f>208857407/10^6</f>
      </c>
      <c r="H2964">
        <f>0</f>
      </c>
      <c r="I2964">
        <f>-5933416/10^6</f>
      </c>
      <c r="J2964">
        <f>0</f>
      </c>
    </row>
    <row r="2965">
      <c r="A2965" t="s">
        <v>2974</v>
      </c>
      <c r="B2965" t="s">
        <v>11</v>
      </c>
      <c r="C2965">
        <f>110757851563/10^6</f>
      </c>
      <c r="D2965">
        <f>0</f>
      </c>
      <c r="E2965">
        <f>626554932/10^6</f>
      </c>
      <c r="F2965">
        <f>0</f>
      </c>
      <c r="G2965">
        <f>2095784/10^4</f>
      </c>
      <c r="H2965">
        <f>0</f>
      </c>
      <c r="I2965">
        <f>-8118103/10^6</f>
      </c>
      <c r="J2965">
        <f>0</f>
      </c>
    </row>
    <row r="2966">
      <c r="A2966" t="s">
        <v>2975</v>
      </c>
      <c r="B2966" t="s">
        <v>11</v>
      </c>
      <c r="C2966">
        <f>111027664063/10^6</f>
      </c>
      <c r="D2966">
        <f>0</f>
      </c>
      <c r="E2966">
        <f>627432861/10^6</f>
      </c>
      <c r="F2966">
        <f>0</f>
      </c>
      <c r="G2966">
        <f>207897232/10^6</f>
      </c>
      <c r="H2966">
        <f>0</f>
      </c>
      <c r="I2966">
        <f>-755521/10^5</f>
      </c>
      <c r="J2966">
        <f>0</f>
      </c>
    </row>
    <row r="2967">
      <c r="A2967" t="s">
        <v>2976</v>
      </c>
      <c r="B2967" t="s">
        <v>11</v>
      </c>
      <c r="C2967">
        <f>110795335938/10^6</f>
      </c>
      <c r="D2967">
        <f>0</f>
      </c>
      <c r="E2967">
        <f>641843506/10^6</f>
      </c>
      <c r="F2967">
        <f>0</f>
      </c>
      <c r="G2967">
        <f>209385696/10^6</f>
      </c>
      <c r="H2967">
        <f>0</f>
      </c>
      <c r="I2967">
        <f>-7131818/10^6</f>
      </c>
      <c r="J2967">
        <f>0</f>
      </c>
    </row>
    <row r="2968">
      <c r="A2968" t="s">
        <v>2977</v>
      </c>
      <c r="B2968" t="s">
        <v>11</v>
      </c>
      <c r="C2968">
        <f>110410554688/10^6</f>
      </c>
      <c r="D2968">
        <f>0</f>
      </c>
      <c r="E2968">
        <f>60215509/10^5</f>
      </c>
      <c r="F2968">
        <f>0</f>
      </c>
      <c r="G2968">
        <f>209639374/10^6</f>
      </c>
      <c r="H2968">
        <f>0</f>
      </c>
      <c r="I2968">
        <f>-7020094/10^6</f>
      </c>
      <c r="J2968">
        <f>0</f>
      </c>
    </row>
    <row r="2969">
      <c r="A2969" t="s">
        <v>2978</v>
      </c>
      <c r="B2969" t="s">
        <v>11</v>
      </c>
      <c r="C2969">
        <f>111964726563/10^6</f>
      </c>
      <c r="D2969">
        <f>0</f>
      </c>
      <c r="E2969">
        <f>512061584/10^6</f>
      </c>
      <c r="F2969">
        <f>0</f>
      </c>
      <c r="G2969">
        <f>186600708/10^6</f>
      </c>
      <c r="H2969">
        <f>0</f>
      </c>
      <c r="I2969">
        <f>-1813691/10^6</f>
      </c>
      <c r="J2969">
        <f>0</f>
      </c>
    </row>
    <row r="2970">
      <c r="A2970" t="s">
        <v>2979</v>
      </c>
      <c r="B2970" t="s">
        <v>11</v>
      </c>
      <c r="C2970">
        <f>114524828125/10^6</f>
      </c>
      <c r="D2970">
        <f>0</f>
      </c>
      <c r="E2970">
        <f>494452911/10^6</f>
      </c>
      <c r="F2970">
        <f>0</f>
      </c>
      <c r="G2970">
        <f>154578461/10^6</f>
      </c>
      <c r="H2970">
        <f>0</f>
      </c>
      <c r="I2970">
        <f>5823228/10^6</f>
      </c>
      <c r="J2970">
        <f>0</f>
      </c>
    </row>
    <row r="2971">
      <c r="A2971" t="s">
        <v>2980</v>
      </c>
      <c r="B2971" t="s">
        <v>11</v>
      </c>
      <c r="C2971">
        <f>115174382813/10^6</f>
      </c>
      <c r="D2971">
        <f>0</f>
      </c>
      <c r="E2971">
        <f>545064941/10^6</f>
      </c>
      <c r="F2971">
        <f>0</f>
      </c>
      <c r="G2971">
        <f>156286392/10^6</f>
      </c>
      <c r="H2971">
        <f>0</f>
      </c>
      <c r="I2971">
        <f>4620608/10^6</f>
      </c>
      <c r="J2971">
        <f>0</f>
      </c>
    </row>
    <row r="2972">
      <c r="A2972" t="s">
        <v>2981</v>
      </c>
      <c r="B2972" t="s">
        <v>11</v>
      </c>
      <c r="C2972">
        <f>114626445313/10^6</f>
      </c>
      <c r="D2972">
        <f>0</f>
      </c>
      <c r="E2972">
        <f>579379333/10^6</f>
      </c>
      <c r="F2972">
        <f>0</f>
      </c>
      <c r="G2972">
        <f>181816345/10^6</f>
      </c>
      <c r="H2972">
        <f>0</f>
      </c>
      <c r="I2972">
        <f>-3571892/10^6</f>
      </c>
      <c r="J2972">
        <f>0</f>
      </c>
    </row>
    <row r="2973">
      <c r="A2973" t="s">
        <v>2982</v>
      </c>
      <c r="B2973" t="s">
        <v>11</v>
      </c>
      <c r="C2973">
        <f>11446090625/10^5</f>
      </c>
      <c r="D2973">
        <f>0</f>
      </c>
      <c r="E2973">
        <f>596105164/10^6</f>
      </c>
      <c r="F2973">
        <f>0</f>
      </c>
      <c r="G2973">
        <f>194712219/10^6</f>
      </c>
      <c r="H2973">
        <f>0</f>
      </c>
      <c r="I2973">
        <f>-7987786/10^6</f>
      </c>
      <c r="J2973">
        <f>0</f>
      </c>
    </row>
    <row r="2974">
      <c r="A2974" t="s">
        <v>2983</v>
      </c>
      <c r="B2974" t="s">
        <v>11</v>
      </c>
      <c r="C2974">
        <f>114238859375/10^6</f>
      </c>
      <c r="D2974">
        <f>0</f>
      </c>
      <c r="E2974">
        <f>614309143/10^6</f>
      </c>
      <c r="F2974">
        <f>0</f>
      </c>
      <c r="G2974">
        <f>199425323/10^6</f>
      </c>
      <c r="H2974">
        <f>0</f>
      </c>
      <c r="I2974">
        <f>-9421937/10^6</f>
      </c>
      <c r="J2974">
        <f>0</f>
      </c>
    </row>
    <row r="2975">
      <c r="A2975" t="s">
        <v>2984</v>
      </c>
      <c r="B2975" t="s">
        <v>11</v>
      </c>
      <c r="C2975">
        <f>113798460938/10^6</f>
      </c>
      <c r="D2975">
        <f>0</f>
      </c>
      <c r="E2975">
        <f>625734985/10^6</f>
      </c>
      <c r="F2975">
        <f>0</f>
      </c>
      <c r="G2975">
        <f>207102585/10^6</f>
      </c>
      <c r="H2975">
        <f>0</f>
      </c>
      <c r="I2975">
        <f>-11703326/10^6</f>
      </c>
      <c r="J2975">
        <f>0</f>
      </c>
    </row>
    <row r="2976">
      <c r="A2976" t="s">
        <v>2985</v>
      </c>
      <c r="B2976" t="s">
        <v>11</v>
      </c>
      <c r="C2976">
        <f>113627109375/10^6</f>
      </c>
      <c r="D2976">
        <f>0</f>
      </c>
      <c r="E2976">
        <f>630047791/10^6</f>
      </c>
      <c r="F2976">
        <f>0</f>
      </c>
      <c r="G2976">
        <f>210669525/10^6</f>
      </c>
      <c r="H2976">
        <f>0</f>
      </c>
      <c r="I2976">
        <f>-12798839/10^6</f>
      </c>
      <c r="J2976">
        <f>0</f>
      </c>
    </row>
    <row r="2977">
      <c r="A2977" t="s">
        <v>2986</v>
      </c>
      <c r="B2977" t="s">
        <v>11</v>
      </c>
      <c r="C2977">
        <f>113701023438/10^6</f>
      </c>
      <c r="D2977">
        <f>0</f>
      </c>
      <c r="E2977">
        <f>631217163/10^6</f>
      </c>
      <c r="F2977">
        <f>0</f>
      </c>
      <c r="G2977">
        <f>211403137/10^6</f>
      </c>
      <c r="H2977">
        <f>0</f>
      </c>
      <c r="I2977">
        <f>-12860673/10^6</f>
      </c>
      <c r="J2977">
        <f>0</f>
      </c>
    </row>
    <row r="2978">
      <c r="A2978" t="s">
        <v>2987</v>
      </c>
      <c r="B2978" t="s">
        <v>11</v>
      </c>
      <c r="C2978">
        <f>113793585938/10^6</f>
      </c>
      <c r="D2978">
        <f>0</f>
      </c>
      <c r="E2978">
        <f>631701111/10^6</f>
      </c>
      <c r="F2978">
        <f>0</f>
      </c>
      <c r="G2978">
        <f>212774033/10^6</f>
      </c>
      <c r="H2978">
        <f>0</f>
      </c>
      <c r="I2978">
        <f>-13416814/10^6</f>
      </c>
      <c r="J2978">
        <f>0</f>
      </c>
    </row>
    <row r="2979">
      <c r="A2979" t="s">
        <v>2988</v>
      </c>
      <c r="B2979" t="s">
        <v>11</v>
      </c>
      <c r="C2979">
        <f>114098367188/10^6</f>
      </c>
      <c r="D2979">
        <f>0</f>
      </c>
      <c r="E2979">
        <f>631398804/10^6</f>
      </c>
      <c r="F2979">
        <f>0</f>
      </c>
      <c r="G2979">
        <f>213228943/10^6</f>
      </c>
      <c r="H2979">
        <f>0</f>
      </c>
      <c r="I2979">
        <f>-13605473/10^6</f>
      </c>
      <c r="J2979">
        <f>0</f>
      </c>
    </row>
    <row r="2980">
      <c r="A2980" t="s">
        <v>2989</v>
      </c>
      <c r="B2980" t="s">
        <v>11</v>
      </c>
      <c r="C2980">
        <f>114319390625/10^6</f>
      </c>
      <c r="D2980">
        <f>0</f>
      </c>
      <c r="E2980">
        <f>630601379/10^6</f>
      </c>
      <c r="F2980">
        <f>0</f>
      </c>
      <c r="G2980">
        <f>213572403/10^6</f>
      </c>
      <c r="H2980">
        <f>0</f>
      </c>
      <c r="I2980">
        <f>-12974568/10^6</f>
      </c>
      <c r="J2980">
        <f>0</f>
      </c>
    </row>
    <row r="2981">
      <c r="A2981" t="s">
        <v>2990</v>
      </c>
      <c r="B2981" t="s">
        <v>11</v>
      </c>
      <c r="C2981">
        <f>114109796875/10^6</f>
      </c>
      <c r="D2981">
        <f>0</f>
      </c>
      <c r="E2981">
        <f>630919739/10^6</f>
      </c>
      <c r="F2981">
        <f>0</f>
      </c>
      <c r="G2981">
        <f>213743027/10^6</f>
      </c>
      <c r="H2981">
        <f>0</f>
      </c>
      <c r="I2981">
        <f>-14979513/10^6</f>
      </c>
      <c r="J2981">
        <f>0</f>
      </c>
    </row>
    <row r="2982">
      <c r="A2982" t="s">
        <v>2991</v>
      </c>
      <c r="B2982" t="s">
        <v>11</v>
      </c>
      <c r="C2982">
        <f>114933890625/10^6</f>
      </c>
      <c r="D2982">
        <f>0</f>
      </c>
      <c r="E2982">
        <f>63047522/10^5</f>
      </c>
      <c r="F2982">
        <f>0</f>
      </c>
      <c r="G2982">
        <f>213087799/10^6</f>
      </c>
      <c r="H2982">
        <f>0</f>
      </c>
      <c r="I2982">
        <f>-20795635/10^6</f>
      </c>
      <c r="J2982">
        <f>0</f>
      </c>
    </row>
    <row r="2983">
      <c r="A2983" t="s">
        <v>2992</v>
      </c>
      <c r="B2983" t="s">
        <v>11</v>
      </c>
      <c r="C2983">
        <f>117476632813/10^6</f>
      </c>
      <c r="D2983">
        <f>0</f>
      </c>
      <c r="E2983">
        <f>623659973/10^6</f>
      </c>
      <c r="F2983">
        <f>0</f>
      </c>
      <c r="G2983">
        <f>212844101/10^6</f>
      </c>
      <c r="H2983">
        <f>0</f>
      </c>
      <c r="I2983">
        <f>-24417011/10^6</f>
      </c>
      <c r="J2983">
        <f>0</f>
      </c>
    </row>
    <row r="2984">
      <c r="A2984" t="s">
        <v>2993</v>
      </c>
      <c r="B2984" t="s">
        <v>11</v>
      </c>
      <c r="C2984">
        <f>120157960938/10^6</f>
      </c>
      <c r="D2984">
        <f>0</f>
      </c>
      <c r="E2984">
        <f>613575378/10^6</f>
      </c>
      <c r="F2984">
        <f>0</f>
      </c>
      <c r="G2984">
        <f>214501938/10^6</f>
      </c>
      <c r="H2984">
        <f>0</f>
      </c>
      <c r="I2984">
        <f>-23755953/10^6</f>
      </c>
      <c r="J2984">
        <f>0</f>
      </c>
    </row>
    <row r="2985">
      <c r="A2985" t="s">
        <v>2994</v>
      </c>
      <c r="B2985" t="s">
        <v>11</v>
      </c>
      <c r="C2985">
        <f>122061132813/10^6</f>
      </c>
      <c r="D2985">
        <f>0</f>
      </c>
      <c r="E2985">
        <f>605530884/10^6</f>
      </c>
      <c r="F2985">
        <f>0</f>
      </c>
      <c r="G2985">
        <f>21659494/10^5</f>
      </c>
      <c r="H2985">
        <f>0</f>
      </c>
      <c r="I2985">
        <f>-22797213/10^6</f>
      </c>
      <c r="J2985">
        <f>0</f>
      </c>
    </row>
    <row r="2986">
      <c r="A2986" t="s">
        <v>2995</v>
      </c>
      <c r="B2986" t="s">
        <v>11</v>
      </c>
      <c r="C2986">
        <f>122729765625/10^6</f>
      </c>
      <c r="D2986">
        <f>0</f>
      </c>
      <c r="E2986">
        <f>600883667/10^6</f>
      </c>
      <c r="F2986">
        <f>0</f>
      </c>
      <c r="G2986">
        <f>216899261/10^6</f>
      </c>
      <c r="H2986">
        <f>0</f>
      </c>
      <c r="I2986">
        <f>-237875/10^4</f>
      </c>
      <c r="J2986">
        <f>0</f>
      </c>
    </row>
    <row r="2987">
      <c r="A2987" t="s">
        <v>2996</v>
      </c>
      <c r="B2987" t="s">
        <v>11</v>
      </c>
      <c r="C2987">
        <f>122060507813/10^6</f>
      </c>
      <c r="D2987">
        <f>0</f>
      </c>
      <c r="E2987">
        <f>600923645/10^6</f>
      </c>
      <c r="F2987">
        <f>0</f>
      </c>
      <c r="G2987">
        <f>216377533/10^6</f>
      </c>
      <c r="H2987">
        <f>0</f>
      </c>
      <c r="I2987">
        <f>-26182283/10^6</f>
      </c>
      <c r="J2987">
        <f>0</f>
      </c>
    </row>
    <row r="2988">
      <c r="A2988" t="s">
        <v>2997</v>
      </c>
      <c r="B2988" t="s">
        <v>11</v>
      </c>
      <c r="C2988">
        <f>1210230625/10^4</f>
      </c>
      <c r="D2988">
        <f>0</f>
      </c>
      <c r="E2988">
        <f>604500671/10^6</f>
      </c>
      <c r="F2988">
        <f>0</f>
      </c>
      <c r="G2988">
        <f>216268402/10^6</f>
      </c>
      <c r="H2988">
        <f>0</f>
      </c>
      <c r="I2988">
        <f>-27586729/10^6</f>
      </c>
      <c r="J2988">
        <f>0</f>
      </c>
    </row>
    <row r="2989">
      <c r="A2989" t="s">
        <v>2998</v>
      </c>
      <c r="B2989" t="s">
        <v>11</v>
      </c>
      <c r="C2989">
        <f>120125585938/10^6</f>
      </c>
      <c r="D2989">
        <f>0</f>
      </c>
      <c r="E2989">
        <f>608681519/10^6</f>
      </c>
      <c r="F2989">
        <f>0</f>
      </c>
      <c r="G2989">
        <f>216054489/10^6</f>
      </c>
      <c r="H2989">
        <f>0</f>
      </c>
      <c r="I2989">
        <f>-27446758/10^6</f>
      </c>
      <c r="J2989">
        <f>0</f>
      </c>
    </row>
    <row r="2990">
      <c r="A2990" t="s">
        <v>2999</v>
      </c>
      <c r="B2990" t="s">
        <v>11</v>
      </c>
      <c r="C2990">
        <f>119330726563/10^6</f>
      </c>
      <c r="D2990">
        <f>0</f>
      </c>
      <c r="E2990">
        <f>612620544/10^6</f>
      </c>
      <c r="F2990">
        <f>0</f>
      </c>
      <c r="G2990">
        <f>215667084/10^6</f>
      </c>
      <c r="H2990">
        <f>0</f>
      </c>
      <c r="I2990">
        <f>-2736878/10^5</f>
      </c>
      <c r="J2990">
        <f>0</f>
      </c>
    </row>
    <row r="2991">
      <c r="A2991" t="s">
        <v>3000</v>
      </c>
      <c r="B2991" t="s">
        <v>11</v>
      </c>
      <c r="C2991">
        <f>11863871875/10^5</f>
      </c>
      <c r="D2991">
        <f>0</f>
      </c>
      <c r="E2991">
        <f>616376038/10^6</f>
      </c>
      <c r="F2991">
        <f>0</f>
      </c>
      <c r="G2991">
        <f>215615204/10^6</f>
      </c>
      <c r="H2991">
        <f>0</f>
      </c>
      <c r="I2991">
        <f>-2745788/10^5</f>
      </c>
      <c r="J2991">
        <f>0</f>
      </c>
    </row>
    <row r="2992">
      <c r="A2992" t="s">
        <v>3001</v>
      </c>
      <c r="B2992" t="s">
        <v>11</v>
      </c>
      <c r="C2992">
        <f>118033476563/10^6</f>
      </c>
      <c r="D2992">
        <f>0</f>
      </c>
      <c r="E2992">
        <f>619748352/10^6</f>
      </c>
      <c r="F2992">
        <f>0</f>
      </c>
      <c r="G2992">
        <f>215834091/10^6</f>
      </c>
      <c r="H2992">
        <f>0</f>
      </c>
      <c r="I2992">
        <f>-27364141/10^6</f>
      </c>
      <c r="J2992">
        <f>0</f>
      </c>
    </row>
    <row r="2993">
      <c r="A2993" t="s">
        <v>3002</v>
      </c>
      <c r="B2993" t="s">
        <v>11</v>
      </c>
      <c r="C2993">
        <f>11758253125/10^5</f>
      </c>
      <c r="D2993">
        <f>0</f>
      </c>
      <c r="E2993">
        <f>622208252/10^6</f>
      </c>
      <c r="F2993">
        <f>0</f>
      </c>
      <c r="G2993">
        <f>2158983/10^4</f>
      </c>
      <c r="H2993">
        <f>0</f>
      </c>
      <c r="I2993">
        <f>-27363575/10^6</f>
      </c>
      <c r="J2993">
        <f>0</f>
      </c>
    </row>
    <row r="2994">
      <c r="A2994" t="s">
        <v>3003</v>
      </c>
      <c r="B2994" t="s">
        <v>11</v>
      </c>
      <c r="C2994">
        <f>117115914063/10^6</f>
      </c>
      <c r="D2994">
        <f>0</f>
      </c>
      <c r="E2994">
        <f>623717957/10^6</f>
      </c>
      <c r="F2994">
        <f>0</f>
      </c>
      <c r="G2994">
        <f>215687943/10^6</f>
      </c>
      <c r="H2994">
        <f>0</f>
      </c>
      <c r="I2994">
        <f>-27311378/10^6</f>
      </c>
      <c r="J2994">
        <f>0</f>
      </c>
    </row>
    <row r="2995">
      <c r="A2995" t="s">
        <v>3004</v>
      </c>
      <c r="B2995" t="s">
        <v>11</v>
      </c>
      <c r="C2995">
        <f>116422867188/10^6</f>
      </c>
      <c r="D2995">
        <f>0</f>
      </c>
      <c r="E2995">
        <f>625983765/10^6</f>
      </c>
      <c r="F2995">
        <f>0</f>
      </c>
      <c r="G2995">
        <f>215481964/10^6</f>
      </c>
      <c r="H2995">
        <f>0</f>
      </c>
      <c r="I2995">
        <f>-2702013/10^5</f>
      </c>
      <c r="J2995">
        <f>0</f>
      </c>
    </row>
    <row r="2996">
      <c r="A2996" t="s">
        <v>3005</v>
      </c>
      <c r="B2996" t="s">
        <v>11</v>
      </c>
      <c r="C2996">
        <f>115652515625/10^6</f>
      </c>
      <c r="D2996">
        <f>0</f>
      </c>
      <c r="E2996">
        <f>629903625/10^6</f>
      </c>
      <c r="F2996">
        <f>0</f>
      </c>
      <c r="G2996">
        <f>215262451/10^6</f>
      </c>
      <c r="H2996">
        <f>0</f>
      </c>
      <c r="I2996">
        <f>-27467817/10^6</f>
      </c>
      <c r="J2996">
        <f>0</f>
      </c>
    </row>
    <row r="2997">
      <c r="A2997" t="s">
        <v>3006</v>
      </c>
      <c r="B2997" t="s">
        <v>11</v>
      </c>
      <c r="C2997">
        <f>11489909375/10^5</f>
      </c>
      <c r="D2997">
        <f>0</f>
      </c>
      <c r="E2997">
        <f>633967773/10^6</f>
      </c>
      <c r="F2997">
        <f>0</f>
      </c>
      <c r="G2997">
        <f>214990311/10^6</f>
      </c>
      <c r="H2997">
        <f>0</f>
      </c>
      <c r="I2997">
        <f>-29158947/10^6</f>
      </c>
      <c r="J2997">
        <f>0</f>
      </c>
    </row>
    <row r="2998">
      <c r="A2998" t="s">
        <v>3007</v>
      </c>
      <c r="B2998" t="s">
        <v>11</v>
      </c>
      <c r="C2998">
        <f>114110585938/10^6</f>
      </c>
      <c r="D2998">
        <f>0</f>
      </c>
      <c r="E2998">
        <f>636629822/10^6</f>
      </c>
      <c r="F2998">
        <f>0</f>
      </c>
      <c r="G2998">
        <f>214712357/10^6</f>
      </c>
      <c r="H2998">
        <f>0</f>
      </c>
      <c r="I2998">
        <f>-30049782/10^6</f>
      </c>
      <c r="J2998">
        <f>0</f>
      </c>
    </row>
    <row r="2999">
      <c r="A2999" t="s">
        <v>3008</v>
      </c>
      <c r="B2999" t="s">
        <v>11</v>
      </c>
      <c r="C2999">
        <f>113450429688/10^6</f>
      </c>
      <c r="D2999">
        <f>0</f>
      </c>
      <c r="E2999">
        <f>63764679/10^5</f>
      </c>
      <c r="F2999">
        <f>0</f>
      </c>
      <c r="G2999">
        <f>214061569/10^6</f>
      </c>
      <c r="H2999">
        <f>0</f>
      </c>
      <c r="I2999">
        <f>-29085844/10^6</f>
      </c>
      <c r="J2999">
        <f>0</f>
      </c>
    </row>
    <row r="3000">
      <c r="A3000" t="s">
        <v>3009</v>
      </c>
      <c r="B3000" t="s">
        <v>11</v>
      </c>
      <c r="C3000">
        <f>11304925/10^2</f>
      </c>
      <c r="D3000">
        <f>0</f>
      </c>
      <c r="E3000">
        <f>637261902/10^6</f>
      </c>
      <c r="F3000">
        <f>0</f>
      </c>
      <c r="G3000">
        <f>213365845/10^6</f>
      </c>
      <c r="H3000">
        <f>0</f>
      </c>
      <c r="I3000">
        <f>-28126945/10^6</f>
      </c>
      <c r="J3000">
        <f>0</f>
      </c>
    </row>
    <row r="3001">
      <c r="A3001" t="s">
        <v>3010</v>
      </c>
      <c r="B3001" t="s">
        <v>11</v>
      </c>
      <c r="C3001">
        <f>112801/10^0</f>
      </c>
      <c r="D3001">
        <f>0</f>
      </c>
      <c r="E3001">
        <f>636159546/10^6</f>
      </c>
      <c r="F3001">
        <f>0</f>
      </c>
      <c r="G3001">
        <f>212858994/10^6</f>
      </c>
      <c r="H3001">
        <f>0</f>
      </c>
      <c r="I3001">
        <f>-27401087/10^6</f>
      </c>
      <c r="J3001">
        <f>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2022-06-14T05:54:50Z</dcterms:created>
  <dc:creator>Apache POI</dc:creator>
</cp:coreProperties>
</file>